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TAS\3. Payment Assessment\4 December\"/>
    </mc:Choice>
  </mc:AlternateContent>
  <xr:revisionPtr revIDLastSave="0" documentId="13_ncr:1_{159B312D-F9B3-40DA-86A7-E8653B09C62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A Front Sheet" sheetId="9" r:id="rId1"/>
    <sheet name="Evaluation" sheetId="2" r:id="rId2"/>
    <sheet name="Order References" sheetId="11" r:id="rId3"/>
    <sheet name="Modification" sheetId="10" r:id="rId4"/>
    <sheet name="Manpower" sheetId="4" state="hidden" r:id="rId5"/>
    <sheet name="SCOPE" sheetId="7" state="hidden" r:id="rId6"/>
    <sheet name="PASummary" sheetId="6" state="hidden" r:id="rId7"/>
  </sheets>
  <externalReferences>
    <externalReference r:id="rId8"/>
    <externalReference r:id="rId9"/>
    <externalReference r:id="rId10"/>
  </externalReferences>
  <definedNames>
    <definedName name="_xlnm._FilterDatabase" localSheetId="1" hidden="1">Evaluation!$A$9:$AE$497</definedName>
    <definedName name="_xlnm._FilterDatabase" localSheetId="2" hidden="1">'Order References'!$B$2:$H$176</definedName>
    <definedName name="Access_Height" localSheetId="0">[1]!Table7[Access Height]</definedName>
    <definedName name="Access_Height">[2]!Table7[Access Height]</definedName>
    <definedName name="ED_Rate" localSheetId="0">[1]!Table1[[Scaffold Type]:[Min. Dim.]]</definedName>
    <definedName name="ED_Rate">[3]!Table1[[Scaffold Type]:[Min. Dim.]]</definedName>
    <definedName name="Evaluation">Evaluation!$A$9:$AE$497</definedName>
    <definedName name="Hire_Status" localSheetId="0">[1]!Table4[Hire Status]</definedName>
    <definedName name="Hire_Status">[2]!Table4[Hire Status]</definedName>
    <definedName name="Job_Environment" localSheetId="0">[1]!Table5[Job Environment]</definedName>
    <definedName name="Job_Environment">[2]!Table5[Job Environment]</definedName>
    <definedName name="LPO_No.___Ref_No." localSheetId="0">[1]!Table10[#Data]</definedName>
    <definedName name="LPO_No.___Ref_No.">[2]!Table10[#Data]</definedName>
    <definedName name="Material_Rate" localSheetId="0">[1]!Table14[#Data]</definedName>
    <definedName name="Material_Rate">#REF!</definedName>
    <definedName name="Materials" localSheetId="0">[1]!Table11[Material Description]</definedName>
    <definedName name="Materials">[2]!Table11[Material Description]</definedName>
    <definedName name="_xlnm.Print_Area" localSheetId="1">Evaluation!$A$1:$AE$498</definedName>
    <definedName name="_xlnm.Print_Area" localSheetId="0">'PA Front Sheet'!$A$1:$G$38</definedName>
    <definedName name="_xlnm.Print_Titles" localSheetId="1">Evaluation!$1:$9</definedName>
    <definedName name="Production" localSheetId="0">[1]!Table12[Production]</definedName>
    <definedName name="Production">[2]!Table12[Production]</definedName>
    <definedName name="Production_Rate" localSheetId="0">[1]!Table15[#Data]</definedName>
    <definedName name="Production_Rate">#REF!</definedName>
    <definedName name="Scaffold_Type" localSheetId="0">[1]!Table6[Scaffold Type]</definedName>
    <definedName name="Scaffold_Type">[2]!Table6[Scaffold Type]</definedName>
    <definedName name="TAS_Quote" localSheetId="0">[1]!Table10[TAS Quote]</definedName>
    <definedName name="TAS_Quote">[2]!Table10[TAS Quote]</definedName>
    <definedName name="Type_of_Job" localSheetId="0">[1]!Table16[Type of Job]</definedName>
    <definedName name="Type_of_Job">[2]!Table16[Type of Job]</definedName>
    <definedName name="Unit_of_Measure" localSheetId="0">[1]!Table1[[Scaffold Type]:[Unit of Measure]]</definedName>
    <definedName name="Unit_of_Measure">[3]!Table1[[Scaffold Type]:[Unit of Measure]]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2" l="1"/>
  <c r="AH12" i="2"/>
  <c r="AH498" i="2"/>
  <c r="O466" i="2" l="1"/>
  <c r="O462" i="2"/>
  <c r="O437" i="2"/>
  <c r="O436" i="2"/>
  <c r="O434" i="2"/>
  <c r="O418" i="2"/>
  <c r="O413" i="2"/>
  <c r="O412" i="2"/>
  <c r="O369" i="2"/>
  <c r="O344" i="2"/>
  <c r="O330" i="2"/>
  <c r="O324" i="2"/>
  <c r="O313" i="2"/>
  <c r="O293" i="2"/>
  <c r="O276" i="2"/>
  <c r="O273" i="2"/>
  <c r="O259" i="2"/>
  <c r="O241" i="2"/>
  <c r="O222" i="2"/>
  <c r="O211" i="2"/>
  <c r="O109" i="2"/>
  <c r="O483" i="2"/>
  <c r="O424" i="2"/>
  <c r="O343" i="2"/>
  <c r="O334" i="2"/>
  <c r="O332" i="2"/>
  <c r="O291" i="2"/>
  <c r="O290" i="2"/>
  <c r="O287" i="2"/>
  <c r="O243" i="2"/>
  <c r="O203" i="2"/>
  <c r="O199" i="2"/>
  <c r="O194" i="2"/>
  <c r="O193" i="2"/>
  <c r="O108" i="2"/>
  <c r="O102" i="2"/>
  <c r="I18" i="9"/>
  <c r="J18" i="9" s="1"/>
  <c r="H27" i="9"/>
  <c r="E27" i="9" l="1"/>
  <c r="F27" i="9"/>
  <c r="G17" i="9"/>
  <c r="D16" i="10"/>
  <c r="F16" i="10" s="1"/>
  <c r="D15" i="10"/>
  <c r="F15" i="10" s="1"/>
  <c r="O69" i="2" l="1"/>
  <c r="X69" i="2" s="1"/>
  <c r="U69" i="2"/>
  <c r="O67" i="2"/>
  <c r="X67" i="2" s="1"/>
  <c r="U67" i="2"/>
  <c r="O68" i="2"/>
  <c r="X68" i="2" s="1"/>
  <c r="U68" i="2"/>
  <c r="O48" i="2"/>
  <c r="X48" i="2" s="1"/>
  <c r="U48" i="2"/>
  <c r="O49" i="2"/>
  <c r="X49" i="2" s="1"/>
  <c r="U49" i="2"/>
  <c r="O50" i="2"/>
  <c r="X50" i="2" s="1"/>
  <c r="U50" i="2"/>
  <c r="O51" i="2"/>
  <c r="X51" i="2" s="1"/>
  <c r="U51" i="2"/>
  <c r="O52" i="2"/>
  <c r="X52" i="2" s="1"/>
  <c r="U52" i="2"/>
  <c r="O53" i="2"/>
  <c r="X53" i="2" s="1"/>
  <c r="U53" i="2"/>
  <c r="O54" i="2"/>
  <c r="X54" i="2" s="1"/>
  <c r="U54" i="2"/>
  <c r="O55" i="2"/>
  <c r="X55" i="2" s="1"/>
  <c r="U55" i="2"/>
  <c r="O56" i="2"/>
  <c r="X56" i="2" s="1"/>
  <c r="U56" i="2"/>
  <c r="O57" i="2"/>
  <c r="X57" i="2" s="1"/>
  <c r="U57" i="2"/>
  <c r="O58" i="2"/>
  <c r="X58" i="2" s="1"/>
  <c r="U58" i="2"/>
  <c r="O59" i="2"/>
  <c r="X59" i="2" s="1"/>
  <c r="U59" i="2"/>
  <c r="O60" i="2"/>
  <c r="X60" i="2" s="1"/>
  <c r="U60" i="2"/>
  <c r="O61" i="2"/>
  <c r="X61" i="2" s="1"/>
  <c r="U61" i="2"/>
  <c r="O62" i="2"/>
  <c r="X62" i="2" s="1"/>
  <c r="U62" i="2"/>
  <c r="O63" i="2"/>
  <c r="X63" i="2" s="1"/>
  <c r="U63" i="2"/>
  <c r="O64" i="2"/>
  <c r="X64" i="2" s="1"/>
  <c r="U64" i="2"/>
  <c r="O65" i="2"/>
  <c r="X65" i="2" s="1"/>
  <c r="U65" i="2"/>
  <c r="O66" i="2"/>
  <c r="X66" i="2" s="1"/>
  <c r="U66" i="2"/>
  <c r="O42" i="2"/>
  <c r="X42" i="2" s="1"/>
  <c r="U42" i="2"/>
  <c r="O43" i="2"/>
  <c r="X43" i="2" s="1"/>
  <c r="U43" i="2"/>
  <c r="O31" i="2"/>
  <c r="X31" i="2" s="1"/>
  <c r="U31" i="2"/>
  <c r="O32" i="2"/>
  <c r="X32" i="2" s="1"/>
  <c r="U32" i="2"/>
  <c r="O33" i="2"/>
  <c r="X33" i="2" s="1"/>
  <c r="U33" i="2"/>
  <c r="O34" i="2"/>
  <c r="X34" i="2" s="1"/>
  <c r="U34" i="2"/>
  <c r="O35" i="2"/>
  <c r="X35" i="2" s="1"/>
  <c r="U35" i="2"/>
  <c r="O36" i="2"/>
  <c r="X36" i="2" s="1"/>
  <c r="U36" i="2"/>
  <c r="O37" i="2"/>
  <c r="X37" i="2" s="1"/>
  <c r="U37" i="2"/>
  <c r="O38" i="2"/>
  <c r="Z38" i="2" s="1"/>
  <c r="U38" i="2"/>
  <c r="O39" i="2"/>
  <c r="U39" i="2"/>
  <c r="O40" i="2"/>
  <c r="X40" i="2" s="1"/>
  <c r="U40" i="2"/>
  <c r="O16" i="2"/>
  <c r="Z16" i="2" s="1"/>
  <c r="O17" i="2"/>
  <c r="X17" i="2" s="1"/>
  <c r="O15" i="2"/>
  <c r="U16" i="2"/>
  <c r="U17" i="2"/>
  <c r="O18" i="2"/>
  <c r="X18" i="2" s="1"/>
  <c r="U18" i="2"/>
  <c r="O19" i="2"/>
  <c r="X19" i="2" s="1"/>
  <c r="U19" i="2"/>
  <c r="O20" i="2"/>
  <c r="X20" i="2" s="1"/>
  <c r="U20" i="2"/>
  <c r="O21" i="2"/>
  <c r="X21" i="2" s="1"/>
  <c r="U21" i="2"/>
  <c r="O22" i="2"/>
  <c r="X22" i="2" s="1"/>
  <c r="U22" i="2"/>
  <c r="O23" i="2"/>
  <c r="X23" i="2" s="1"/>
  <c r="U23" i="2"/>
  <c r="O24" i="2"/>
  <c r="X24" i="2" s="1"/>
  <c r="U24" i="2"/>
  <c r="O25" i="2"/>
  <c r="X25" i="2" s="1"/>
  <c r="U25" i="2"/>
  <c r="O26" i="2"/>
  <c r="X26" i="2" s="1"/>
  <c r="U26" i="2"/>
  <c r="O27" i="2"/>
  <c r="X27" i="2" s="1"/>
  <c r="U27" i="2"/>
  <c r="O28" i="2"/>
  <c r="X28" i="2" s="1"/>
  <c r="U28" i="2"/>
  <c r="O29" i="2"/>
  <c r="X29" i="2" s="1"/>
  <c r="U29" i="2"/>
  <c r="O30" i="2"/>
  <c r="X30" i="2" s="1"/>
  <c r="U30" i="2"/>
  <c r="O41" i="2"/>
  <c r="X41" i="2" s="1"/>
  <c r="U41" i="2"/>
  <c r="O44" i="2"/>
  <c r="X44" i="2" s="1"/>
  <c r="U44" i="2"/>
  <c r="O45" i="2"/>
  <c r="X45" i="2" s="1"/>
  <c r="U45" i="2"/>
  <c r="O46" i="2"/>
  <c r="X46" i="2" s="1"/>
  <c r="U46" i="2"/>
  <c r="U15" i="2"/>
  <c r="O47" i="2"/>
  <c r="X47" i="2" s="1"/>
  <c r="U47" i="2"/>
  <c r="Z69" i="2" l="1"/>
  <c r="Y69" i="2"/>
  <c r="Y67" i="2"/>
  <c r="Z67" i="2"/>
  <c r="Z68" i="2"/>
  <c r="Y68" i="2"/>
  <c r="Z48" i="2"/>
  <c r="Y48" i="2"/>
  <c r="Y50" i="2"/>
  <c r="Z50" i="2"/>
  <c r="AB50" i="2" s="1"/>
  <c r="AH50" i="2" s="1"/>
  <c r="AI50" i="2" s="1"/>
  <c r="Z49" i="2"/>
  <c r="Y49" i="2"/>
  <c r="Y51" i="2"/>
  <c r="Z51" i="2"/>
  <c r="Z52" i="2"/>
  <c r="Z53" i="2"/>
  <c r="Y52" i="2"/>
  <c r="Y53" i="2"/>
  <c r="Z54" i="2"/>
  <c r="Y54" i="2"/>
  <c r="Z55" i="2"/>
  <c r="Y55" i="2"/>
  <c r="Z56" i="2"/>
  <c r="Y56" i="2"/>
  <c r="Z57" i="2"/>
  <c r="Y57" i="2"/>
  <c r="Y59" i="2"/>
  <c r="Z58" i="2"/>
  <c r="Y58" i="2"/>
  <c r="Z59" i="2"/>
  <c r="Z60" i="2"/>
  <c r="Y60" i="2"/>
  <c r="AB60" i="2" s="1"/>
  <c r="AH60" i="2" s="1"/>
  <c r="AI60" i="2" s="1"/>
  <c r="Z61" i="2"/>
  <c r="Y61" i="2"/>
  <c r="Z62" i="2"/>
  <c r="Y62" i="2"/>
  <c r="Z63" i="2"/>
  <c r="Y63" i="2"/>
  <c r="Z64" i="2"/>
  <c r="Y64" i="2"/>
  <c r="Z65" i="2"/>
  <c r="Y65" i="2"/>
  <c r="Z66" i="2"/>
  <c r="Y66" i="2"/>
  <c r="Y42" i="2"/>
  <c r="Z42" i="2"/>
  <c r="AB42" i="2" s="1"/>
  <c r="AH42" i="2" s="1"/>
  <c r="AI42" i="2" s="1"/>
  <c r="Z43" i="2"/>
  <c r="Y43" i="2"/>
  <c r="AB43" i="2" s="1"/>
  <c r="AH43" i="2" s="1"/>
  <c r="AI43" i="2" s="1"/>
  <c r="Z31" i="2"/>
  <c r="Z32" i="2"/>
  <c r="Y31" i="2"/>
  <c r="Z33" i="2"/>
  <c r="Y32" i="2"/>
  <c r="Y33" i="2"/>
  <c r="Z34" i="2"/>
  <c r="Y34" i="2"/>
  <c r="Z35" i="2"/>
  <c r="Y35" i="2"/>
  <c r="Z36" i="2"/>
  <c r="Z37" i="2"/>
  <c r="Y36" i="2"/>
  <c r="Y39" i="2"/>
  <c r="Y37" i="2"/>
  <c r="Y38" i="2"/>
  <c r="X38" i="2"/>
  <c r="Z39" i="2"/>
  <c r="X39" i="2"/>
  <c r="Z40" i="2"/>
  <c r="Y40" i="2"/>
  <c r="X16" i="2"/>
  <c r="Y16" i="2"/>
  <c r="Z17" i="2"/>
  <c r="Y17" i="2"/>
  <c r="Z18" i="2"/>
  <c r="Y18" i="2"/>
  <c r="Z19" i="2"/>
  <c r="Y19" i="2"/>
  <c r="Z20" i="2"/>
  <c r="Y20" i="2"/>
  <c r="Z21" i="2"/>
  <c r="Y21" i="2"/>
  <c r="Z22" i="2"/>
  <c r="Y22" i="2"/>
  <c r="Z23" i="2"/>
  <c r="Y23" i="2"/>
  <c r="Z24" i="2"/>
  <c r="Z25" i="2"/>
  <c r="Y24" i="2"/>
  <c r="Y25" i="2"/>
  <c r="Z26" i="2"/>
  <c r="Y26" i="2"/>
  <c r="Z27" i="2"/>
  <c r="Y27" i="2"/>
  <c r="Z28" i="2"/>
  <c r="Y28" i="2"/>
  <c r="Z29" i="2"/>
  <c r="AB29" i="2" s="1"/>
  <c r="AH29" i="2" s="1"/>
  <c r="AI29" i="2" s="1"/>
  <c r="Y15" i="2"/>
  <c r="Y29" i="2"/>
  <c r="Y30" i="2"/>
  <c r="Z30" i="2"/>
  <c r="Z41" i="2"/>
  <c r="Y41" i="2"/>
  <c r="Z44" i="2"/>
  <c r="Y44" i="2"/>
  <c r="X15" i="2"/>
  <c r="Z45" i="2"/>
  <c r="Y45" i="2"/>
  <c r="Z46" i="2"/>
  <c r="Y46" i="2"/>
  <c r="Z15" i="2"/>
  <c r="Y47" i="2"/>
  <c r="Z47" i="2"/>
  <c r="AB47" i="2" s="1"/>
  <c r="AH47" i="2" s="1"/>
  <c r="AI47" i="2" s="1"/>
  <c r="AB41" i="2" l="1"/>
  <c r="AH41" i="2" s="1"/>
  <c r="AI41" i="2" s="1"/>
  <c r="AB59" i="2"/>
  <c r="AH59" i="2" s="1"/>
  <c r="AI59" i="2" s="1"/>
  <c r="AB58" i="2"/>
  <c r="AH58" i="2" s="1"/>
  <c r="AI58" i="2" s="1"/>
  <c r="AB27" i="2"/>
  <c r="AH27" i="2" s="1"/>
  <c r="AI27" i="2" s="1"/>
  <c r="AB40" i="2"/>
  <c r="AH40" i="2" s="1"/>
  <c r="AI40" i="2" s="1"/>
  <c r="AB32" i="2"/>
  <c r="AH32" i="2" s="1"/>
  <c r="AI32" i="2" s="1"/>
  <c r="AB30" i="2"/>
  <c r="AH30" i="2" s="1"/>
  <c r="AI30" i="2" s="1"/>
  <c r="AB31" i="2"/>
  <c r="AH31" i="2" s="1"/>
  <c r="AI31" i="2" s="1"/>
  <c r="AB37" i="2"/>
  <c r="AH37" i="2" s="1"/>
  <c r="AI37" i="2" s="1"/>
  <c r="AB28" i="2"/>
  <c r="AH28" i="2" s="1"/>
  <c r="AI28" i="2" s="1"/>
  <c r="AB17" i="2"/>
  <c r="AH17" i="2" s="1"/>
  <c r="AI17" i="2" s="1"/>
  <c r="AB20" i="2"/>
  <c r="AH20" i="2" s="1"/>
  <c r="AI20" i="2" s="1"/>
  <c r="AB44" i="2"/>
  <c r="AH44" i="2" s="1"/>
  <c r="AI44" i="2" s="1"/>
  <c r="AB34" i="2"/>
  <c r="AH34" i="2" s="1"/>
  <c r="AI34" i="2" s="1"/>
  <c r="AB64" i="2"/>
  <c r="AH64" i="2" s="1"/>
  <c r="AI64" i="2" s="1"/>
  <c r="AB56" i="2"/>
  <c r="AH56" i="2" s="1"/>
  <c r="AI56" i="2" s="1"/>
  <c r="AB48" i="2"/>
  <c r="AH48" i="2" s="1"/>
  <c r="AI48" i="2" s="1"/>
  <c r="AB18" i="2"/>
  <c r="AH18" i="2" s="1"/>
  <c r="AI18" i="2" s="1"/>
  <c r="AB25" i="2"/>
  <c r="AH25" i="2" s="1"/>
  <c r="AI25" i="2" s="1"/>
  <c r="AB24" i="2"/>
  <c r="AH24" i="2" s="1"/>
  <c r="AI24" i="2" s="1"/>
  <c r="AB62" i="2"/>
  <c r="AH62" i="2" s="1"/>
  <c r="AI62" i="2" s="1"/>
  <c r="AB19" i="2"/>
  <c r="AH19" i="2" s="1"/>
  <c r="AI19" i="2" s="1"/>
  <c r="AB46" i="2"/>
  <c r="AH46" i="2" s="1"/>
  <c r="AI46" i="2" s="1"/>
  <c r="AB61" i="2"/>
  <c r="AH61" i="2" s="1"/>
  <c r="AI61" i="2" s="1"/>
  <c r="AB52" i="2"/>
  <c r="AH52" i="2" s="1"/>
  <c r="AI52" i="2" s="1"/>
  <c r="AB69" i="2"/>
  <c r="AH69" i="2" s="1"/>
  <c r="AI69" i="2" s="1"/>
  <c r="AB33" i="2"/>
  <c r="AH33" i="2" s="1"/>
  <c r="AB54" i="2"/>
  <c r="AH54" i="2" s="1"/>
  <c r="AI54" i="2" s="1"/>
  <c r="AB22" i="2"/>
  <c r="AH22" i="2" s="1"/>
  <c r="AI22" i="2" s="1"/>
  <c r="AB67" i="2"/>
  <c r="AH67" i="2" s="1"/>
  <c r="AI67" i="2" s="1"/>
  <c r="AB21" i="2"/>
  <c r="AH21" i="2" s="1"/>
  <c r="AI21" i="2" s="1"/>
  <c r="AB51" i="2"/>
  <c r="AH51" i="2" s="1"/>
  <c r="AI51" i="2" s="1"/>
  <c r="AB55" i="2"/>
  <c r="AH55" i="2" s="1"/>
  <c r="AI55" i="2" s="1"/>
  <c r="AB45" i="2"/>
  <c r="AH45" i="2" s="1"/>
  <c r="AB26" i="2"/>
  <c r="AH26" i="2" s="1"/>
  <c r="AI26" i="2" s="1"/>
  <c r="AB36" i="2"/>
  <c r="AH36" i="2" s="1"/>
  <c r="AI36" i="2" s="1"/>
  <c r="AB66" i="2"/>
  <c r="AH66" i="2" s="1"/>
  <c r="AI66" i="2" s="1"/>
  <c r="AB49" i="2"/>
  <c r="AH49" i="2" s="1"/>
  <c r="AI49" i="2" s="1"/>
  <c r="AB68" i="2"/>
  <c r="AH68" i="2" s="1"/>
  <c r="AI68" i="2" s="1"/>
  <c r="AB65" i="2"/>
  <c r="AH65" i="2" s="1"/>
  <c r="AI65" i="2" s="1"/>
  <c r="AB57" i="2"/>
  <c r="AH57" i="2" s="1"/>
  <c r="AI57" i="2" s="1"/>
  <c r="AB23" i="2"/>
  <c r="AH23" i="2" s="1"/>
  <c r="AI23" i="2" s="1"/>
  <c r="AB35" i="2"/>
  <c r="AH35" i="2" s="1"/>
  <c r="AI35" i="2" s="1"/>
  <c r="AB63" i="2"/>
  <c r="AH63" i="2" s="1"/>
  <c r="AI63" i="2" s="1"/>
  <c r="AB16" i="2"/>
  <c r="AH16" i="2" s="1"/>
  <c r="AI16" i="2" s="1"/>
  <c r="AB39" i="2"/>
  <c r="AH39" i="2" s="1"/>
  <c r="AI39" i="2" s="1"/>
  <c r="AB53" i="2"/>
  <c r="AH53" i="2" s="1"/>
  <c r="AI53" i="2" s="1"/>
  <c r="AB38" i="2"/>
  <c r="AH38" i="2" s="1"/>
  <c r="AI38" i="2" s="1"/>
  <c r="AB15" i="2"/>
  <c r="AH15" i="2" s="1"/>
  <c r="AI15" i="2" s="1"/>
  <c r="AD50" i="2"/>
  <c r="AD60" i="2"/>
  <c r="AD42" i="2"/>
  <c r="AD43" i="2"/>
  <c r="AD32" i="2"/>
  <c r="AD29" i="2"/>
  <c r="AD47" i="2"/>
  <c r="AD41" i="2" l="1"/>
  <c r="AD37" i="2"/>
  <c r="AD59" i="2"/>
  <c r="AD27" i="2"/>
  <c r="AD31" i="2"/>
  <c r="AD33" i="2"/>
  <c r="AD34" i="2"/>
  <c r="AD58" i="2"/>
  <c r="AD35" i="2"/>
  <c r="AD30" i="2"/>
  <c r="AD28" i="2"/>
  <c r="AD69" i="2"/>
  <c r="AD54" i="2"/>
  <c r="AD44" i="2"/>
  <c r="AD20" i="2"/>
  <c r="AD16" i="2"/>
  <c r="AD21" i="2"/>
  <c r="AD40" i="2"/>
  <c r="AD52" i="2"/>
  <c r="AD63" i="2"/>
  <c r="AD64" i="2"/>
  <c r="AD22" i="2"/>
  <c r="AD67" i="2"/>
  <c r="AD17" i="2"/>
  <c r="AD25" i="2"/>
  <c r="AD61" i="2"/>
  <c r="AD56" i="2"/>
  <c r="AD24" i="2"/>
  <c r="AD18" i="2"/>
  <c r="AD46" i="2"/>
  <c r="AD15" i="2"/>
  <c r="AD39" i="2"/>
  <c r="AD45" i="2"/>
  <c r="AD53" i="2"/>
  <c r="AD62" i="2"/>
  <c r="AD66" i="2"/>
  <c r="AD19" i="2"/>
  <c r="AD48" i="2"/>
  <c r="AD65" i="2"/>
  <c r="AD68" i="2"/>
  <c r="AD36" i="2"/>
  <c r="AD38" i="2"/>
  <c r="AD23" i="2"/>
  <c r="AD57" i="2"/>
  <c r="AD55" i="2"/>
  <c r="AD26" i="2"/>
  <c r="AD49" i="2"/>
  <c r="AD51" i="2"/>
  <c r="O13" i="2"/>
  <c r="X13" i="2" s="1"/>
  <c r="U13" i="2"/>
  <c r="X14" i="2"/>
  <c r="U14" i="2"/>
  <c r="Z13" i="2" l="1"/>
  <c r="Y13" i="2"/>
  <c r="Y14" i="2"/>
  <c r="Z14" i="2"/>
  <c r="U497" i="2"/>
  <c r="O497" i="2"/>
  <c r="X497" i="2" s="1"/>
  <c r="U496" i="2"/>
  <c r="O496" i="2"/>
  <c r="X496" i="2" s="1"/>
  <c r="U495" i="2"/>
  <c r="O495" i="2"/>
  <c r="Z495" i="2" s="1"/>
  <c r="X436" i="2"/>
  <c r="U436" i="2"/>
  <c r="X437" i="2"/>
  <c r="U437" i="2"/>
  <c r="X434" i="2"/>
  <c r="U434" i="2"/>
  <c r="O435" i="2"/>
  <c r="X435" i="2" s="1"/>
  <c r="U435" i="2"/>
  <c r="X483" i="2"/>
  <c r="U483" i="2"/>
  <c r="O457" i="2"/>
  <c r="X457" i="2" s="1"/>
  <c r="U457" i="2"/>
  <c r="O454" i="2"/>
  <c r="U454" i="2"/>
  <c r="O455" i="2"/>
  <c r="X455" i="2" s="1"/>
  <c r="U455" i="2"/>
  <c r="O452" i="2"/>
  <c r="X452" i="2" s="1"/>
  <c r="U452" i="2"/>
  <c r="O453" i="2"/>
  <c r="X453" i="2" s="1"/>
  <c r="U453" i="2"/>
  <c r="O456" i="2"/>
  <c r="U456" i="2"/>
  <c r="O447" i="2"/>
  <c r="X447" i="2" s="1"/>
  <c r="U447" i="2"/>
  <c r="O448" i="2"/>
  <c r="X448" i="2" s="1"/>
  <c r="U448" i="2"/>
  <c r="O449" i="2"/>
  <c r="U449" i="2"/>
  <c r="O450" i="2"/>
  <c r="X450" i="2" s="1"/>
  <c r="U450" i="2"/>
  <c r="O443" i="2"/>
  <c r="U443" i="2"/>
  <c r="O444" i="2"/>
  <c r="X444" i="2" s="1"/>
  <c r="U444" i="2"/>
  <c r="O445" i="2"/>
  <c r="X445" i="2" s="1"/>
  <c r="U445" i="2"/>
  <c r="O446" i="2"/>
  <c r="X446" i="2" s="1"/>
  <c r="U446" i="2"/>
  <c r="O451" i="2"/>
  <c r="X451" i="2" s="1"/>
  <c r="U451" i="2"/>
  <c r="O431" i="2"/>
  <c r="X431" i="2" s="1"/>
  <c r="U431" i="2"/>
  <c r="O432" i="2"/>
  <c r="X432" i="2" s="1"/>
  <c r="U432" i="2"/>
  <c r="O433" i="2"/>
  <c r="U433" i="2"/>
  <c r="O438" i="2"/>
  <c r="X438" i="2" s="1"/>
  <c r="U438" i="2"/>
  <c r="O439" i="2"/>
  <c r="X439" i="2" s="1"/>
  <c r="U439" i="2"/>
  <c r="O440" i="2"/>
  <c r="X440" i="2" s="1"/>
  <c r="U440" i="2"/>
  <c r="O441" i="2"/>
  <c r="X441" i="2" s="1"/>
  <c r="U441" i="2"/>
  <c r="O442" i="2"/>
  <c r="X442" i="2" s="1"/>
  <c r="U442" i="2"/>
  <c r="O429" i="2"/>
  <c r="X429" i="2" s="1"/>
  <c r="U429" i="2"/>
  <c r="O430" i="2"/>
  <c r="X430" i="2" s="1"/>
  <c r="U430" i="2"/>
  <c r="O427" i="2"/>
  <c r="X427" i="2" s="1"/>
  <c r="U427" i="2"/>
  <c r="O428" i="2"/>
  <c r="X428" i="2" s="1"/>
  <c r="U428" i="2"/>
  <c r="O458" i="2"/>
  <c r="X458" i="2" s="1"/>
  <c r="U458" i="2"/>
  <c r="O426" i="2"/>
  <c r="U426" i="2"/>
  <c r="O423" i="2"/>
  <c r="U423" i="2"/>
  <c r="X424" i="2"/>
  <c r="U424" i="2"/>
  <c r="O425" i="2"/>
  <c r="X425" i="2" s="1"/>
  <c r="U425" i="2"/>
  <c r="O408" i="2"/>
  <c r="X408" i="2" s="1"/>
  <c r="U408" i="2"/>
  <c r="O409" i="2"/>
  <c r="X409" i="2" s="1"/>
  <c r="U409" i="2"/>
  <c r="O410" i="2"/>
  <c r="X410" i="2" s="1"/>
  <c r="U410" i="2"/>
  <c r="O411" i="2"/>
  <c r="X411" i="2" s="1"/>
  <c r="U411" i="2"/>
  <c r="X412" i="2"/>
  <c r="U412" i="2"/>
  <c r="X413" i="2"/>
  <c r="U413" i="2"/>
  <c r="O414" i="2"/>
  <c r="X414" i="2" s="1"/>
  <c r="U414" i="2"/>
  <c r="O415" i="2"/>
  <c r="X415" i="2" s="1"/>
  <c r="U415" i="2"/>
  <c r="O416" i="2"/>
  <c r="X416" i="2" s="1"/>
  <c r="U416" i="2"/>
  <c r="O417" i="2"/>
  <c r="X417" i="2" s="1"/>
  <c r="U417" i="2"/>
  <c r="U418" i="2"/>
  <c r="O419" i="2"/>
  <c r="X419" i="2" s="1"/>
  <c r="U419" i="2"/>
  <c r="O420" i="2"/>
  <c r="X420" i="2" s="1"/>
  <c r="U420" i="2"/>
  <c r="O421" i="2"/>
  <c r="U421" i="2"/>
  <c r="O422" i="2"/>
  <c r="X422" i="2" s="1"/>
  <c r="U422" i="2"/>
  <c r="O494" i="2"/>
  <c r="Z494" i="2" s="1"/>
  <c r="U494" i="2"/>
  <c r="O493" i="2"/>
  <c r="X493" i="2" s="1"/>
  <c r="U493" i="2"/>
  <c r="O492" i="2"/>
  <c r="Z492" i="2" s="1"/>
  <c r="U492" i="2"/>
  <c r="O491" i="2"/>
  <c r="Z491" i="2" s="1"/>
  <c r="U491" i="2"/>
  <c r="O490" i="2"/>
  <c r="U490" i="2"/>
  <c r="O489" i="2"/>
  <c r="X489" i="2" s="1"/>
  <c r="U489" i="2"/>
  <c r="O488" i="2"/>
  <c r="U488" i="2"/>
  <c r="O487" i="2"/>
  <c r="X487" i="2" s="1"/>
  <c r="U487" i="2"/>
  <c r="O486" i="2"/>
  <c r="X486" i="2" s="1"/>
  <c r="U486" i="2"/>
  <c r="O485" i="2"/>
  <c r="X485" i="2" s="1"/>
  <c r="U485" i="2"/>
  <c r="O484" i="2"/>
  <c r="X484" i="2" s="1"/>
  <c r="U484" i="2"/>
  <c r="O482" i="2"/>
  <c r="Z482" i="2" s="1"/>
  <c r="U482" i="2"/>
  <c r="O481" i="2"/>
  <c r="X481" i="2" s="1"/>
  <c r="U481" i="2"/>
  <c r="AB13" i="2" l="1"/>
  <c r="AH13" i="2" s="1"/>
  <c r="AI13" i="2" s="1"/>
  <c r="AB14" i="2"/>
  <c r="AH14" i="2" s="1"/>
  <c r="AI14" i="2" s="1"/>
  <c r="Z497" i="2"/>
  <c r="Y497" i="2"/>
  <c r="Y496" i="2"/>
  <c r="X495" i="2"/>
  <c r="Z496" i="2"/>
  <c r="Y495" i="2"/>
  <c r="Z436" i="2"/>
  <c r="Y436" i="2"/>
  <c r="Z437" i="2"/>
  <c r="Y437" i="2"/>
  <c r="Z434" i="2"/>
  <c r="Y434" i="2"/>
  <c r="Y435" i="2"/>
  <c r="Z435" i="2"/>
  <c r="Z483" i="2"/>
  <c r="Y483" i="2"/>
  <c r="Z457" i="2"/>
  <c r="Y457" i="2"/>
  <c r="Y454" i="2"/>
  <c r="Z454" i="2"/>
  <c r="X454" i="2"/>
  <c r="Z455" i="2"/>
  <c r="Y456" i="2"/>
  <c r="Y455" i="2"/>
  <c r="Z456" i="2"/>
  <c r="X456" i="2"/>
  <c r="Z453" i="2"/>
  <c r="Z452" i="2"/>
  <c r="Y452" i="2"/>
  <c r="Y453" i="2"/>
  <c r="Z450" i="2"/>
  <c r="Y450" i="2"/>
  <c r="Y449" i="2"/>
  <c r="Z449" i="2"/>
  <c r="X449" i="2"/>
  <c r="Z448" i="2"/>
  <c r="Y447" i="2"/>
  <c r="Z447" i="2"/>
  <c r="Y448" i="2"/>
  <c r="Z446" i="2"/>
  <c r="Y446" i="2"/>
  <c r="Z445" i="2"/>
  <c r="Y443" i="2"/>
  <c r="X443" i="2"/>
  <c r="Z443" i="2"/>
  <c r="Z444" i="2"/>
  <c r="Y444" i="2"/>
  <c r="Y445" i="2"/>
  <c r="Y451" i="2"/>
  <c r="Z451" i="2"/>
  <c r="Z439" i="2"/>
  <c r="Z438" i="2"/>
  <c r="Y439" i="2"/>
  <c r="Y438" i="2"/>
  <c r="Y433" i="2"/>
  <c r="X433" i="2"/>
  <c r="Z433" i="2"/>
  <c r="Z432" i="2"/>
  <c r="Z431" i="2"/>
  <c r="Y431" i="2"/>
  <c r="Z440" i="2"/>
  <c r="AB440" i="2" s="1"/>
  <c r="AH440" i="2" s="1"/>
  <c r="AI440" i="2" s="1"/>
  <c r="Y432" i="2"/>
  <c r="Y440" i="2"/>
  <c r="Z441" i="2"/>
  <c r="Y441" i="2"/>
  <c r="Z442" i="2"/>
  <c r="Y442" i="2"/>
  <c r="Z429" i="2"/>
  <c r="Y429" i="2"/>
  <c r="Z430" i="2"/>
  <c r="Y430" i="2"/>
  <c r="Z427" i="2"/>
  <c r="Y427" i="2"/>
  <c r="Z428" i="2"/>
  <c r="Y428" i="2"/>
  <c r="Z458" i="2"/>
  <c r="Y458" i="2"/>
  <c r="Y426" i="2"/>
  <c r="X426" i="2"/>
  <c r="Z426" i="2"/>
  <c r="Z425" i="2"/>
  <c r="Y423" i="2"/>
  <c r="X423" i="2"/>
  <c r="Z423" i="2"/>
  <c r="Z424" i="2"/>
  <c r="Y424" i="2"/>
  <c r="Y425" i="2"/>
  <c r="Z422" i="2"/>
  <c r="Y421" i="2"/>
  <c r="Z421" i="2"/>
  <c r="X421" i="2"/>
  <c r="Y418" i="2"/>
  <c r="Y417" i="2"/>
  <c r="Z417" i="2"/>
  <c r="Z416" i="2"/>
  <c r="Y416" i="2"/>
  <c r="Z413" i="2"/>
  <c r="Y413" i="2"/>
  <c r="Z412" i="2"/>
  <c r="Z408" i="2"/>
  <c r="Y408" i="2"/>
  <c r="Z409" i="2"/>
  <c r="Y412" i="2"/>
  <c r="Z410" i="2"/>
  <c r="Y409" i="2"/>
  <c r="Z414" i="2"/>
  <c r="Z415" i="2"/>
  <c r="Y414" i="2"/>
  <c r="Z411" i="2"/>
  <c r="AB411" i="2" s="1"/>
  <c r="AH411" i="2" s="1"/>
  <c r="AI411" i="2" s="1"/>
  <c r="Y410" i="2"/>
  <c r="Z418" i="2"/>
  <c r="Z419" i="2"/>
  <c r="X418" i="2"/>
  <c r="Y415" i="2"/>
  <c r="Y411" i="2"/>
  <c r="Y419" i="2"/>
  <c r="Y420" i="2"/>
  <c r="Z420" i="2"/>
  <c r="Y422" i="2"/>
  <c r="X494" i="2"/>
  <c r="Y494" i="2"/>
  <c r="Z493" i="2"/>
  <c r="Y493" i="2"/>
  <c r="X492" i="2"/>
  <c r="Y492" i="2"/>
  <c r="X491" i="2"/>
  <c r="Y491" i="2"/>
  <c r="Y490" i="2"/>
  <c r="X490" i="2"/>
  <c r="Z490" i="2"/>
  <c r="Z489" i="2"/>
  <c r="Y489" i="2"/>
  <c r="Y488" i="2"/>
  <c r="X488" i="2"/>
  <c r="Z488" i="2"/>
  <c r="Z487" i="2"/>
  <c r="Y487" i="2"/>
  <c r="Z486" i="2"/>
  <c r="Y486" i="2"/>
  <c r="Z485" i="2"/>
  <c r="Y485" i="2"/>
  <c r="Z484" i="2"/>
  <c r="Y484" i="2"/>
  <c r="X482" i="2"/>
  <c r="Y482" i="2"/>
  <c r="Z481" i="2"/>
  <c r="Y481" i="2"/>
  <c r="O480" i="2"/>
  <c r="X480" i="2" s="1"/>
  <c r="U480" i="2"/>
  <c r="O479" i="2"/>
  <c r="X479" i="2" s="1"/>
  <c r="U479" i="2"/>
  <c r="O478" i="2"/>
  <c r="Z478" i="2" s="1"/>
  <c r="U478" i="2"/>
  <c r="O477" i="2"/>
  <c r="X477" i="2" s="1"/>
  <c r="U477" i="2"/>
  <c r="O476" i="2"/>
  <c r="X476" i="2" s="1"/>
  <c r="U476" i="2"/>
  <c r="O475" i="2"/>
  <c r="Z475" i="2" s="1"/>
  <c r="U475" i="2"/>
  <c r="O474" i="2"/>
  <c r="Z474" i="2" s="1"/>
  <c r="U474" i="2"/>
  <c r="O473" i="2"/>
  <c r="Z473" i="2" s="1"/>
  <c r="U473" i="2"/>
  <c r="O472" i="2"/>
  <c r="X472" i="2" s="1"/>
  <c r="U472" i="2"/>
  <c r="O471" i="2"/>
  <c r="Z471" i="2" s="1"/>
  <c r="U471" i="2"/>
  <c r="O470" i="2"/>
  <c r="Z470" i="2" s="1"/>
  <c r="U470" i="2"/>
  <c r="O469" i="2"/>
  <c r="X469" i="2" s="1"/>
  <c r="U469" i="2"/>
  <c r="O468" i="2"/>
  <c r="X468" i="2" s="1"/>
  <c r="U468" i="2"/>
  <c r="O467" i="2"/>
  <c r="X467" i="2" s="1"/>
  <c r="U467" i="2"/>
  <c r="X466" i="2"/>
  <c r="U466" i="2"/>
  <c r="O465" i="2"/>
  <c r="Z465" i="2" s="1"/>
  <c r="U465" i="2"/>
  <c r="O464" i="2"/>
  <c r="X464" i="2" s="1"/>
  <c r="U464" i="2"/>
  <c r="O463" i="2"/>
  <c r="Z463" i="2" s="1"/>
  <c r="U463" i="2"/>
  <c r="Z462" i="2"/>
  <c r="U462" i="2"/>
  <c r="O461" i="2"/>
  <c r="Z461" i="2" s="1"/>
  <c r="U461" i="2"/>
  <c r="O460" i="2"/>
  <c r="Z460" i="2" s="1"/>
  <c r="U460" i="2"/>
  <c r="O459" i="2"/>
  <c r="U459" i="2"/>
  <c r="AB452" i="2" l="1"/>
  <c r="AH452" i="2" s="1"/>
  <c r="AI452" i="2" s="1"/>
  <c r="AB419" i="2"/>
  <c r="AH419" i="2" s="1"/>
  <c r="AI419" i="2" s="1"/>
  <c r="AB422" i="2"/>
  <c r="AH422" i="2" s="1"/>
  <c r="AI422" i="2" s="1"/>
  <c r="AB430" i="2"/>
  <c r="AH430" i="2" s="1"/>
  <c r="AI430" i="2" s="1"/>
  <c r="AB455" i="2"/>
  <c r="AH455" i="2" s="1"/>
  <c r="AI455" i="2" s="1"/>
  <c r="AB489" i="2"/>
  <c r="AH489" i="2" s="1"/>
  <c r="AI489" i="2" s="1"/>
  <c r="AB451" i="2"/>
  <c r="AH451" i="2" s="1"/>
  <c r="AI451" i="2" s="1"/>
  <c r="AB418" i="2"/>
  <c r="AH418" i="2" s="1"/>
  <c r="AI418" i="2" s="1"/>
  <c r="AB425" i="2"/>
  <c r="AH425" i="2" s="1"/>
  <c r="AI425" i="2" s="1"/>
  <c r="AD13" i="2"/>
  <c r="AB487" i="2"/>
  <c r="AH487" i="2" s="1"/>
  <c r="AI487" i="2" s="1"/>
  <c r="AB427" i="2"/>
  <c r="AH427" i="2" s="1"/>
  <c r="AI427" i="2" s="1"/>
  <c r="AB424" i="2"/>
  <c r="AH424" i="2" s="1"/>
  <c r="AI424" i="2" s="1"/>
  <c r="AB408" i="2"/>
  <c r="AH408" i="2" s="1"/>
  <c r="AI408" i="2" s="1"/>
  <c r="AB429" i="2"/>
  <c r="AH429" i="2" s="1"/>
  <c r="AI429" i="2" s="1"/>
  <c r="AB438" i="2"/>
  <c r="AH438" i="2" s="1"/>
  <c r="AI438" i="2" s="1"/>
  <c r="AB448" i="2"/>
  <c r="AH448" i="2" s="1"/>
  <c r="AI448" i="2" s="1"/>
  <c r="AB412" i="2"/>
  <c r="AH412" i="2" s="1"/>
  <c r="AI412" i="2" s="1"/>
  <c r="AB439" i="2"/>
  <c r="AH439" i="2" s="1"/>
  <c r="AI439" i="2" s="1"/>
  <c r="AB415" i="2"/>
  <c r="AH415" i="2" s="1"/>
  <c r="AI415" i="2" s="1"/>
  <c r="AB457" i="2"/>
  <c r="AH457" i="2" s="1"/>
  <c r="AI457" i="2" s="1"/>
  <c r="AB450" i="2"/>
  <c r="AH450" i="2" s="1"/>
  <c r="AI450" i="2" s="1"/>
  <c r="AB483" i="2"/>
  <c r="AH483" i="2" s="1"/>
  <c r="AI483" i="2" s="1"/>
  <c r="AD14" i="2"/>
  <c r="AB437" i="2"/>
  <c r="AH437" i="2" s="1"/>
  <c r="AI437" i="2" s="1"/>
  <c r="AB484" i="2"/>
  <c r="AH484" i="2" s="1"/>
  <c r="AI484" i="2" s="1"/>
  <c r="AB417" i="2"/>
  <c r="AH417" i="2" s="1"/>
  <c r="AI417" i="2" s="1"/>
  <c r="AB444" i="2"/>
  <c r="AH444" i="2" s="1"/>
  <c r="AI444" i="2" s="1"/>
  <c r="AB435" i="2"/>
  <c r="AH435" i="2" s="1"/>
  <c r="AI435" i="2" s="1"/>
  <c r="AB481" i="2"/>
  <c r="AH481" i="2" s="1"/>
  <c r="AI481" i="2" s="1"/>
  <c r="AB416" i="2"/>
  <c r="AH416" i="2" s="1"/>
  <c r="AI416" i="2" s="1"/>
  <c r="AB441" i="2"/>
  <c r="AH441" i="2" s="1"/>
  <c r="AI441" i="2" s="1"/>
  <c r="AB458" i="2"/>
  <c r="AH458" i="2" s="1"/>
  <c r="AI458" i="2" s="1"/>
  <c r="AB413" i="2"/>
  <c r="AH413" i="2" s="1"/>
  <c r="AI413" i="2" s="1"/>
  <c r="AB431" i="2"/>
  <c r="AH431" i="2" s="1"/>
  <c r="AI431" i="2" s="1"/>
  <c r="AB453" i="2"/>
  <c r="AH453" i="2" s="1"/>
  <c r="AI453" i="2" s="1"/>
  <c r="AB434" i="2"/>
  <c r="AH434" i="2" s="1"/>
  <c r="AI434" i="2" s="1"/>
  <c r="AB442" i="2"/>
  <c r="AH442" i="2" s="1"/>
  <c r="AI442" i="2" s="1"/>
  <c r="AB485" i="2"/>
  <c r="AH485" i="2" s="1"/>
  <c r="AI485" i="2" s="1"/>
  <c r="AB486" i="2"/>
  <c r="AH486" i="2" s="1"/>
  <c r="AI486" i="2" s="1"/>
  <c r="AB493" i="2"/>
  <c r="AH493" i="2" s="1"/>
  <c r="AI493" i="2" s="1"/>
  <c r="AB414" i="2"/>
  <c r="AH414" i="2" s="1"/>
  <c r="AI414" i="2" s="1"/>
  <c r="AB428" i="2"/>
  <c r="AH428" i="2" s="1"/>
  <c r="AI428" i="2" s="1"/>
  <c r="AB432" i="2"/>
  <c r="AH432" i="2" s="1"/>
  <c r="AI432" i="2" s="1"/>
  <c r="AB445" i="2"/>
  <c r="AH445" i="2" s="1"/>
  <c r="AI445" i="2" s="1"/>
  <c r="AB456" i="2"/>
  <c r="AH456" i="2" s="1"/>
  <c r="AI456" i="2" s="1"/>
  <c r="AB490" i="2"/>
  <c r="AH490" i="2" s="1"/>
  <c r="AI490" i="2" s="1"/>
  <c r="AB446" i="2"/>
  <c r="AH446" i="2" s="1"/>
  <c r="AI446" i="2" s="1"/>
  <c r="AB410" i="2"/>
  <c r="AH410" i="2" s="1"/>
  <c r="AI410" i="2" s="1"/>
  <c r="AB436" i="2"/>
  <c r="AH436" i="2" s="1"/>
  <c r="AI436" i="2" s="1"/>
  <c r="AB420" i="2"/>
  <c r="AH420" i="2" s="1"/>
  <c r="AI420" i="2" s="1"/>
  <c r="AB409" i="2"/>
  <c r="AH409" i="2" s="1"/>
  <c r="AI409" i="2" s="1"/>
  <c r="AB447" i="2"/>
  <c r="AH447" i="2" s="1"/>
  <c r="AI447" i="2" s="1"/>
  <c r="AB454" i="2"/>
  <c r="AH454" i="2" s="1"/>
  <c r="AI454" i="2" s="1"/>
  <c r="AB496" i="2"/>
  <c r="AH496" i="2" s="1"/>
  <c r="AI496" i="2" s="1"/>
  <c r="AB497" i="2"/>
  <c r="AH497" i="2" s="1"/>
  <c r="AI497" i="2" s="1"/>
  <c r="AB488" i="2"/>
  <c r="AH488" i="2" s="1"/>
  <c r="AI488" i="2" s="1"/>
  <c r="AB433" i="2"/>
  <c r="AH433" i="2" s="1"/>
  <c r="AI433" i="2" s="1"/>
  <c r="AB495" i="2"/>
  <c r="AH495" i="2" s="1"/>
  <c r="AI495" i="2" s="1"/>
  <c r="AB423" i="2"/>
  <c r="AH423" i="2" s="1"/>
  <c r="AI423" i="2" s="1"/>
  <c r="AB449" i="2"/>
  <c r="AH449" i="2" s="1"/>
  <c r="AI449" i="2" s="1"/>
  <c r="AB426" i="2"/>
  <c r="AH426" i="2" s="1"/>
  <c r="AI426" i="2" s="1"/>
  <c r="AB491" i="2"/>
  <c r="AH491" i="2" s="1"/>
  <c r="AI491" i="2" s="1"/>
  <c r="AB482" i="2"/>
  <c r="AH482" i="2" s="1"/>
  <c r="AI482" i="2" s="1"/>
  <c r="AB492" i="2"/>
  <c r="AH492" i="2" s="1"/>
  <c r="AI492" i="2" s="1"/>
  <c r="AB443" i="2"/>
  <c r="AH443" i="2" s="1"/>
  <c r="AI443" i="2" s="1"/>
  <c r="AB494" i="2"/>
  <c r="AH494" i="2" s="1"/>
  <c r="AI494" i="2" s="1"/>
  <c r="AB421" i="2"/>
  <c r="AH421" i="2" s="1"/>
  <c r="AI421" i="2" s="1"/>
  <c r="AD422" i="2"/>
  <c r="AD489" i="2"/>
  <c r="AD419" i="2"/>
  <c r="AD450" i="2"/>
  <c r="AD483" i="2"/>
  <c r="AD457" i="2"/>
  <c r="AD455" i="2"/>
  <c r="AD452" i="2"/>
  <c r="AD451" i="2"/>
  <c r="AD440" i="2"/>
  <c r="AD431" i="2"/>
  <c r="AD430" i="2"/>
  <c r="AD411" i="2"/>
  <c r="X475" i="2"/>
  <c r="X473" i="2"/>
  <c r="Y480" i="2"/>
  <c r="Z480" i="2"/>
  <c r="Z479" i="2"/>
  <c r="Y479" i="2"/>
  <c r="Y478" i="2"/>
  <c r="X478" i="2"/>
  <c r="Z477" i="2"/>
  <c r="Y477" i="2"/>
  <c r="Z476" i="2"/>
  <c r="Y476" i="2"/>
  <c r="Y475" i="2"/>
  <c r="X474" i="2"/>
  <c r="Y474" i="2"/>
  <c r="Y473" i="2"/>
  <c r="Z472" i="2"/>
  <c r="Y472" i="2"/>
  <c r="X471" i="2"/>
  <c r="Y471" i="2"/>
  <c r="Y470" i="2"/>
  <c r="X470" i="2"/>
  <c r="AB470" i="2" s="1"/>
  <c r="AH470" i="2" s="1"/>
  <c r="AI470" i="2" s="1"/>
  <c r="Z469" i="2"/>
  <c r="Y469" i="2"/>
  <c r="Z464" i="2"/>
  <c r="X461" i="2"/>
  <c r="Z468" i="2"/>
  <c r="Z467" i="2"/>
  <c r="X463" i="2"/>
  <c r="Z466" i="2"/>
  <c r="Y468" i="2"/>
  <c r="X462" i="2"/>
  <c r="X460" i="2"/>
  <c r="Y467" i="2"/>
  <c r="Y464" i="2"/>
  <c r="Y460" i="2"/>
  <c r="Y461" i="2"/>
  <c r="Y462" i="2"/>
  <c r="Y463" i="2"/>
  <c r="X465" i="2"/>
  <c r="Y466" i="2"/>
  <c r="Y465" i="2"/>
  <c r="Y459" i="2"/>
  <c r="Z459" i="2"/>
  <c r="X459" i="2"/>
  <c r="O407" i="2"/>
  <c r="X407" i="2" s="1"/>
  <c r="U407" i="2"/>
  <c r="O406" i="2"/>
  <c r="X406" i="2" s="1"/>
  <c r="U406" i="2"/>
  <c r="O405" i="2"/>
  <c r="X405" i="2" s="1"/>
  <c r="U405" i="2"/>
  <c r="O404" i="2"/>
  <c r="X404" i="2" s="1"/>
  <c r="U404" i="2"/>
  <c r="O403" i="2"/>
  <c r="X403" i="2" s="1"/>
  <c r="U403" i="2"/>
  <c r="O402" i="2"/>
  <c r="X402" i="2" s="1"/>
  <c r="U402" i="2"/>
  <c r="O401" i="2"/>
  <c r="X401" i="2" s="1"/>
  <c r="U401" i="2"/>
  <c r="O400" i="2"/>
  <c r="X400" i="2" s="1"/>
  <c r="U400" i="2"/>
  <c r="O399" i="2"/>
  <c r="X399" i="2" s="1"/>
  <c r="U399" i="2"/>
  <c r="O398" i="2"/>
  <c r="Z398" i="2" s="1"/>
  <c r="U398" i="2"/>
  <c r="O397" i="2"/>
  <c r="X397" i="2" s="1"/>
  <c r="U397" i="2"/>
  <c r="O396" i="2"/>
  <c r="U396" i="2"/>
  <c r="O395" i="2"/>
  <c r="X395" i="2" s="1"/>
  <c r="U395" i="2"/>
  <c r="O394" i="2"/>
  <c r="X394" i="2" s="1"/>
  <c r="U394" i="2"/>
  <c r="O393" i="2"/>
  <c r="X393" i="2" s="1"/>
  <c r="U393" i="2"/>
  <c r="O390" i="2"/>
  <c r="X390" i="2" s="1"/>
  <c r="U390" i="2"/>
  <c r="O382" i="2"/>
  <c r="X382" i="2" s="1"/>
  <c r="U382" i="2"/>
  <c r="O392" i="2"/>
  <c r="X392" i="2" s="1"/>
  <c r="U392" i="2"/>
  <c r="O391" i="2"/>
  <c r="X391" i="2" s="1"/>
  <c r="U391" i="2"/>
  <c r="O389" i="2"/>
  <c r="X389" i="2" s="1"/>
  <c r="U389" i="2"/>
  <c r="O388" i="2"/>
  <c r="X388" i="2" s="1"/>
  <c r="U388" i="2"/>
  <c r="O387" i="2"/>
  <c r="X387" i="2" s="1"/>
  <c r="U387" i="2"/>
  <c r="O386" i="2"/>
  <c r="X386" i="2" s="1"/>
  <c r="U386" i="2"/>
  <c r="O385" i="2"/>
  <c r="X385" i="2" s="1"/>
  <c r="U385" i="2"/>
  <c r="O384" i="2"/>
  <c r="X384" i="2" s="1"/>
  <c r="U384" i="2"/>
  <c r="O383" i="2"/>
  <c r="Z383" i="2" s="1"/>
  <c r="U383" i="2"/>
  <c r="O381" i="2"/>
  <c r="Z381" i="2" s="1"/>
  <c r="U381" i="2"/>
  <c r="O380" i="2"/>
  <c r="X380" i="2" s="1"/>
  <c r="U380" i="2"/>
  <c r="O379" i="2"/>
  <c r="X379" i="2" s="1"/>
  <c r="U379" i="2"/>
  <c r="O378" i="2"/>
  <c r="U378" i="2"/>
  <c r="O377" i="2"/>
  <c r="X377" i="2" s="1"/>
  <c r="U377" i="2"/>
  <c r="O376" i="2"/>
  <c r="X376" i="2" s="1"/>
  <c r="U376" i="2"/>
  <c r="O375" i="2"/>
  <c r="X375" i="2" s="1"/>
  <c r="U375" i="2"/>
  <c r="O374" i="2"/>
  <c r="X374" i="2" s="1"/>
  <c r="U374" i="2"/>
  <c r="O373" i="2"/>
  <c r="X373" i="2" s="1"/>
  <c r="U373" i="2"/>
  <c r="O371" i="2"/>
  <c r="U371" i="2"/>
  <c r="AD424" i="2" l="1"/>
  <c r="AD418" i="2"/>
  <c r="AB459" i="2"/>
  <c r="AH459" i="2" s="1"/>
  <c r="AI459" i="2" s="1"/>
  <c r="AD444" i="2"/>
  <c r="AD446" i="2"/>
  <c r="AD408" i="2"/>
  <c r="AB463" i="2"/>
  <c r="AH463" i="2" s="1"/>
  <c r="AI463" i="2" s="1"/>
  <c r="AD410" i="2"/>
  <c r="AD416" i="2"/>
  <c r="AD425" i="2"/>
  <c r="AD427" i="2"/>
  <c r="AB469" i="2"/>
  <c r="AH469" i="2" s="1"/>
  <c r="AI469" i="2" s="1"/>
  <c r="AB478" i="2"/>
  <c r="AH478" i="2" s="1"/>
  <c r="AI478" i="2" s="1"/>
  <c r="AD417" i="2"/>
  <c r="AD436" i="2"/>
  <c r="AD435" i="2"/>
  <c r="AD458" i="2"/>
  <c r="AD412" i="2"/>
  <c r="AD487" i="2"/>
  <c r="AB475" i="2"/>
  <c r="AH475" i="2" s="1"/>
  <c r="AI475" i="2" s="1"/>
  <c r="AD439" i="2"/>
  <c r="AD495" i="2"/>
  <c r="AD490" i="2"/>
  <c r="AD438" i="2"/>
  <c r="AD491" i="2"/>
  <c r="AB466" i="2"/>
  <c r="AH466" i="2" s="1"/>
  <c r="AI466" i="2" s="1"/>
  <c r="AD497" i="2"/>
  <c r="AD481" i="2"/>
  <c r="AD454" i="2"/>
  <c r="AD443" i="2"/>
  <c r="AD441" i="2"/>
  <c r="AD420" i="2"/>
  <c r="AD415" i="2"/>
  <c r="AD488" i="2"/>
  <c r="AD496" i="2"/>
  <c r="AD437" i="2"/>
  <c r="AB467" i="2"/>
  <c r="AH467" i="2" s="1"/>
  <c r="AI467" i="2" s="1"/>
  <c r="AB472" i="2"/>
  <c r="AH472" i="2" s="1"/>
  <c r="AI472" i="2" s="1"/>
  <c r="AD494" i="2"/>
  <c r="AB477" i="2"/>
  <c r="AH477" i="2" s="1"/>
  <c r="AI477" i="2" s="1"/>
  <c r="AD413" i="2"/>
  <c r="AD447" i="2"/>
  <c r="AD448" i="2"/>
  <c r="AD453" i="2"/>
  <c r="AD429" i="2"/>
  <c r="AD484" i="2"/>
  <c r="AB480" i="2"/>
  <c r="AH480" i="2" s="1"/>
  <c r="AI480" i="2" s="1"/>
  <c r="AD456" i="2"/>
  <c r="AB473" i="2"/>
  <c r="AH473" i="2" s="1"/>
  <c r="AI473" i="2" s="1"/>
  <c r="AD421" i="2"/>
  <c r="AD432" i="2"/>
  <c r="AD428" i="2"/>
  <c r="AD449" i="2"/>
  <c r="AB479" i="2"/>
  <c r="AH479" i="2" s="1"/>
  <c r="AI479" i="2" s="1"/>
  <c r="AD493" i="2"/>
  <c r="AD445" i="2"/>
  <c r="AD423" i="2"/>
  <c r="AB468" i="2"/>
  <c r="AH468" i="2" s="1"/>
  <c r="AI468" i="2" s="1"/>
  <c r="AB476" i="2"/>
  <c r="AH476" i="2" s="1"/>
  <c r="AI476" i="2" s="1"/>
  <c r="AD486" i="2"/>
  <c r="AB464" i="2"/>
  <c r="AH464" i="2" s="1"/>
  <c r="AI464" i="2" s="1"/>
  <c r="AD414" i="2"/>
  <c r="AD442" i="2"/>
  <c r="AD485" i="2"/>
  <c r="AD409" i="2"/>
  <c r="AD434" i="2"/>
  <c r="AB462" i="2"/>
  <c r="AH462" i="2" s="1"/>
  <c r="AI462" i="2" s="1"/>
  <c r="AD482" i="2"/>
  <c r="AB471" i="2"/>
  <c r="AH471" i="2" s="1"/>
  <c r="AI471" i="2" s="1"/>
  <c r="AB474" i="2"/>
  <c r="AH474" i="2" s="1"/>
  <c r="AI474" i="2" s="1"/>
  <c r="AD492" i="2"/>
  <c r="AD426" i="2"/>
  <c r="AB461" i="2"/>
  <c r="AH461" i="2" s="1"/>
  <c r="AI461" i="2" s="1"/>
  <c r="AB460" i="2"/>
  <c r="AH460" i="2" s="1"/>
  <c r="AI460" i="2" s="1"/>
  <c r="AB465" i="2"/>
  <c r="AH465" i="2" s="1"/>
  <c r="AI465" i="2" s="1"/>
  <c r="AD433" i="2"/>
  <c r="AD475" i="2"/>
  <c r="AD470" i="2"/>
  <c r="AD463" i="2"/>
  <c r="AD459" i="2"/>
  <c r="Z407" i="2"/>
  <c r="Y407" i="2"/>
  <c r="Z406" i="2"/>
  <c r="Z405" i="2"/>
  <c r="Y406" i="2"/>
  <c r="Y405" i="2"/>
  <c r="Z404" i="2"/>
  <c r="Y404" i="2"/>
  <c r="Y396" i="2"/>
  <c r="Z403" i="2"/>
  <c r="Y403" i="2"/>
  <c r="Z402" i="2"/>
  <c r="Y402" i="2"/>
  <c r="Y401" i="2"/>
  <c r="Z401" i="2"/>
  <c r="Z400" i="2"/>
  <c r="Y400" i="2"/>
  <c r="Z399" i="2"/>
  <c r="Y399" i="2"/>
  <c r="X398" i="2"/>
  <c r="Y398" i="2"/>
  <c r="Z397" i="2"/>
  <c r="Y397" i="2"/>
  <c r="X396" i="2"/>
  <c r="Z396" i="2"/>
  <c r="Z395" i="2"/>
  <c r="Y395" i="2"/>
  <c r="Z394" i="2"/>
  <c r="Y394" i="2"/>
  <c r="Z393" i="2"/>
  <c r="Y393" i="2"/>
  <c r="Z392" i="2"/>
  <c r="Z390" i="2"/>
  <c r="Y390" i="2"/>
  <c r="Y388" i="2"/>
  <c r="Z387" i="2"/>
  <c r="Y383" i="2"/>
  <c r="X383" i="2"/>
  <c r="Z382" i="2"/>
  <c r="Y382" i="2"/>
  <c r="Z380" i="2"/>
  <c r="Y380" i="2"/>
  <c r="Y378" i="2"/>
  <c r="Y381" i="2"/>
  <c r="Z385" i="2"/>
  <c r="Z386" i="2"/>
  <c r="Z391" i="2"/>
  <c r="X381" i="2"/>
  <c r="AB381" i="2" s="1"/>
  <c r="AH381" i="2" s="1"/>
  <c r="AI381" i="2" s="1"/>
  <c r="Y385" i="2"/>
  <c r="Y387" i="2"/>
  <c r="Z388" i="2"/>
  <c r="Y391" i="2"/>
  <c r="Z378" i="2"/>
  <c r="Y386" i="2"/>
  <c r="Z379" i="2"/>
  <c r="Z389" i="2"/>
  <c r="X378" i="2"/>
  <c r="Y379" i="2"/>
  <c r="AB379" i="2" s="1"/>
  <c r="AH379" i="2" s="1"/>
  <c r="AI379" i="2" s="1"/>
  <c r="Y384" i="2"/>
  <c r="Y389" i="2"/>
  <c r="Y392" i="2"/>
  <c r="Z384" i="2"/>
  <c r="Y377" i="2"/>
  <c r="Z377" i="2"/>
  <c r="AB377" i="2" s="1"/>
  <c r="AH377" i="2" s="1"/>
  <c r="AI377" i="2" s="1"/>
  <c r="Y376" i="2"/>
  <c r="Z376" i="2"/>
  <c r="Y375" i="2"/>
  <c r="Z375" i="2"/>
  <c r="Y374" i="2"/>
  <c r="Z374" i="2"/>
  <c r="Z373" i="2"/>
  <c r="Y371" i="2"/>
  <c r="Y373" i="2"/>
  <c r="Z371" i="2"/>
  <c r="X371" i="2"/>
  <c r="O372" i="2"/>
  <c r="X372" i="2" s="1"/>
  <c r="U372" i="2"/>
  <c r="O370" i="2"/>
  <c r="X370" i="2" s="1"/>
  <c r="U370" i="2"/>
  <c r="X369" i="2"/>
  <c r="U369" i="2"/>
  <c r="O368" i="2"/>
  <c r="X368" i="2" s="1"/>
  <c r="U368" i="2"/>
  <c r="AD478" i="2" l="1"/>
  <c r="AB388" i="2"/>
  <c r="AH388" i="2" s="1"/>
  <c r="AI388" i="2" s="1"/>
  <c r="AB376" i="2"/>
  <c r="AH376" i="2" s="1"/>
  <c r="AI376" i="2" s="1"/>
  <c r="AB407" i="2"/>
  <c r="AH407" i="2" s="1"/>
  <c r="AI407" i="2" s="1"/>
  <c r="AD462" i="2"/>
  <c r="AB384" i="2"/>
  <c r="AH384" i="2" s="1"/>
  <c r="AI384" i="2" s="1"/>
  <c r="AD469" i="2"/>
  <c r="AB395" i="2"/>
  <c r="AH395" i="2" s="1"/>
  <c r="AI395" i="2" s="1"/>
  <c r="AB403" i="2"/>
  <c r="AH403" i="2" s="1"/>
  <c r="AI403" i="2" s="1"/>
  <c r="AB374" i="2"/>
  <c r="AH374" i="2" s="1"/>
  <c r="AI374" i="2" s="1"/>
  <c r="AD466" i="2"/>
  <c r="AD467" i="2"/>
  <c r="AD472" i="2"/>
  <c r="AD474" i="2"/>
  <c r="AB380" i="2"/>
  <c r="AH380" i="2" s="1"/>
  <c r="AI380" i="2" s="1"/>
  <c r="AD477" i="2"/>
  <c r="AB393" i="2"/>
  <c r="AH393" i="2" s="1"/>
  <c r="AI393" i="2" s="1"/>
  <c r="AB382" i="2"/>
  <c r="AH382" i="2" s="1"/>
  <c r="AI382" i="2" s="1"/>
  <c r="AB385" i="2"/>
  <c r="AH385" i="2" s="1"/>
  <c r="AI385" i="2" s="1"/>
  <c r="AD479" i="2"/>
  <c r="AD465" i="2"/>
  <c r="AB375" i="2"/>
  <c r="AH375" i="2" s="1"/>
  <c r="AI375" i="2" s="1"/>
  <c r="AD473" i="2"/>
  <c r="AB373" i="2"/>
  <c r="AH373" i="2" s="1"/>
  <c r="AI373" i="2" s="1"/>
  <c r="AB406" i="2"/>
  <c r="AH406" i="2" s="1"/>
  <c r="AI406" i="2" s="1"/>
  <c r="AD480" i="2"/>
  <c r="AB405" i="2"/>
  <c r="AH405" i="2" s="1"/>
  <c r="AI405" i="2" s="1"/>
  <c r="AD476" i="2"/>
  <c r="AB387" i="2"/>
  <c r="AH387" i="2" s="1"/>
  <c r="AI387" i="2" s="1"/>
  <c r="AB390" i="2"/>
  <c r="AH390" i="2" s="1"/>
  <c r="AI390" i="2" s="1"/>
  <c r="AB392" i="2"/>
  <c r="AH392" i="2" s="1"/>
  <c r="AI392" i="2" s="1"/>
  <c r="AB400" i="2"/>
  <c r="AH400" i="2" s="1"/>
  <c r="AI400" i="2" s="1"/>
  <c r="AB397" i="2"/>
  <c r="AH397" i="2" s="1"/>
  <c r="AI397" i="2" s="1"/>
  <c r="AB399" i="2"/>
  <c r="AH399" i="2" s="1"/>
  <c r="AI399" i="2" s="1"/>
  <c r="AB391" i="2"/>
  <c r="AH391" i="2" s="1"/>
  <c r="AI391" i="2" s="1"/>
  <c r="AB401" i="2"/>
  <c r="AH401" i="2" s="1"/>
  <c r="AI401" i="2" s="1"/>
  <c r="AB386" i="2"/>
  <c r="AH386" i="2" s="1"/>
  <c r="AI386" i="2" s="1"/>
  <c r="AD460" i="2"/>
  <c r="AB389" i="2"/>
  <c r="AH389" i="2" s="1"/>
  <c r="AI389" i="2" s="1"/>
  <c r="AB394" i="2"/>
  <c r="AH394" i="2" s="1"/>
  <c r="AI394" i="2" s="1"/>
  <c r="AB402" i="2"/>
  <c r="AH402" i="2" s="1"/>
  <c r="AI402" i="2" s="1"/>
  <c r="AB404" i="2"/>
  <c r="AH404" i="2" s="1"/>
  <c r="AI404" i="2" s="1"/>
  <c r="AB371" i="2"/>
  <c r="AH371" i="2" s="1"/>
  <c r="AI371" i="2" s="1"/>
  <c r="AD468" i="2"/>
  <c r="AD464" i="2"/>
  <c r="AB396" i="2"/>
  <c r="AH396" i="2" s="1"/>
  <c r="AI396" i="2" s="1"/>
  <c r="AB383" i="2"/>
  <c r="AH383" i="2" s="1"/>
  <c r="AI383" i="2" s="1"/>
  <c r="AD471" i="2"/>
  <c r="AD461" i="2"/>
  <c r="AB398" i="2"/>
  <c r="AH398" i="2" s="1"/>
  <c r="AI398" i="2" s="1"/>
  <c r="AB378" i="2"/>
  <c r="AH378" i="2" s="1"/>
  <c r="AI378" i="2" s="1"/>
  <c r="AD407" i="2"/>
  <c r="AD381" i="2"/>
  <c r="AD379" i="2"/>
  <c r="AD384" i="2"/>
  <c r="AD377" i="2"/>
  <c r="AD376" i="2"/>
  <c r="Y372" i="2"/>
  <c r="Z372" i="2"/>
  <c r="Z370" i="2"/>
  <c r="Y370" i="2"/>
  <c r="Z369" i="2"/>
  <c r="Y369" i="2"/>
  <c r="Y368" i="2"/>
  <c r="Z368" i="2"/>
  <c r="G16" i="9"/>
  <c r="O308" i="2"/>
  <c r="U308" i="2"/>
  <c r="O289" i="2"/>
  <c r="U289" i="2"/>
  <c r="AD374" i="2" l="1"/>
  <c r="AD388" i="2"/>
  <c r="AB372" i="2"/>
  <c r="AH372" i="2" s="1"/>
  <c r="AI372" i="2" s="1"/>
  <c r="AD382" i="2"/>
  <c r="AD387" i="2"/>
  <c r="AD393" i="2"/>
  <c r="AD395" i="2"/>
  <c r="AD403" i="2"/>
  <c r="AD373" i="2"/>
  <c r="AD375" i="2"/>
  <c r="AB368" i="2"/>
  <c r="AH368" i="2" s="1"/>
  <c r="AI368" i="2" s="1"/>
  <c r="AD380" i="2"/>
  <c r="AD385" i="2"/>
  <c r="AD397" i="2"/>
  <c r="AB370" i="2"/>
  <c r="AH370" i="2" s="1"/>
  <c r="AI370" i="2" s="1"/>
  <c r="AD383" i="2"/>
  <c r="AD406" i="2"/>
  <c r="AD396" i="2"/>
  <c r="AD392" i="2"/>
  <c r="AD371" i="2"/>
  <c r="AD405" i="2"/>
  <c r="AD390" i="2"/>
  <c r="AB369" i="2"/>
  <c r="AH369" i="2" s="1"/>
  <c r="AI369" i="2" s="1"/>
  <c r="AD404" i="2"/>
  <c r="AD401" i="2"/>
  <c r="AD394" i="2"/>
  <c r="AD389" i="2"/>
  <c r="AD386" i="2"/>
  <c r="AD399" i="2"/>
  <c r="AD400" i="2"/>
  <c r="AD391" i="2"/>
  <c r="AD402" i="2"/>
  <c r="AD398" i="2"/>
  <c r="AD378" i="2"/>
  <c r="Z308" i="2"/>
  <c r="Y308" i="2"/>
  <c r="Y289" i="2"/>
  <c r="AB289" i="2" s="1"/>
  <c r="AH289" i="2" s="1"/>
  <c r="AI289" i="2" s="1"/>
  <c r="E9" i="6"/>
  <c r="E10" i="6"/>
  <c r="E11" i="6"/>
  <c r="E12" i="6"/>
  <c r="E13" i="6"/>
  <c r="E14" i="6"/>
  <c r="E15" i="6"/>
  <c r="E16" i="6"/>
  <c r="AD372" i="2" l="1"/>
  <c r="AD368" i="2"/>
  <c r="AB308" i="2"/>
  <c r="AH308" i="2" s="1"/>
  <c r="AI308" i="2" s="1"/>
  <c r="AD369" i="2"/>
  <c r="AD370" i="2"/>
  <c r="AD289" i="2"/>
  <c r="D12" i="10"/>
  <c r="F12" i="10"/>
  <c r="D13" i="10"/>
  <c r="F13" i="10" s="1"/>
  <c r="O281" i="2"/>
  <c r="X281" i="2" s="1"/>
  <c r="U281" i="2"/>
  <c r="O282" i="2"/>
  <c r="X282" i="2" s="1"/>
  <c r="U282" i="2"/>
  <c r="O283" i="2"/>
  <c r="X283" i="2" s="1"/>
  <c r="U283" i="2"/>
  <c r="O284" i="2"/>
  <c r="X284" i="2" s="1"/>
  <c r="U284" i="2"/>
  <c r="X273" i="2"/>
  <c r="U273" i="2"/>
  <c r="O274" i="2"/>
  <c r="X274" i="2" s="1"/>
  <c r="U274" i="2"/>
  <c r="O275" i="2"/>
  <c r="X275" i="2" s="1"/>
  <c r="U275" i="2"/>
  <c r="U276" i="2"/>
  <c r="O277" i="2"/>
  <c r="X277" i="2" s="1"/>
  <c r="U277" i="2"/>
  <c r="O278" i="2"/>
  <c r="X278" i="2" s="1"/>
  <c r="U278" i="2"/>
  <c r="O279" i="2"/>
  <c r="Z279" i="2" s="1"/>
  <c r="U279" i="2"/>
  <c r="O280" i="2"/>
  <c r="X280" i="2" s="1"/>
  <c r="U280" i="2"/>
  <c r="AD308" i="2" l="1"/>
  <c r="Z281" i="2"/>
  <c r="Y281" i="2"/>
  <c r="Z282" i="2"/>
  <c r="Y282" i="2"/>
  <c r="Z283" i="2"/>
  <c r="Y283" i="2"/>
  <c r="Z284" i="2"/>
  <c r="Y284" i="2"/>
  <c r="Y276" i="2"/>
  <c r="Z273" i="2"/>
  <c r="Y273" i="2"/>
  <c r="Z274" i="2"/>
  <c r="Z277" i="2"/>
  <c r="AB277" i="2" s="1"/>
  <c r="AH277" i="2" s="1"/>
  <c r="AI277" i="2" s="1"/>
  <c r="Y274" i="2"/>
  <c r="Z275" i="2"/>
  <c r="Y275" i="2"/>
  <c r="Z276" i="2"/>
  <c r="Y277" i="2"/>
  <c r="X276" i="2"/>
  <c r="Z278" i="2"/>
  <c r="Y279" i="2"/>
  <c r="X279" i="2"/>
  <c r="Y278" i="2"/>
  <c r="Z280" i="2"/>
  <c r="Y280" i="2"/>
  <c r="U269" i="2"/>
  <c r="O269" i="2"/>
  <c r="X269" i="2" s="1"/>
  <c r="O268" i="2"/>
  <c r="X268" i="2" s="1"/>
  <c r="U268" i="2"/>
  <c r="O270" i="2"/>
  <c r="X270" i="2" s="1"/>
  <c r="U270" i="2"/>
  <c r="O271" i="2"/>
  <c r="X271" i="2" s="1"/>
  <c r="U271" i="2"/>
  <c r="O272" i="2"/>
  <c r="X272" i="2" s="1"/>
  <c r="U272" i="2"/>
  <c r="U264" i="2"/>
  <c r="O264" i="2"/>
  <c r="X264" i="2" s="1"/>
  <c r="O263" i="2"/>
  <c r="X263" i="2" s="1"/>
  <c r="U263" i="2"/>
  <c r="O265" i="2"/>
  <c r="X265" i="2" s="1"/>
  <c r="U265" i="2"/>
  <c r="O266" i="2"/>
  <c r="X266" i="2" s="1"/>
  <c r="U266" i="2"/>
  <c r="O267" i="2"/>
  <c r="X267" i="2" s="1"/>
  <c r="U267" i="2"/>
  <c r="O258" i="2"/>
  <c r="X258" i="2" s="1"/>
  <c r="U258" i="2"/>
  <c r="O240" i="2"/>
  <c r="X240" i="2" s="1"/>
  <c r="U240" i="2"/>
  <c r="O367" i="2"/>
  <c r="U367" i="2"/>
  <c r="O366" i="2"/>
  <c r="X366" i="2" s="1"/>
  <c r="U366" i="2"/>
  <c r="O365" i="2"/>
  <c r="X365" i="2" s="1"/>
  <c r="U365" i="2"/>
  <c r="O364" i="2"/>
  <c r="X364" i="2" s="1"/>
  <c r="U364" i="2"/>
  <c r="O363" i="2"/>
  <c r="X363" i="2" s="1"/>
  <c r="U363" i="2"/>
  <c r="O362" i="2"/>
  <c r="X362" i="2" s="1"/>
  <c r="U362" i="2"/>
  <c r="O361" i="2"/>
  <c r="X361" i="2" s="1"/>
  <c r="U361" i="2"/>
  <c r="O360" i="2"/>
  <c r="X360" i="2" s="1"/>
  <c r="U360" i="2"/>
  <c r="O359" i="2"/>
  <c r="X359" i="2" s="1"/>
  <c r="U359" i="2"/>
  <c r="O358" i="2"/>
  <c r="X358" i="2" s="1"/>
  <c r="U358" i="2"/>
  <c r="U357" i="2"/>
  <c r="O357" i="2"/>
  <c r="X357" i="2" s="1"/>
  <c r="U356" i="2"/>
  <c r="O356" i="2"/>
  <c r="X356" i="2" s="1"/>
  <c r="O355" i="2"/>
  <c r="X355" i="2" s="1"/>
  <c r="U355" i="2"/>
  <c r="O354" i="2"/>
  <c r="X354" i="2" s="1"/>
  <c r="U354" i="2"/>
  <c r="O353" i="2"/>
  <c r="X353" i="2" s="1"/>
  <c r="U353" i="2"/>
  <c r="O352" i="2"/>
  <c r="Z352" i="2" s="1"/>
  <c r="U352" i="2"/>
  <c r="O351" i="2"/>
  <c r="Z351" i="2" s="1"/>
  <c r="U351" i="2"/>
  <c r="O350" i="2"/>
  <c r="X350" i="2" s="1"/>
  <c r="U350" i="2"/>
  <c r="O349" i="2"/>
  <c r="X349" i="2" s="1"/>
  <c r="U349" i="2"/>
  <c r="O348" i="2"/>
  <c r="X348" i="2" s="1"/>
  <c r="U348" i="2"/>
  <c r="U340" i="2"/>
  <c r="O340" i="2"/>
  <c r="X340" i="2" s="1"/>
  <c r="U339" i="2"/>
  <c r="O339" i="2"/>
  <c r="X339" i="2" s="1"/>
  <c r="O347" i="2"/>
  <c r="X347" i="2" s="1"/>
  <c r="U347" i="2"/>
  <c r="O346" i="2"/>
  <c r="Z346" i="2" s="1"/>
  <c r="U346" i="2"/>
  <c r="O345" i="2"/>
  <c r="Z345" i="2" s="1"/>
  <c r="U345" i="2"/>
  <c r="U344" i="2"/>
  <c r="X343" i="2"/>
  <c r="U343" i="2"/>
  <c r="O342" i="2"/>
  <c r="Z342" i="2" s="1"/>
  <c r="U342" i="2"/>
  <c r="O341" i="2"/>
  <c r="X341" i="2" s="1"/>
  <c r="U341" i="2"/>
  <c r="U337" i="2"/>
  <c r="O337" i="2"/>
  <c r="X337" i="2" s="1"/>
  <c r="U336" i="2"/>
  <c r="O336" i="2"/>
  <c r="X336" i="2" s="1"/>
  <c r="O338" i="2"/>
  <c r="X338" i="2" s="1"/>
  <c r="U338" i="2"/>
  <c r="O335" i="2"/>
  <c r="X335" i="2" s="1"/>
  <c r="U335" i="2"/>
  <c r="X334" i="2"/>
  <c r="U334" i="2"/>
  <c r="O333" i="2"/>
  <c r="X333" i="2" s="1"/>
  <c r="U333" i="2"/>
  <c r="X332" i="2"/>
  <c r="U332" i="2"/>
  <c r="O331" i="2"/>
  <c r="X331" i="2" s="1"/>
  <c r="U331" i="2"/>
  <c r="U330" i="2"/>
  <c r="O329" i="2"/>
  <c r="X329" i="2" s="1"/>
  <c r="U329" i="2"/>
  <c r="O328" i="2"/>
  <c r="X328" i="2" s="1"/>
  <c r="U328" i="2"/>
  <c r="O327" i="2"/>
  <c r="X327" i="2" s="1"/>
  <c r="U327" i="2"/>
  <c r="O326" i="2"/>
  <c r="X326" i="2" s="1"/>
  <c r="U326" i="2"/>
  <c r="O325" i="2"/>
  <c r="X325" i="2" s="1"/>
  <c r="U325" i="2"/>
  <c r="X324" i="2"/>
  <c r="U324" i="2"/>
  <c r="O323" i="2"/>
  <c r="X323" i="2" s="1"/>
  <c r="U323" i="2"/>
  <c r="O322" i="2"/>
  <c r="X322" i="2" s="1"/>
  <c r="U322" i="2"/>
  <c r="O321" i="2"/>
  <c r="Z321" i="2" s="1"/>
  <c r="U321" i="2"/>
  <c r="O320" i="2"/>
  <c r="Z320" i="2" s="1"/>
  <c r="U320" i="2"/>
  <c r="O319" i="2"/>
  <c r="Z319" i="2" s="1"/>
  <c r="U319" i="2"/>
  <c r="O318" i="2"/>
  <c r="U318" i="2"/>
  <c r="O317" i="2"/>
  <c r="X317" i="2" s="1"/>
  <c r="U317" i="2"/>
  <c r="O316" i="2"/>
  <c r="X316" i="2" s="1"/>
  <c r="U316" i="2"/>
  <c r="O315" i="2"/>
  <c r="X315" i="2" s="1"/>
  <c r="U315" i="2"/>
  <c r="O314" i="2"/>
  <c r="Z314" i="2" s="1"/>
  <c r="U314" i="2"/>
  <c r="Z313" i="2"/>
  <c r="U313" i="2"/>
  <c r="O312" i="2"/>
  <c r="X312" i="2" s="1"/>
  <c r="U312" i="2"/>
  <c r="O311" i="2"/>
  <c r="X311" i="2" s="1"/>
  <c r="U311" i="2"/>
  <c r="O310" i="2"/>
  <c r="X310" i="2" s="1"/>
  <c r="U310" i="2"/>
  <c r="O309" i="2"/>
  <c r="X309" i="2" s="1"/>
  <c r="U309" i="2"/>
  <c r="O307" i="2"/>
  <c r="X307" i="2" s="1"/>
  <c r="U307" i="2"/>
  <c r="O306" i="2"/>
  <c r="X306" i="2" s="1"/>
  <c r="U306" i="2"/>
  <c r="O305" i="2"/>
  <c r="Z305" i="2" s="1"/>
  <c r="U305" i="2"/>
  <c r="O304" i="2"/>
  <c r="X304" i="2" s="1"/>
  <c r="U304" i="2"/>
  <c r="O303" i="2"/>
  <c r="X303" i="2" s="1"/>
  <c r="U303" i="2"/>
  <c r="U298" i="2"/>
  <c r="O298" i="2"/>
  <c r="X298" i="2" s="1"/>
  <c r="U288" i="2"/>
  <c r="O288" i="2"/>
  <c r="Z288" i="2" s="1"/>
  <c r="O302" i="2"/>
  <c r="U302" i="2"/>
  <c r="O301" i="2"/>
  <c r="X301" i="2" s="1"/>
  <c r="U301" i="2"/>
  <c r="O300" i="2"/>
  <c r="X300" i="2" s="1"/>
  <c r="U300" i="2"/>
  <c r="O299" i="2"/>
  <c r="X299" i="2" s="1"/>
  <c r="U299" i="2"/>
  <c r="O297" i="2"/>
  <c r="X297" i="2" s="1"/>
  <c r="U297" i="2"/>
  <c r="O296" i="2"/>
  <c r="U296" i="2"/>
  <c r="O295" i="2"/>
  <c r="X295" i="2" s="1"/>
  <c r="U295" i="2"/>
  <c r="O294" i="2"/>
  <c r="Z294" i="2" s="1"/>
  <c r="U294" i="2"/>
  <c r="Z293" i="2"/>
  <c r="U293" i="2"/>
  <c r="O292" i="2"/>
  <c r="Z292" i="2" s="1"/>
  <c r="U292" i="2"/>
  <c r="X291" i="2"/>
  <c r="U291" i="2"/>
  <c r="X290" i="2"/>
  <c r="U290" i="2"/>
  <c r="Z287" i="2"/>
  <c r="U287" i="2"/>
  <c r="O286" i="2"/>
  <c r="U286" i="2"/>
  <c r="O285" i="2"/>
  <c r="Z285" i="2" s="1"/>
  <c r="U285" i="2"/>
  <c r="X222" i="2"/>
  <c r="U222" i="2"/>
  <c r="U262" i="2"/>
  <c r="O262" i="2"/>
  <c r="X262" i="2" s="1"/>
  <c r="U260" i="2"/>
  <c r="O260" i="2"/>
  <c r="X260" i="2" s="1"/>
  <c r="O261" i="2"/>
  <c r="X261" i="2" s="1"/>
  <c r="U261" i="2"/>
  <c r="X259" i="2"/>
  <c r="U259" i="2"/>
  <c r="U257" i="2"/>
  <c r="O257" i="2"/>
  <c r="X257" i="2" s="1"/>
  <c r="U255" i="2"/>
  <c r="O255" i="2"/>
  <c r="X255" i="2" s="1"/>
  <c r="U247" i="2"/>
  <c r="O247" i="2"/>
  <c r="X247" i="2" s="1"/>
  <c r="O256" i="2"/>
  <c r="U256" i="2"/>
  <c r="O254" i="2"/>
  <c r="X254" i="2" s="1"/>
  <c r="U254" i="2"/>
  <c r="O253" i="2"/>
  <c r="X253" i="2" s="1"/>
  <c r="U253" i="2"/>
  <c r="O252" i="2"/>
  <c r="Z252" i="2" s="1"/>
  <c r="U252" i="2"/>
  <c r="O251" i="2"/>
  <c r="X251" i="2" s="1"/>
  <c r="U251" i="2"/>
  <c r="O250" i="2"/>
  <c r="X250" i="2" s="1"/>
  <c r="U250" i="2"/>
  <c r="O249" i="2"/>
  <c r="X249" i="2" s="1"/>
  <c r="U249" i="2"/>
  <c r="O248" i="2"/>
  <c r="X248" i="2" s="1"/>
  <c r="U248" i="2"/>
  <c r="U237" i="2"/>
  <c r="O237" i="2"/>
  <c r="X237" i="2" s="1"/>
  <c r="U235" i="2"/>
  <c r="O235" i="2"/>
  <c r="X235" i="2" s="1"/>
  <c r="U232" i="2"/>
  <c r="O232" i="2"/>
  <c r="X232" i="2" s="1"/>
  <c r="O246" i="2"/>
  <c r="X246" i="2" s="1"/>
  <c r="U246" i="2"/>
  <c r="O245" i="2"/>
  <c r="X245" i="2" s="1"/>
  <c r="U245" i="2"/>
  <c r="O244" i="2"/>
  <c r="X244" i="2" s="1"/>
  <c r="U244" i="2"/>
  <c r="Z243" i="2"/>
  <c r="U243" i="2"/>
  <c r="O242" i="2"/>
  <c r="Z242" i="2" s="1"/>
  <c r="U242" i="2"/>
  <c r="U241" i="2"/>
  <c r="O239" i="2"/>
  <c r="X239" i="2" s="1"/>
  <c r="U239" i="2"/>
  <c r="O238" i="2"/>
  <c r="Z238" i="2" s="1"/>
  <c r="U238" i="2"/>
  <c r="O236" i="2"/>
  <c r="U236" i="2"/>
  <c r="O234" i="2"/>
  <c r="Z234" i="2" s="1"/>
  <c r="U234" i="2"/>
  <c r="O233" i="2"/>
  <c r="X233" i="2" s="1"/>
  <c r="U233" i="2"/>
  <c r="U230" i="2"/>
  <c r="O230" i="2"/>
  <c r="X230" i="2" s="1"/>
  <c r="O231" i="2"/>
  <c r="Z231" i="2" s="1"/>
  <c r="U231" i="2"/>
  <c r="O229" i="2"/>
  <c r="X229" i="2" s="1"/>
  <c r="U229" i="2"/>
  <c r="O228" i="2"/>
  <c r="X228" i="2" s="1"/>
  <c r="U228" i="2"/>
  <c r="O227" i="2"/>
  <c r="X227" i="2" s="1"/>
  <c r="U227" i="2"/>
  <c r="O226" i="2"/>
  <c r="X226" i="2" s="1"/>
  <c r="U226" i="2"/>
  <c r="O225" i="2"/>
  <c r="Z225" i="2" s="1"/>
  <c r="U225" i="2"/>
  <c r="O224" i="2"/>
  <c r="X224" i="2" s="1"/>
  <c r="U224" i="2"/>
  <c r="O223" i="2"/>
  <c r="X223" i="2" s="1"/>
  <c r="U223" i="2"/>
  <c r="O221" i="2"/>
  <c r="U221" i="2"/>
  <c r="O220" i="2"/>
  <c r="X220" i="2" s="1"/>
  <c r="U220" i="2"/>
  <c r="O219" i="2"/>
  <c r="X219" i="2" s="1"/>
  <c r="U219" i="2"/>
  <c r="O218" i="2"/>
  <c r="X218" i="2" s="1"/>
  <c r="U218" i="2"/>
  <c r="O217" i="2"/>
  <c r="X217" i="2" s="1"/>
  <c r="U217" i="2"/>
  <c r="O216" i="2"/>
  <c r="X216" i="2" s="1"/>
  <c r="U216" i="2"/>
  <c r="O215" i="2"/>
  <c r="X215" i="2" s="1"/>
  <c r="U215" i="2"/>
  <c r="O214" i="2"/>
  <c r="X214" i="2" s="1"/>
  <c r="U214" i="2"/>
  <c r="O213" i="2"/>
  <c r="U213" i="2"/>
  <c r="O212" i="2"/>
  <c r="X212" i="2" s="1"/>
  <c r="U212" i="2"/>
  <c r="U207" i="2"/>
  <c r="O207" i="2"/>
  <c r="X207" i="2" s="1"/>
  <c r="X211" i="2"/>
  <c r="U211" i="2"/>
  <c r="O210" i="2"/>
  <c r="X210" i="2" s="1"/>
  <c r="U210" i="2"/>
  <c r="O209" i="2"/>
  <c r="X209" i="2" s="1"/>
  <c r="U209" i="2"/>
  <c r="O208" i="2"/>
  <c r="Z208" i="2" s="1"/>
  <c r="U208" i="2"/>
  <c r="O206" i="2"/>
  <c r="U206" i="2"/>
  <c r="O205" i="2"/>
  <c r="X205" i="2" s="1"/>
  <c r="U205" i="2"/>
  <c r="O204" i="2"/>
  <c r="X204" i="2" s="1"/>
  <c r="U204" i="2"/>
  <c r="X203" i="2"/>
  <c r="U203" i="2"/>
  <c r="O202" i="2"/>
  <c r="U202" i="2"/>
  <c r="O201" i="2"/>
  <c r="X201" i="2" s="1"/>
  <c r="U201" i="2"/>
  <c r="O200" i="2"/>
  <c r="X200" i="2" s="1"/>
  <c r="U200" i="2"/>
  <c r="X199" i="2"/>
  <c r="U199" i="2"/>
  <c r="O198" i="2"/>
  <c r="Z198" i="2" s="1"/>
  <c r="U198" i="2"/>
  <c r="O197" i="2"/>
  <c r="X197" i="2" s="1"/>
  <c r="U197" i="2"/>
  <c r="O196" i="2"/>
  <c r="X196" i="2" s="1"/>
  <c r="U196" i="2"/>
  <c r="U192" i="2"/>
  <c r="O192" i="2"/>
  <c r="X192" i="2" s="1"/>
  <c r="U188" i="2"/>
  <c r="O188" i="2"/>
  <c r="X188" i="2" s="1"/>
  <c r="O195" i="2"/>
  <c r="X195" i="2" s="1"/>
  <c r="U195" i="2"/>
  <c r="Z194" i="2"/>
  <c r="U194" i="2"/>
  <c r="Z193" i="2"/>
  <c r="U193" i="2"/>
  <c r="O191" i="2"/>
  <c r="Z191" i="2" s="1"/>
  <c r="U191" i="2"/>
  <c r="O190" i="2"/>
  <c r="Z190" i="2" s="1"/>
  <c r="U190" i="2"/>
  <c r="O189" i="2"/>
  <c r="X189" i="2" s="1"/>
  <c r="U189" i="2"/>
  <c r="O187" i="2"/>
  <c r="U187" i="2"/>
  <c r="O186" i="2"/>
  <c r="Z186" i="2" s="1"/>
  <c r="U186" i="2"/>
  <c r="O185" i="2"/>
  <c r="X185" i="2" s="1"/>
  <c r="U185" i="2"/>
  <c r="O184" i="2"/>
  <c r="X184" i="2" s="1"/>
  <c r="U184" i="2"/>
  <c r="O183" i="2"/>
  <c r="X183" i="2" s="1"/>
  <c r="U183" i="2"/>
  <c r="O182" i="2"/>
  <c r="U182" i="2"/>
  <c r="O181" i="2"/>
  <c r="X181" i="2" s="1"/>
  <c r="U181" i="2"/>
  <c r="O180" i="2"/>
  <c r="X180" i="2" s="1"/>
  <c r="U180" i="2"/>
  <c r="U179" i="2"/>
  <c r="O179" i="2"/>
  <c r="X179" i="2" s="1"/>
  <c r="O178" i="2"/>
  <c r="X178" i="2" s="1"/>
  <c r="U178" i="2"/>
  <c r="O177" i="2"/>
  <c r="Z177" i="2" s="1"/>
  <c r="U177" i="2"/>
  <c r="O176" i="2"/>
  <c r="X176" i="2" s="1"/>
  <c r="U176" i="2"/>
  <c r="U173" i="2"/>
  <c r="O173" i="2"/>
  <c r="X173" i="2" s="1"/>
  <c r="O175" i="2"/>
  <c r="X175" i="2" s="1"/>
  <c r="U175" i="2"/>
  <c r="O174" i="2"/>
  <c r="X174" i="2" s="1"/>
  <c r="U174" i="2"/>
  <c r="O172" i="2"/>
  <c r="U172" i="2"/>
  <c r="O171" i="2"/>
  <c r="X171" i="2" s="1"/>
  <c r="U171" i="2"/>
  <c r="O170" i="2"/>
  <c r="Z170" i="2" s="1"/>
  <c r="U170" i="2"/>
  <c r="O169" i="2"/>
  <c r="X169" i="2" s="1"/>
  <c r="U169" i="2"/>
  <c r="O168" i="2"/>
  <c r="X168" i="2" s="1"/>
  <c r="U168" i="2"/>
  <c r="O167" i="2"/>
  <c r="Z167" i="2" s="1"/>
  <c r="U167" i="2"/>
  <c r="O166" i="2"/>
  <c r="Z166" i="2" s="1"/>
  <c r="U166" i="2"/>
  <c r="O165" i="2"/>
  <c r="X165" i="2" s="1"/>
  <c r="U165" i="2"/>
  <c r="O164" i="2"/>
  <c r="X164" i="2" s="1"/>
  <c r="U164" i="2"/>
  <c r="O163" i="2"/>
  <c r="X163" i="2" s="1"/>
  <c r="U163" i="2"/>
  <c r="O162" i="2"/>
  <c r="X162" i="2" s="1"/>
  <c r="U162" i="2"/>
  <c r="D11" i="10"/>
  <c r="F11" i="10" s="1"/>
  <c r="D10" i="10"/>
  <c r="F10" i="10" s="1"/>
  <c r="D9" i="10"/>
  <c r="F9" i="10" s="1"/>
  <c r="U12" i="2"/>
  <c r="U10" i="2"/>
  <c r="U11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AB279" i="2" l="1"/>
  <c r="AH279" i="2" s="1"/>
  <c r="AI279" i="2" s="1"/>
  <c r="AB273" i="2"/>
  <c r="AH273" i="2" s="1"/>
  <c r="AI273" i="2" s="1"/>
  <c r="AB280" i="2"/>
  <c r="AH280" i="2" s="1"/>
  <c r="AI280" i="2" s="1"/>
  <c r="AB275" i="2"/>
  <c r="AH275" i="2" s="1"/>
  <c r="AI275" i="2" s="1"/>
  <c r="AB284" i="2"/>
  <c r="AH284" i="2" s="1"/>
  <c r="AI284" i="2" s="1"/>
  <c r="AB274" i="2"/>
  <c r="AH274" i="2" s="1"/>
  <c r="AI274" i="2" s="1"/>
  <c r="AB283" i="2"/>
  <c r="AH283" i="2" s="1"/>
  <c r="AI283" i="2" s="1"/>
  <c r="AB278" i="2"/>
  <c r="AH278" i="2" s="1"/>
  <c r="AI278" i="2" s="1"/>
  <c r="AB276" i="2"/>
  <c r="AH276" i="2" s="1"/>
  <c r="AI276" i="2" s="1"/>
  <c r="AB282" i="2"/>
  <c r="AH282" i="2" s="1"/>
  <c r="AI282" i="2" s="1"/>
  <c r="AB281" i="2"/>
  <c r="AH281" i="2" s="1"/>
  <c r="AI281" i="2" s="1"/>
  <c r="X344" i="2"/>
  <c r="Y344" i="2"/>
  <c r="AD283" i="2"/>
  <c r="AD284" i="2"/>
  <c r="AD274" i="2"/>
  <c r="AD273" i="2"/>
  <c r="AD277" i="2"/>
  <c r="AD279" i="2"/>
  <c r="Y269" i="2"/>
  <c r="Z269" i="2"/>
  <c r="Z268" i="2"/>
  <c r="Y268" i="2"/>
  <c r="Z270" i="2"/>
  <c r="Y270" i="2"/>
  <c r="Z271" i="2"/>
  <c r="Y271" i="2"/>
  <c r="Z272" i="2"/>
  <c r="Y272" i="2"/>
  <c r="Y264" i="2"/>
  <c r="Z264" i="2"/>
  <c r="Z263" i="2"/>
  <c r="Y263" i="2"/>
  <c r="Z265" i="2"/>
  <c r="Z266" i="2"/>
  <c r="Y265" i="2"/>
  <c r="Y266" i="2"/>
  <c r="Z267" i="2"/>
  <c r="Y267" i="2"/>
  <c r="Z258" i="2"/>
  <c r="Y258" i="2"/>
  <c r="Z240" i="2"/>
  <c r="Y240" i="2"/>
  <c r="Y367" i="2"/>
  <c r="Z367" i="2"/>
  <c r="X367" i="2"/>
  <c r="Z366" i="2"/>
  <c r="Y366" i="2"/>
  <c r="Z365" i="2"/>
  <c r="Y365" i="2"/>
  <c r="Z364" i="2"/>
  <c r="Y364" i="2"/>
  <c r="Z363" i="2"/>
  <c r="Y363" i="2"/>
  <c r="Y362" i="2"/>
  <c r="Z362" i="2"/>
  <c r="Y361" i="2"/>
  <c r="Z361" i="2"/>
  <c r="Y360" i="2"/>
  <c r="Z360" i="2"/>
  <c r="Z359" i="2"/>
  <c r="Y359" i="2"/>
  <c r="Z358" i="2"/>
  <c r="Y350" i="2"/>
  <c r="Y358" i="2"/>
  <c r="Y357" i="2"/>
  <c r="Z357" i="2"/>
  <c r="Y356" i="2"/>
  <c r="Z356" i="2"/>
  <c r="Y355" i="2"/>
  <c r="Z355" i="2"/>
  <c r="Y354" i="2"/>
  <c r="Z354" i="2"/>
  <c r="Z353" i="2"/>
  <c r="Y353" i="2"/>
  <c r="X352" i="2"/>
  <c r="Y352" i="2"/>
  <c r="X351" i="2"/>
  <c r="Y351" i="2"/>
  <c r="Z350" i="2"/>
  <c r="Z349" i="2"/>
  <c r="Y349" i="2"/>
  <c r="Z348" i="2"/>
  <c r="Y348" i="2"/>
  <c r="Z347" i="2"/>
  <c r="Y347" i="2"/>
  <c r="X346" i="2"/>
  <c r="Y346" i="2"/>
  <c r="X345" i="2"/>
  <c r="Y345" i="2"/>
  <c r="Z344" i="2"/>
  <c r="Z343" i="2"/>
  <c r="Y343" i="2"/>
  <c r="X342" i="2"/>
  <c r="Y342" i="2"/>
  <c r="Z341" i="2"/>
  <c r="Y341" i="2"/>
  <c r="Y340" i="2"/>
  <c r="Z340" i="2"/>
  <c r="Y339" i="2"/>
  <c r="Z339" i="2"/>
  <c r="Y318" i="2"/>
  <c r="Z338" i="2"/>
  <c r="Y338" i="2"/>
  <c r="Y337" i="2"/>
  <c r="Z337" i="2"/>
  <c r="Y336" i="2"/>
  <c r="Z336" i="2"/>
  <c r="Z335" i="2"/>
  <c r="Y335" i="2"/>
  <c r="Z334" i="2"/>
  <c r="Y334" i="2"/>
  <c r="Z333" i="2"/>
  <c r="Y333" i="2"/>
  <c r="Z332" i="2"/>
  <c r="Y332" i="2"/>
  <c r="Z325" i="2"/>
  <c r="Z331" i="2"/>
  <c r="Y331" i="2"/>
  <c r="Y330" i="2"/>
  <c r="Z330" i="2"/>
  <c r="X330" i="2"/>
  <c r="Y329" i="2"/>
  <c r="Z329" i="2"/>
  <c r="Z328" i="2"/>
  <c r="Y328" i="2"/>
  <c r="Z327" i="2"/>
  <c r="Y327" i="2"/>
  <c r="Y326" i="2"/>
  <c r="Z326" i="2"/>
  <c r="Y325" i="2"/>
  <c r="Z324" i="2"/>
  <c r="Y324" i="2"/>
  <c r="Z323" i="2"/>
  <c r="Y323" i="2"/>
  <c r="Z322" i="2"/>
  <c r="Y322" i="2"/>
  <c r="X321" i="2"/>
  <c r="Y321" i="2"/>
  <c r="X320" i="2"/>
  <c r="Y320" i="2"/>
  <c r="X319" i="2"/>
  <c r="Y319" i="2"/>
  <c r="Z318" i="2"/>
  <c r="X318" i="2"/>
  <c r="Z317" i="2"/>
  <c r="Y317" i="2"/>
  <c r="Z316" i="2"/>
  <c r="Y316" i="2"/>
  <c r="Z315" i="2"/>
  <c r="Y315" i="2"/>
  <c r="X314" i="2"/>
  <c r="Y314" i="2"/>
  <c r="Y313" i="2"/>
  <c r="X313" i="2"/>
  <c r="Y312" i="2"/>
  <c r="Z312" i="2"/>
  <c r="Z311" i="2"/>
  <c r="Y311" i="2"/>
  <c r="Z310" i="2"/>
  <c r="Y310" i="2"/>
  <c r="Y309" i="2"/>
  <c r="Z309" i="2"/>
  <c r="Z307" i="2"/>
  <c r="Y307" i="2"/>
  <c r="Z306" i="2"/>
  <c r="Y306" i="2"/>
  <c r="X305" i="2"/>
  <c r="Y305" i="2"/>
  <c r="Y304" i="2"/>
  <c r="Z304" i="2"/>
  <c r="Z303" i="2"/>
  <c r="Y302" i="2"/>
  <c r="Y303" i="2"/>
  <c r="Y296" i="2"/>
  <c r="Y301" i="2"/>
  <c r="Z302" i="2"/>
  <c r="X302" i="2"/>
  <c r="Z301" i="2"/>
  <c r="Z300" i="2"/>
  <c r="Y300" i="2"/>
  <c r="Z299" i="2"/>
  <c r="Y299" i="2"/>
  <c r="Y298" i="2"/>
  <c r="Z298" i="2"/>
  <c r="Z297" i="2"/>
  <c r="Y297" i="2"/>
  <c r="Z296" i="2"/>
  <c r="X296" i="2"/>
  <c r="Z295" i="2"/>
  <c r="Y295" i="2"/>
  <c r="X294" i="2"/>
  <c r="Y294" i="2"/>
  <c r="X293" i="2"/>
  <c r="Y293" i="2"/>
  <c r="Y292" i="2"/>
  <c r="X292" i="2"/>
  <c r="Z291" i="2"/>
  <c r="Y291" i="2"/>
  <c r="Z290" i="2"/>
  <c r="Y290" i="2"/>
  <c r="X288" i="2"/>
  <c r="Y288" i="2"/>
  <c r="X287" i="2"/>
  <c r="Y287" i="2"/>
  <c r="Y286" i="2"/>
  <c r="Z286" i="2"/>
  <c r="X286" i="2"/>
  <c r="Y285" i="2"/>
  <c r="X285" i="2"/>
  <c r="Z222" i="2"/>
  <c r="Y222" i="2"/>
  <c r="Y262" i="2"/>
  <c r="Z262" i="2"/>
  <c r="Z261" i="2"/>
  <c r="Y261" i="2"/>
  <c r="Y260" i="2"/>
  <c r="Z260" i="2"/>
  <c r="Z259" i="2"/>
  <c r="Y259" i="2"/>
  <c r="Y256" i="2"/>
  <c r="Y257" i="2"/>
  <c r="Z257" i="2"/>
  <c r="Z256" i="2"/>
  <c r="X256" i="2"/>
  <c r="Y255" i="2"/>
  <c r="Z255" i="2"/>
  <c r="Z254" i="2"/>
  <c r="Y252" i="2"/>
  <c r="X252" i="2"/>
  <c r="Z251" i="2"/>
  <c r="Y251" i="2"/>
  <c r="Z250" i="2"/>
  <c r="Z249" i="2"/>
  <c r="Z253" i="2"/>
  <c r="Y249" i="2"/>
  <c r="Y253" i="2"/>
  <c r="Y250" i="2"/>
  <c r="Y254" i="2"/>
  <c r="Z248" i="2"/>
  <c r="Y248" i="2"/>
  <c r="Y247" i="2"/>
  <c r="Z247" i="2"/>
  <c r="Z246" i="2"/>
  <c r="Y246" i="2"/>
  <c r="Y245" i="2"/>
  <c r="Z245" i="2"/>
  <c r="Z244" i="2"/>
  <c r="Y244" i="2"/>
  <c r="X243" i="2"/>
  <c r="Y243" i="2"/>
  <c r="X242" i="2"/>
  <c r="Y242" i="2"/>
  <c r="Y241" i="2"/>
  <c r="X241" i="2"/>
  <c r="Z241" i="2"/>
  <c r="Z239" i="2"/>
  <c r="Y239" i="2"/>
  <c r="X238" i="2"/>
  <c r="Y238" i="2"/>
  <c r="Y237" i="2"/>
  <c r="Z237" i="2"/>
  <c r="Y236" i="2"/>
  <c r="X236" i="2"/>
  <c r="Z236" i="2"/>
  <c r="Y235" i="2"/>
  <c r="Z235" i="2"/>
  <c r="X234" i="2"/>
  <c r="Y234" i="2"/>
  <c r="Z233" i="2"/>
  <c r="Y233" i="2"/>
  <c r="Y232" i="2"/>
  <c r="Z232" i="2"/>
  <c r="X231" i="2"/>
  <c r="Y230" i="2"/>
  <c r="Z230" i="2"/>
  <c r="Y231" i="2"/>
  <c r="Z229" i="2"/>
  <c r="Y229" i="2"/>
  <c r="Y221" i="2"/>
  <c r="Z228" i="2"/>
  <c r="Y228" i="2"/>
  <c r="Y227" i="2"/>
  <c r="Z227" i="2"/>
  <c r="Z226" i="2"/>
  <c r="Y226" i="2"/>
  <c r="X225" i="2"/>
  <c r="Y225" i="2"/>
  <c r="Z224" i="2"/>
  <c r="Y224" i="2"/>
  <c r="Z223" i="2"/>
  <c r="Z218" i="2"/>
  <c r="X221" i="2"/>
  <c r="Y223" i="2"/>
  <c r="Y210" i="2"/>
  <c r="Y218" i="2"/>
  <c r="Z220" i="2"/>
  <c r="Z217" i="2"/>
  <c r="Z216" i="2"/>
  <c r="Y217" i="2"/>
  <c r="Z221" i="2"/>
  <c r="Z215" i="2"/>
  <c r="Z219" i="2"/>
  <c r="Y215" i="2"/>
  <c r="Y219" i="2"/>
  <c r="Z210" i="2"/>
  <c r="Y216" i="2"/>
  <c r="Y220" i="2"/>
  <c r="Z214" i="2"/>
  <c r="Y214" i="2"/>
  <c r="Y213" i="2"/>
  <c r="Z213" i="2"/>
  <c r="X213" i="2"/>
  <c r="Z212" i="2"/>
  <c r="Y206" i="2"/>
  <c r="Y212" i="2"/>
  <c r="Z211" i="2"/>
  <c r="Y211" i="2"/>
  <c r="Y209" i="2"/>
  <c r="Z209" i="2"/>
  <c r="AB209" i="2" s="1"/>
  <c r="AH209" i="2" s="1"/>
  <c r="AI209" i="2" s="1"/>
  <c r="X208" i="2"/>
  <c r="Y208" i="2"/>
  <c r="Y207" i="2"/>
  <c r="Z207" i="2"/>
  <c r="X206" i="2"/>
  <c r="Z206" i="2"/>
  <c r="Y205" i="2"/>
  <c r="Z205" i="2"/>
  <c r="Z204" i="2"/>
  <c r="Y204" i="2"/>
  <c r="Z203" i="2"/>
  <c r="Y202" i="2"/>
  <c r="Y203" i="2"/>
  <c r="Z202" i="2"/>
  <c r="X202" i="2"/>
  <c r="Z201" i="2"/>
  <c r="Y201" i="2"/>
  <c r="Y200" i="2"/>
  <c r="Z200" i="2"/>
  <c r="Z199" i="2"/>
  <c r="Y199" i="2"/>
  <c r="Y198" i="2"/>
  <c r="X198" i="2"/>
  <c r="Y197" i="2"/>
  <c r="Z197" i="2"/>
  <c r="Z196" i="2"/>
  <c r="Y196" i="2"/>
  <c r="Z195" i="2"/>
  <c r="Y195" i="2"/>
  <c r="X194" i="2"/>
  <c r="Y194" i="2"/>
  <c r="X193" i="2"/>
  <c r="Y193" i="2"/>
  <c r="Y192" i="2"/>
  <c r="Z192" i="2"/>
  <c r="X191" i="2"/>
  <c r="Y191" i="2"/>
  <c r="Y190" i="2"/>
  <c r="X190" i="2"/>
  <c r="Z189" i="2"/>
  <c r="Y189" i="2"/>
  <c r="Y188" i="2"/>
  <c r="Z188" i="2"/>
  <c r="X167" i="2"/>
  <c r="Y187" i="2"/>
  <c r="Z187" i="2"/>
  <c r="X187" i="2"/>
  <c r="X186" i="2"/>
  <c r="Y186" i="2"/>
  <c r="Z185" i="2"/>
  <c r="Y185" i="2"/>
  <c r="Z184" i="2"/>
  <c r="Y184" i="2"/>
  <c r="Z183" i="2"/>
  <c r="Y183" i="2"/>
  <c r="Y182" i="2"/>
  <c r="X182" i="2"/>
  <c r="Z182" i="2"/>
  <c r="Z181" i="2"/>
  <c r="Y181" i="2"/>
  <c r="Z180" i="2"/>
  <c r="Y180" i="2"/>
  <c r="Y179" i="2"/>
  <c r="Z179" i="2"/>
  <c r="Y178" i="2"/>
  <c r="Z178" i="2"/>
  <c r="X177" i="2"/>
  <c r="Y177" i="2"/>
  <c r="Z176" i="2"/>
  <c r="Y176" i="2"/>
  <c r="Y172" i="2"/>
  <c r="Z175" i="2"/>
  <c r="Y175" i="2"/>
  <c r="Z174" i="2"/>
  <c r="Y174" i="2"/>
  <c r="Y173" i="2"/>
  <c r="Z173" i="2"/>
  <c r="Z172" i="2"/>
  <c r="X172" i="2"/>
  <c r="Z171" i="2"/>
  <c r="Y171" i="2"/>
  <c r="X170" i="2"/>
  <c r="Y170" i="2"/>
  <c r="Z169" i="2"/>
  <c r="Y169" i="2"/>
  <c r="X166" i="2"/>
  <c r="Z168" i="2"/>
  <c r="Y168" i="2"/>
  <c r="Y167" i="2"/>
  <c r="Y165" i="2"/>
  <c r="Y166" i="2"/>
  <c r="Z165" i="2"/>
  <c r="Z164" i="2"/>
  <c r="Y164" i="2"/>
  <c r="Z163" i="2"/>
  <c r="Y163" i="2"/>
  <c r="Z162" i="2"/>
  <c r="Y162" i="2"/>
  <c r="O153" i="2"/>
  <c r="AB201" i="2" l="1"/>
  <c r="AH201" i="2" s="1"/>
  <c r="AI201" i="2" s="1"/>
  <c r="AB341" i="2"/>
  <c r="AH341" i="2" s="1"/>
  <c r="AI341" i="2" s="1"/>
  <c r="AB248" i="2"/>
  <c r="AH248" i="2" s="1"/>
  <c r="AI248" i="2" s="1"/>
  <c r="AB294" i="2"/>
  <c r="AH294" i="2" s="1"/>
  <c r="AI294" i="2" s="1"/>
  <c r="AB171" i="2"/>
  <c r="AH171" i="2" s="1"/>
  <c r="AI171" i="2" s="1"/>
  <c r="AB193" i="2"/>
  <c r="AH193" i="2" s="1"/>
  <c r="AI193" i="2" s="1"/>
  <c r="AB310" i="2"/>
  <c r="AH310" i="2" s="1"/>
  <c r="AI310" i="2" s="1"/>
  <c r="AB186" i="2"/>
  <c r="AH186" i="2" s="1"/>
  <c r="AI186" i="2" s="1"/>
  <c r="AB178" i="2"/>
  <c r="AH178" i="2" s="1"/>
  <c r="AI178" i="2" s="1"/>
  <c r="AB285" i="2"/>
  <c r="AH285" i="2" s="1"/>
  <c r="AI285" i="2" s="1"/>
  <c r="AB326" i="2"/>
  <c r="AH326" i="2" s="1"/>
  <c r="AI326" i="2" s="1"/>
  <c r="AB329" i="2"/>
  <c r="AH329" i="2" s="1"/>
  <c r="AI329" i="2" s="1"/>
  <c r="AB336" i="2"/>
  <c r="AH336" i="2" s="1"/>
  <c r="AI336" i="2" s="1"/>
  <c r="AB360" i="2"/>
  <c r="AH360" i="2" s="1"/>
  <c r="AI360" i="2" s="1"/>
  <c r="AB190" i="2"/>
  <c r="AH190" i="2" s="1"/>
  <c r="AI190" i="2" s="1"/>
  <c r="AB198" i="2"/>
  <c r="AH198" i="2" s="1"/>
  <c r="AI198" i="2" s="1"/>
  <c r="AB245" i="2"/>
  <c r="AH245" i="2" s="1"/>
  <c r="AI245" i="2" s="1"/>
  <c r="AB355" i="2"/>
  <c r="AH355" i="2" s="1"/>
  <c r="AI355" i="2" s="1"/>
  <c r="AD280" i="2"/>
  <c r="AB359" i="2"/>
  <c r="AH359" i="2" s="1"/>
  <c r="AI359" i="2" s="1"/>
  <c r="AD281" i="2"/>
  <c r="AB255" i="2"/>
  <c r="AH255" i="2" s="1"/>
  <c r="AI255" i="2" s="1"/>
  <c r="AD276" i="2"/>
  <c r="AB264" i="2"/>
  <c r="AH264" i="2" s="1"/>
  <c r="AI264" i="2" s="1"/>
  <c r="AB297" i="2"/>
  <c r="AH297" i="2" s="1"/>
  <c r="AI297" i="2" s="1"/>
  <c r="AB173" i="2"/>
  <c r="AH173" i="2" s="1"/>
  <c r="AI173" i="2" s="1"/>
  <c r="AB253" i="2"/>
  <c r="AH253" i="2" s="1"/>
  <c r="AI253" i="2" s="1"/>
  <c r="AB296" i="2"/>
  <c r="AH296" i="2" s="1"/>
  <c r="AI296" i="2" s="1"/>
  <c r="AB272" i="2"/>
  <c r="AH272" i="2" s="1"/>
  <c r="AI272" i="2" s="1"/>
  <c r="AB353" i="2"/>
  <c r="AH353" i="2" s="1"/>
  <c r="AI353" i="2" s="1"/>
  <c r="AB240" i="2"/>
  <c r="AH240" i="2" s="1"/>
  <c r="AI240" i="2" s="1"/>
  <c r="AB271" i="2"/>
  <c r="AH271" i="2" s="1"/>
  <c r="AI271" i="2" s="1"/>
  <c r="AB288" i="2"/>
  <c r="AH288" i="2" s="1"/>
  <c r="AI288" i="2" s="1"/>
  <c r="AB166" i="2"/>
  <c r="AH166" i="2" s="1"/>
  <c r="AI166" i="2" s="1"/>
  <c r="AB292" i="2"/>
  <c r="AH292" i="2" s="1"/>
  <c r="AI292" i="2" s="1"/>
  <c r="AB339" i="2"/>
  <c r="AH339" i="2" s="1"/>
  <c r="AI339" i="2" s="1"/>
  <c r="AB356" i="2"/>
  <c r="AH356" i="2" s="1"/>
  <c r="AI356" i="2" s="1"/>
  <c r="AB269" i="2"/>
  <c r="AH269" i="2" s="1"/>
  <c r="AI269" i="2" s="1"/>
  <c r="AB217" i="2"/>
  <c r="AH217" i="2" s="1"/>
  <c r="AB321" i="2"/>
  <c r="AH321" i="2" s="1"/>
  <c r="AI321" i="2" s="1"/>
  <c r="AB212" i="2"/>
  <c r="AH212" i="2" s="1"/>
  <c r="AI212" i="2" s="1"/>
  <c r="AB196" i="2"/>
  <c r="AH196" i="2" s="1"/>
  <c r="AI196" i="2" s="1"/>
  <c r="AB243" i="2"/>
  <c r="AH243" i="2" s="1"/>
  <c r="AI243" i="2" s="1"/>
  <c r="AB179" i="2"/>
  <c r="AH179" i="2" s="1"/>
  <c r="AI179" i="2" s="1"/>
  <c r="AD278" i="2"/>
  <c r="AB174" i="2"/>
  <c r="AH174" i="2" s="1"/>
  <c r="AI174" i="2" s="1"/>
  <c r="AB249" i="2"/>
  <c r="AH249" i="2" s="1"/>
  <c r="AI249" i="2" s="1"/>
  <c r="AB189" i="2"/>
  <c r="AH189" i="2" s="1"/>
  <c r="AI189" i="2" s="1"/>
  <c r="AB290" i="2"/>
  <c r="AH290" i="2" s="1"/>
  <c r="AI290" i="2" s="1"/>
  <c r="AB244" i="2"/>
  <c r="AH244" i="2" s="1"/>
  <c r="AI244" i="2" s="1"/>
  <c r="AB325" i="2"/>
  <c r="AH325" i="2" s="1"/>
  <c r="AI325" i="2" s="1"/>
  <c r="AB322" i="2"/>
  <c r="AH322" i="2" s="1"/>
  <c r="AI322" i="2" s="1"/>
  <c r="AB175" i="2"/>
  <c r="AH175" i="2" s="1"/>
  <c r="AI175" i="2" s="1"/>
  <c r="AB258" i="2"/>
  <c r="AH258" i="2" s="1"/>
  <c r="AI258" i="2" s="1"/>
  <c r="AB302" i="2"/>
  <c r="AH302" i="2" s="1"/>
  <c r="AI302" i="2" s="1"/>
  <c r="AB317" i="2"/>
  <c r="AH317" i="2" s="1"/>
  <c r="AI317" i="2" s="1"/>
  <c r="AB265" i="2"/>
  <c r="AH265" i="2" s="1"/>
  <c r="AI265" i="2" s="1"/>
  <c r="AB185" i="2"/>
  <c r="AH185" i="2" s="1"/>
  <c r="AI185" i="2" s="1"/>
  <c r="AB333" i="2"/>
  <c r="AH333" i="2" s="1"/>
  <c r="AI333" i="2" s="1"/>
  <c r="AB365" i="2"/>
  <c r="AH365" i="2" s="1"/>
  <c r="AI365" i="2" s="1"/>
  <c r="AB314" i="2"/>
  <c r="AH314" i="2" s="1"/>
  <c r="AI314" i="2" s="1"/>
  <c r="AB366" i="2"/>
  <c r="AH366" i="2" s="1"/>
  <c r="AI366" i="2" s="1"/>
  <c r="AB354" i="2"/>
  <c r="AH354" i="2" s="1"/>
  <c r="AI354" i="2" s="1"/>
  <c r="AB305" i="2"/>
  <c r="AH305" i="2" s="1"/>
  <c r="AI305" i="2" s="1"/>
  <c r="AD275" i="2"/>
  <c r="AB270" i="2"/>
  <c r="AH270" i="2" s="1"/>
  <c r="AI270" i="2" s="1"/>
  <c r="AB214" i="2"/>
  <c r="AH214" i="2" s="1"/>
  <c r="AI214" i="2" s="1"/>
  <c r="AB347" i="2"/>
  <c r="AH347" i="2" s="1"/>
  <c r="AI347" i="2" s="1"/>
  <c r="AB363" i="2"/>
  <c r="AH363" i="2" s="1"/>
  <c r="AI363" i="2" s="1"/>
  <c r="AB184" i="2"/>
  <c r="AH184" i="2" s="1"/>
  <c r="AI184" i="2" s="1"/>
  <c r="AB207" i="2"/>
  <c r="AH207" i="2" s="1"/>
  <c r="AI207" i="2" s="1"/>
  <c r="AB230" i="2"/>
  <c r="AH230" i="2" s="1"/>
  <c r="AI230" i="2" s="1"/>
  <c r="AB254" i="2"/>
  <c r="AH254" i="2" s="1"/>
  <c r="AI254" i="2" s="1"/>
  <c r="AB316" i="2"/>
  <c r="AH316" i="2" s="1"/>
  <c r="AI316" i="2" s="1"/>
  <c r="AB267" i="2"/>
  <c r="AH267" i="2" s="1"/>
  <c r="AI267" i="2" s="1"/>
  <c r="AB200" i="2"/>
  <c r="AH200" i="2" s="1"/>
  <c r="AI200" i="2" s="1"/>
  <c r="AB301" i="2"/>
  <c r="AH301" i="2" s="1"/>
  <c r="AI301" i="2" s="1"/>
  <c r="AB348" i="2"/>
  <c r="AH348" i="2" s="1"/>
  <c r="AI348" i="2" s="1"/>
  <c r="AB364" i="2"/>
  <c r="AH364" i="2" s="1"/>
  <c r="AI364" i="2" s="1"/>
  <c r="AB162" i="2"/>
  <c r="AH162" i="2" s="1"/>
  <c r="AI162" i="2" s="1"/>
  <c r="AB194" i="2"/>
  <c r="AH194" i="2" s="1"/>
  <c r="AI194" i="2" s="1"/>
  <c r="AB215" i="2"/>
  <c r="AH215" i="2" s="1"/>
  <c r="AI215" i="2" s="1"/>
  <c r="AB233" i="2"/>
  <c r="AH233" i="2" s="1"/>
  <c r="AI233" i="2" s="1"/>
  <c r="AB295" i="2"/>
  <c r="AH295" i="2" s="1"/>
  <c r="AI295" i="2" s="1"/>
  <c r="AB311" i="2"/>
  <c r="AH311" i="2" s="1"/>
  <c r="AI311" i="2" s="1"/>
  <c r="AB319" i="2"/>
  <c r="AH319" i="2" s="1"/>
  <c r="AI319" i="2" s="1"/>
  <c r="AB342" i="2"/>
  <c r="AH342" i="2" s="1"/>
  <c r="AI342" i="2" s="1"/>
  <c r="AB351" i="2"/>
  <c r="AH351" i="2" s="1"/>
  <c r="AI351" i="2" s="1"/>
  <c r="AB312" i="2"/>
  <c r="AH312" i="2" s="1"/>
  <c r="AI312" i="2" s="1"/>
  <c r="AB350" i="2"/>
  <c r="AH350" i="2" s="1"/>
  <c r="AI350" i="2" s="1"/>
  <c r="AB343" i="2"/>
  <c r="AH343" i="2" s="1"/>
  <c r="AI343" i="2" s="1"/>
  <c r="AB181" i="2"/>
  <c r="AH181" i="2" s="1"/>
  <c r="AI181" i="2" s="1"/>
  <c r="AB304" i="2"/>
  <c r="AH304" i="2" s="1"/>
  <c r="AI304" i="2" s="1"/>
  <c r="AD282" i="2"/>
  <c r="AB205" i="2"/>
  <c r="AH205" i="2" s="1"/>
  <c r="AI205" i="2" s="1"/>
  <c r="AB236" i="2"/>
  <c r="AH236" i="2" s="1"/>
  <c r="AI236" i="2" s="1"/>
  <c r="AB362" i="2"/>
  <c r="AH362" i="2" s="1"/>
  <c r="AI362" i="2" s="1"/>
  <c r="AB176" i="2"/>
  <c r="AH176" i="2" s="1"/>
  <c r="AI176" i="2" s="1"/>
  <c r="AB183" i="2"/>
  <c r="AH183" i="2" s="1"/>
  <c r="AI183" i="2" s="1"/>
  <c r="AB229" i="2"/>
  <c r="AH229" i="2" s="1"/>
  <c r="AI229" i="2" s="1"/>
  <c r="AB237" i="2"/>
  <c r="AH237" i="2" s="1"/>
  <c r="AI237" i="2" s="1"/>
  <c r="AB252" i="2"/>
  <c r="AH252" i="2" s="1"/>
  <c r="AI252" i="2" s="1"/>
  <c r="AB262" i="2"/>
  <c r="AH262" i="2" s="1"/>
  <c r="AI262" i="2" s="1"/>
  <c r="AB291" i="2"/>
  <c r="AH291" i="2" s="1"/>
  <c r="AI291" i="2" s="1"/>
  <c r="AB299" i="2"/>
  <c r="AH299" i="2" s="1"/>
  <c r="AI299" i="2" s="1"/>
  <c r="AB306" i="2"/>
  <c r="AH306" i="2" s="1"/>
  <c r="AI306" i="2" s="1"/>
  <c r="AB315" i="2"/>
  <c r="AH315" i="2" s="1"/>
  <c r="AI315" i="2" s="1"/>
  <c r="AB323" i="2"/>
  <c r="AH323" i="2" s="1"/>
  <c r="AI323" i="2" s="1"/>
  <c r="AB331" i="2"/>
  <c r="AH331" i="2" s="1"/>
  <c r="AI331" i="2" s="1"/>
  <c r="AB268" i="2"/>
  <c r="AH268" i="2" s="1"/>
  <c r="AI268" i="2" s="1"/>
  <c r="AB199" i="2"/>
  <c r="AH199" i="2" s="1"/>
  <c r="AI199" i="2" s="1"/>
  <c r="AB218" i="2"/>
  <c r="AH218" i="2" s="1"/>
  <c r="AB246" i="2"/>
  <c r="AH246" i="2" s="1"/>
  <c r="AI246" i="2" s="1"/>
  <c r="AB300" i="2"/>
  <c r="AH300" i="2" s="1"/>
  <c r="AI300" i="2" s="1"/>
  <c r="AB307" i="2"/>
  <c r="AH307" i="2" s="1"/>
  <c r="AI307" i="2" s="1"/>
  <c r="AB324" i="2"/>
  <c r="AH324" i="2" s="1"/>
  <c r="AI324" i="2" s="1"/>
  <c r="AB192" i="2"/>
  <c r="AH192" i="2" s="1"/>
  <c r="AI192" i="2" s="1"/>
  <c r="AB223" i="2"/>
  <c r="AH223" i="2" s="1"/>
  <c r="AI223" i="2" s="1"/>
  <c r="AB238" i="2"/>
  <c r="AH238" i="2" s="1"/>
  <c r="AI238" i="2" s="1"/>
  <c r="AB247" i="2"/>
  <c r="AH247" i="2" s="1"/>
  <c r="AI247" i="2" s="1"/>
  <c r="AB222" i="2"/>
  <c r="AH222" i="2" s="1"/>
  <c r="AI222" i="2" s="1"/>
  <c r="AB309" i="2"/>
  <c r="AH309" i="2" s="1"/>
  <c r="AI309" i="2" s="1"/>
  <c r="AB332" i="2"/>
  <c r="AH332" i="2" s="1"/>
  <c r="AI332" i="2" s="1"/>
  <c r="AB340" i="2"/>
  <c r="AH340" i="2" s="1"/>
  <c r="AI340" i="2" s="1"/>
  <c r="AB357" i="2"/>
  <c r="AH357" i="2" s="1"/>
  <c r="AI357" i="2" s="1"/>
  <c r="AB266" i="2"/>
  <c r="AH266" i="2" s="1"/>
  <c r="AI266" i="2" s="1"/>
  <c r="AB224" i="2"/>
  <c r="AH224" i="2" s="1"/>
  <c r="AI224" i="2" s="1"/>
  <c r="AB232" i="2"/>
  <c r="AH232" i="2" s="1"/>
  <c r="AI232" i="2" s="1"/>
  <c r="AB239" i="2"/>
  <c r="AH239" i="2" s="1"/>
  <c r="AI239" i="2" s="1"/>
  <c r="AB349" i="2"/>
  <c r="AH349" i="2" s="1"/>
  <c r="AI349" i="2" s="1"/>
  <c r="AB261" i="2"/>
  <c r="AH261" i="2" s="1"/>
  <c r="AI261" i="2" s="1"/>
  <c r="AB210" i="2"/>
  <c r="AH210" i="2" s="1"/>
  <c r="AI210" i="2" s="1"/>
  <c r="AB286" i="2"/>
  <c r="AH286" i="2" s="1"/>
  <c r="AI286" i="2" s="1"/>
  <c r="AB263" i="2"/>
  <c r="AH263" i="2" s="1"/>
  <c r="AI263" i="2" s="1"/>
  <c r="AB163" i="2"/>
  <c r="AH163" i="2" s="1"/>
  <c r="AI163" i="2" s="1"/>
  <c r="AB219" i="2"/>
  <c r="AH219" i="2" s="1"/>
  <c r="AB257" i="2"/>
  <c r="AH257" i="2" s="1"/>
  <c r="AI257" i="2" s="1"/>
  <c r="AB327" i="2"/>
  <c r="AH327" i="2" s="1"/>
  <c r="AI327" i="2" s="1"/>
  <c r="AB334" i="2"/>
  <c r="AH334" i="2" s="1"/>
  <c r="AI334" i="2" s="1"/>
  <c r="AB358" i="2"/>
  <c r="AH358" i="2" s="1"/>
  <c r="AI358" i="2" s="1"/>
  <c r="AB251" i="2"/>
  <c r="AH251" i="2" s="1"/>
  <c r="AI251" i="2" s="1"/>
  <c r="AB338" i="2"/>
  <c r="AH338" i="2" s="1"/>
  <c r="AI338" i="2" s="1"/>
  <c r="AB211" i="2"/>
  <c r="AH211" i="2" s="1"/>
  <c r="AI211" i="2" s="1"/>
  <c r="AB226" i="2"/>
  <c r="AH226" i="2" s="1"/>
  <c r="AI226" i="2" s="1"/>
  <c r="AB328" i="2"/>
  <c r="AH328" i="2" s="1"/>
  <c r="AI328" i="2" s="1"/>
  <c r="AB335" i="2"/>
  <c r="AH335" i="2" s="1"/>
  <c r="AI335" i="2" s="1"/>
  <c r="AB164" i="2"/>
  <c r="AH164" i="2" s="1"/>
  <c r="AI164" i="2" s="1"/>
  <c r="AB180" i="2"/>
  <c r="AH180" i="2" s="1"/>
  <c r="AI180" i="2" s="1"/>
  <c r="AB165" i="2"/>
  <c r="AH165" i="2" s="1"/>
  <c r="AI165" i="2" s="1"/>
  <c r="AB195" i="2"/>
  <c r="AH195" i="2" s="1"/>
  <c r="AI195" i="2" s="1"/>
  <c r="AB227" i="2"/>
  <c r="AH227" i="2" s="1"/>
  <c r="AI227" i="2" s="1"/>
  <c r="AB303" i="2"/>
  <c r="AH303" i="2" s="1"/>
  <c r="AI303" i="2" s="1"/>
  <c r="AB188" i="2"/>
  <c r="AH188" i="2" s="1"/>
  <c r="AI188" i="2" s="1"/>
  <c r="AB203" i="2"/>
  <c r="AH203" i="2" s="1"/>
  <c r="AI203" i="2" s="1"/>
  <c r="AB216" i="2"/>
  <c r="AH216" i="2" s="1"/>
  <c r="AI216" i="2" s="1"/>
  <c r="AB235" i="2"/>
  <c r="AH235" i="2" s="1"/>
  <c r="AI235" i="2" s="1"/>
  <c r="AB259" i="2"/>
  <c r="AH259" i="2" s="1"/>
  <c r="AI259" i="2" s="1"/>
  <c r="AB168" i="2"/>
  <c r="AH168" i="2" s="1"/>
  <c r="AI168" i="2" s="1"/>
  <c r="AB169" i="2"/>
  <c r="AH169" i="2" s="1"/>
  <c r="AI169" i="2" s="1"/>
  <c r="AB197" i="2"/>
  <c r="AH197" i="2" s="1"/>
  <c r="AI197" i="2" s="1"/>
  <c r="AB204" i="2"/>
  <c r="AH204" i="2" s="1"/>
  <c r="AI204" i="2" s="1"/>
  <c r="AB220" i="2"/>
  <c r="AH220" i="2" s="1"/>
  <c r="AB228" i="2"/>
  <c r="AH228" i="2" s="1"/>
  <c r="AI228" i="2" s="1"/>
  <c r="AB250" i="2"/>
  <c r="AH250" i="2" s="1"/>
  <c r="AI250" i="2" s="1"/>
  <c r="AB260" i="2"/>
  <c r="AH260" i="2" s="1"/>
  <c r="AI260" i="2" s="1"/>
  <c r="AB298" i="2"/>
  <c r="AH298" i="2" s="1"/>
  <c r="AI298" i="2" s="1"/>
  <c r="AB337" i="2"/>
  <c r="AH337" i="2" s="1"/>
  <c r="AI337" i="2" s="1"/>
  <c r="AB345" i="2"/>
  <c r="AH345" i="2" s="1"/>
  <c r="AI345" i="2" s="1"/>
  <c r="AB361" i="2"/>
  <c r="AH361" i="2" s="1"/>
  <c r="AI361" i="2" s="1"/>
  <c r="AB182" i="2"/>
  <c r="AH182" i="2" s="1"/>
  <c r="AI182" i="2" s="1"/>
  <c r="AB213" i="2"/>
  <c r="AH213" i="2" s="1"/>
  <c r="AI213" i="2" s="1"/>
  <c r="AB206" i="2"/>
  <c r="AH206" i="2" s="1"/>
  <c r="AI206" i="2" s="1"/>
  <c r="AB191" i="2"/>
  <c r="AH191" i="2" s="1"/>
  <c r="AI191" i="2" s="1"/>
  <c r="AB221" i="2"/>
  <c r="AH221" i="2" s="1"/>
  <c r="AI221" i="2" s="1"/>
  <c r="AB231" i="2"/>
  <c r="AH231" i="2" s="1"/>
  <c r="AI231" i="2" s="1"/>
  <c r="AB293" i="2"/>
  <c r="AH293" i="2" s="1"/>
  <c r="AI293" i="2" s="1"/>
  <c r="AB170" i="2"/>
  <c r="AH170" i="2" s="1"/>
  <c r="AI170" i="2" s="1"/>
  <c r="AB208" i="2"/>
  <c r="AH208" i="2" s="1"/>
  <c r="AI208" i="2" s="1"/>
  <c r="AB256" i="2"/>
  <c r="AH256" i="2" s="1"/>
  <c r="AI256" i="2" s="1"/>
  <c r="AB318" i="2"/>
  <c r="AH318" i="2" s="1"/>
  <c r="AI318" i="2" s="1"/>
  <c r="AB172" i="2"/>
  <c r="AH172" i="2" s="1"/>
  <c r="AI172" i="2" s="1"/>
  <c r="AB187" i="2"/>
  <c r="AH187" i="2" s="1"/>
  <c r="AI187" i="2" s="1"/>
  <c r="AB202" i="2"/>
  <c r="AH202" i="2" s="1"/>
  <c r="AI202" i="2" s="1"/>
  <c r="AB225" i="2"/>
  <c r="AH225" i="2" s="1"/>
  <c r="AI225" i="2" s="1"/>
  <c r="AB241" i="2"/>
  <c r="AH241" i="2" s="1"/>
  <c r="AI241" i="2" s="1"/>
  <c r="AB344" i="2"/>
  <c r="AH344" i="2" s="1"/>
  <c r="AI344" i="2" s="1"/>
  <c r="AB367" i="2"/>
  <c r="AH367" i="2" s="1"/>
  <c r="AI367" i="2" s="1"/>
  <c r="AB346" i="2"/>
  <c r="AH346" i="2" s="1"/>
  <c r="AI346" i="2" s="1"/>
  <c r="AB234" i="2"/>
  <c r="AH234" i="2" s="1"/>
  <c r="AI234" i="2" s="1"/>
  <c r="AB242" i="2"/>
  <c r="AH242" i="2" s="1"/>
  <c r="AI242" i="2" s="1"/>
  <c r="AB287" i="2"/>
  <c r="AH287" i="2" s="1"/>
  <c r="AI287" i="2" s="1"/>
  <c r="AB320" i="2"/>
  <c r="AH320" i="2" s="1"/>
  <c r="AI320" i="2" s="1"/>
  <c r="AB352" i="2"/>
  <c r="AH352" i="2" s="1"/>
  <c r="AI352" i="2" s="1"/>
  <c r="AB177" i="2"/>
  <c r="AH177" i="2" s="1"/>
  <c r="AI177" i="2" s="1"/>
  <c r="AB167" i="2"/>
  <c r="AH167" i="2" s="1"/>
  <c r="AI167" i="2" s="1"/>
  <c r="AB313" i="2"/>
  <c r="AH313" i="2" s="1"/>
  <c r="AI313" i="2" s="1"/>
  <c r="AB330" i="2"/>
  <c r="AH330" i="2" s="1"/>
  <c r="AI330" i="2" s="1"/>
  <c r="AD359" i="2"/>
  <c r="AD269" i="2"/>
  <c r="AD264" i="2"/>
  <c r="AD355" i="2"/>
  <c r="AD347" i="2"/>
  <c r="AD341" i="2"/>
  <c r="AD339" i="2"/>
  <c r="AD336" i="2"/>
  <c r="AD324" i="2"/>
  <c r="AD322" i="2"/>
  <c r="AD318" i="2"/>
  <c r="AD310" i="2"/>
  <c r="AD295" i="2"/>
  <c r="AD294" i="2"/>
  <c r="AD260" i="2"/>
  <c r="AD254" i="2"/>
  <c r="AD255" i="2"/>
  <c r="AD250" i="2"/>
  <c r="AD248" i="2"/>
  <c r="AD245" i="2"/>
  <c r="AD229" i="2"/>
  <c r="AD210" i="2"/>
  <c r="AD217" i="2"/>
  <c r="AD209" i="2"/>
  <c r="AD201" i="2"/>
  <c r="AD193" i="2"/>
  <c r="AD186" i="2"/>
  <c r="AD178" i="2"/>
  <c r="AD175" i="2"/>
  <c r="AD171" i="2"/>
  <c r="Y153" i="2"/>
  <c r="AB153" i="2" s="1"/>
  <c r="AH153" i="2" s="1"/>
  <c r="AI153" i="2" s="1"/>
  <c r="O125" i="2"/>
  <c r="Z125" i="2" s="1"/>
  <c r="O161" i="2"/>
  <c r="X161" i="2" s="1"/>
  <c r="O160" i="2"/>
  <c r="O159" i="2"/>
  <c r="X159" i="2" s="1"/>
  <c r="O158" i="2"/>
  <c r="X158" i="2" s="1"/>
  <c r="AD257" i="2" l="1"/>
  <c r="AD179" i="2"/>
  <c r="AD285" i="2"/>
  <c r="AD200" i="2"/>
  <c r="AD353" i="2"/>
  <c r="AD360" i="2"/>
  <c r="AD354" i="2"/>
  <c r="AD190" i="2"/>
  <c r="AD198" i="2"/>
  <c r="AD211" i="2"/>
  <c r="AD323" i="2"/>
  <c r="AD165" i="2"/>
  <c r="AD326" i="2"/>
  <c r="AD174" i="2"/>
  <c r="AD329" i="2"/>
  <c r="AD223" i="2"/>
  <c r="AD265" i="2"/>
  <c r="AD327" i="2"/>
  <c r="AD297" i="2"/>
  <c r="AD299" i="2"/>
  <c r="AD291" i="2"/>
  <c r="AD267" i="2"/>
  <c r="AD222" i="2"/>
  <c r="AD184" i="2"/>
  <c r="AD237" i="2"/>
  <c r="AD342" i="2"/>
  <c r="AD192" i="2"/>
  <c r="AD311" i="2"/>
  <c r="AD219" i="2"/>
  <c r="AD185" i="2"/>
  <c r="AD243" i="2"/>
  <c r="AD312" i="2"/>
  <c r="AD356" i="2"/>
  <c r="AD212" i="2"/>
  <c r="AD196" i="2"/>
  <c r="AD253" i="2"/>
  <c r="AD316" i="2"/>
  <c r="AD173" i="2"/>
  <c r="AD319" i="2"/>
  <c r="AD271" i="2"/>
  <c r="AD189" i="2"/>
  <c r="AD235" i="2"/>
  <c r="AD296" i="2"/>
  <c r="AD231" i="2"/>
  <c r="AD292" i="2"/>
  <c r="AD240" i="2"/>
  <c r="AD272" i="2"/>
  <c r="AD164" i="2"/>
  <c r="AD249" i="2"/>
  <c r="AD288" i="2"/>
  <c r="AD305" i="2"/>
  <c r="AD351" i="2"/>
  <c r="AD228" i="2"/>
  <c r="AD163" i="2"/>
  <c r="AD252" i="2"/>
  <c r="AD321" i="2"/>
  <c r="AD317" i="2"/>
  <c r="AD230" i="2"/>
  <c r="AD256" i="2"/>
  <c r="AD302" i="2"/>
  <c r="AD195" i="2"/>
  <c r="AD258" i="2"/>
  <c r="AD298" i="2"/>
  <c r="AD238" i="2"/>
  <c r="AD261" i="2"/>
  <c r="AD325" i="2"/>
  <c r="AD263" i="2"/>
  <c r="AD207" i="2"/>
  <c r="AD307" i="2"/>
  <c r="AD337" i="2"/>
  <c r="AD262" i="2"/>
  <c r="AD286" i="2"/>
  <c r="AD166" i="2"/>
  <c r="AD233" i="2"/>
  <c r="AD303" i="2"/>
  <c r="AD183" i="2"/>
  <c r="AD244" i="2"/>
  <c r="AD214" i="2"/>
  <c r="AD247" i="2"/>
  <c r="AD290" i="2"/>
  <c r="AD270" i="2"/>
  <c r="AD234" i="2"/>
  <c r="AD213" i="2"/>
  <c r="AD241" i="2"/>
  <c r="AD188" i="2"/>
  <c r="AD306" i="2"/>
  <c r="AD357" i="2"/>
  <c r="AD358" i="2"/>
  <c r="AD330" i="2"/>
  <c r="AD227" i="2"/>
  <c r="AD304" i="2"/>
  <c r="AD332" i="2"/>
  <c r="AD365" i="2"/>
  <c r="AD314" i="2"/>
  <c r="AD333" i="2"/>
  <c r="AD366" i="2"/>
  <c r="AD301" i="2"/>
  <c r="AD363" i="2"/>
  <c r="AD361" i="2"/>
  <c r="AD350" i="2"/>
  <c r="AD345" i="2"/>
  <c r="AD315" i="2"/>
  <c r="AD216" i="2"/>
  <c r="AD181" i="2"/>
  <c r="AD180" i="2"/>
  <c r="AD162" i="2"/>
  <c r="AD208" i="2"/>
  <c r="AD236" i="2"/>
  <c r="AD300" i="2"/>
  <c r="AD266" i="2"/>
  <c r="AD220" i="2"/>
  <c r="AD338" i="2"/>
  <c r="AD176" i="2"/>
  <c r="AD320" i="2"/>
  <c r="AD194" i="2"/>
  <c r="AD177" i="2"/>
  <c r="AD215" i="2"/>
  <c r="AD340" i="2"/>
  <c r="AD362" i="2"/>
  <c r="AD364" i="2"/>
  <c r="AD349" i="2"/>
  <c r="AD335" i="2"/>
  <c r="AD309" i="2"/>
  <c r="AD343" i="2"/>
  <c r="AD182" i="2"/>
  <c r="AD205" i="2"/>
  <c r="AD348" i="2"/>
  <c r="AD268" i="2"/>
  <c r="AD287" i="2"/>
  <c r="AD344" i="2"/>
  <c r="AD204" i="2"/>
  <c r="AD218" i="2"/>
  <c r="AD331" i="2"/>
  <c r="AD346" i="2"/>
  <c r="AD197" i="2"/>
  <c r="AD170" i="2"/>
  <c r="AD169" i="2"/>
  <c r="AD203" i="2"/>
  <c r="AD224" i="2"/>
  <c r="AD239" i="2"/>
  <c r="AD367" i="2"/>
  <c r="AD328" i="2"/>
  <c r="AD242" i="2"/>
  <c r="AD199" i="2"/>
  <c r="AD251" i="2"/>
  <c r="AD168" i="2"/>
  <c r="AD206" i="2"/>
  <c r="AD226" i="2"/>
  <c r="AD259" i="2"/>
  <c r="AD334" i="2"/>
  <c r="AD352" i="2"/>
  <c r="AD232" i="2"/>
  <c r="AD191" i="2"/>
  <c r="AD246" i="2"/>
  <c r="AD225" i="2"/>
  <c r="AD187" i="2"/>
  <c r="AD172" i="2"/>
  <c r="AD202" i="2"/>
  <c r="AD167" i="2"/>
  <c r="AD293" i="2"/>
  <c r="AD221" i="2"/>
  <c r="AD313" i="2"/>
  <c r="AD153" i="2"/>
  <c r="Y125" i="2"/>
  <c r="X125" i="2"/>
  <c r="Z161" i="2"/>
  <c r="Y161" i="2"/>
  <c r="Y160" i="2"/>
  <c r="X160" i="2"/>
  <c r="Z160" i="2"/>
  <c r="Z159" i="2"/>
  <c r="Y159" i="2"/>
  <c r="Y158" i="2"/>
  <c r="Z158" i="2"/>
  <c r="O157" i="2"/>
  <c r="X157" i="2" s="1"/>
  <c r="O146" i="2"/>
  <c r="O156" i="2"/>
  <c r="X156" i="2" s="1"/>
  <c r="O155" i="2"/>
  <c r="X155" i="2" s="1"/>
  <c r="O154" i="2"/>
  <c r="X154" i="2" s="1"/>
  <c r="O152" i="2"/>
  <c r="X152" i="2" s="1"/>
  <c r="O151" i="2"/>
  <c r="O150" i="2"/>
  <c r="X150" i="2" s="1"/>
  <c r="O149" i="2"/>
  <c r="O148" i="2"/>
  <c r="X148" i="2" s="1"/>
  <c r="O147" i="2"/>
  <c r="X147" i="2" s="1"/>
  <c r="O145" i="2"/>
  <c r="X145" i="2" s="1"/>
  <c r="O144" i="2"/>
  <c r="X144" i="2" s="1"/>
  <c r="O143" i="2"/>
  <c r="X143" i="2" s="1"/>
  <c r="O142" i="2"/>
  <c r="X142" i="2" s="1"/>
  <c r="O141" i="2"/>
  <c r="X141" i="2" s="1"/>
  <c r="O140" i="2"/>
  <c r="X140" i="2" s="1"/>
  <c r="O139" i="2"/>
  <c r="X139" i="2" s="1"/>
  <c r="O138" i="2"/>
  <c r="X138" i="2" s="1"/>
  <c r="O137" i="2"/>
  <c r="O136" i="2"/>
  <c r="X136" i="2" s="1"/>
  <c r="O135" i="2"/>
  <c r="X135" i="2" s="1"/>
  <c r="O134" i="2"/>
  <c r="O133" i="2"/>
  <c r="X133" i="2" s="1"/>
  <c r="O132" i="2"/>
  <c r="X132" i="2" s="1"/>
  <c r="O131" i="2"/>
  <c r="X131" i="2" s="1"/>
  <c r="O130" i="2"/>
  <c r="O129" i="2"/>
  <c r="X129" i="2" s="1"/>
  <c r="O128" i="2"/>
  <c r="X128" i="2" s="1"/>
  <c r="O127" i="2"/>
  <c r="Z127" i="2" s="1"/>
  <c r="O126" i="2"/>
  <c r="Z126" i="2" s="1"/>
  <c r="O124" i="2"/>
  <c r="X124" i="2" s="1"/>
  <c r="O123" i="2"/>
  <c r="X123" i="2" s="1"/>
  <c r="O122" i="2"/>
  <c r="X122" i="2" s="1"/>
  <c r="O121" i="2"/>
  <c r="X121" i="2" s="1"/>
  <c r="O120" i="2"/>
  <c r="X120" i="2" s="1"/>
  <c r="O119" i="2"/>
  <c r="X119" i="2" s="1"/>
  <c r="O118" i="2"/>
  <c r="X118" i="2" s="1"/>
  <c r="O117" i="2"/>
  <c r="X117" i="2" s="1"/>
  <c r="O116" i="2"/>
  <c r="X116" i="2" s="1"/>
  <c r="O115" i="2"/>
  <c r="X115" i="2" s="1"/>
  <c r="O114" i="2"/>
  <c r="X114" i="2" s="1"/>
  <c r="O113" i="2"/>
  <c r="X113" i="2" s="1"/>
  <c r="O112" i="2"/>
  <c r="O111" i="2"/>
  <c r="X111" i="2" s="1"/>
  <c r="O110" i="2"/>
  <c r="X110" i="2" s="1"/>
  <c r="AB125" i="2" l="1"/>
  <c r="AH125" i="2" s="1"/>
  <c r="AI125" i="2" s="1"/>
  <c r="AB158" i="2"/>
  <c r="AH158" i="2" s="1"/>
  <c r="AI158" i="2" s="1"/>
  <c r="AB159" i="2"/>
  <c r="AH159" i="2" s="1"/>
  <c r="AI159" i="2" s="1"/>
  <c r="AB161" i="2"/>
  <c r="AH161" i="2" s="1"/>
  <c r="AI161" i="2" s="1"/>
  <c r="AB160" i="2"/>
  <c r="AH160" i="2" s="1"/>
  <c r="AI160" i="2" s="1"/>
  <c r="AD125" i="2"/>
  <c r="AD159" i="2"/>
  <c r="AD158" i="2"/>
  <c r="Y146" i="2"/>
  <c r="Z157" i="2"/>
  <c r="Y152" i="2"/>
  <c r="X151" i="2"/>
  <c r="Y151" i="2"/>
  <c r="X146" i="2"/>
  <c r="Y157" i="2"/>
  <c r="Z146" i="2"/>
  <c r="Z154" i="2"/>
  <c r="Z152" i="2"/>
  <c r="Y154" i="2"/>
  <c r="Z155" i="2"/>
  <c r="Z156" i="2"/>
  <c r="Y155" i="2"/>
  <c r="Z151" i="2"/>
  <c r="Y156" i="2"/>
  <c r="Y150" i="2"/>
  <c r="Z150" i="2"/>
  <c r="Y149" i="2"/>
  <c r="X149" i="2"/>
  <c r="Z149" i="2"/>
  <c r="Z148" i="2"/>
  <c r="Y148" i="2"/>
  <c r="Z147" i="2"/>
  <c r="Y147" i="2"/>
  <c r="Z145" i="2"/>
  <c r="Y145" i="2"/>
  <c r="Z144" i="2"/>
  <c r="Y144" i="2"/>
  <c r="Y143" i="2"/>
  <c r="Z143" i="2"/>
  <c r="Z142" i="2"/>
  <c r="Y142" i="2"/>
  <c r="Z141" i="2"/>
  <c r="Y141" i="2"/>
  <c r="Z140" i="2"/>
  <c r="Y140" i="2"/>
  <c r="Y139" i="2"/>
  <c r="Z139" i="2"/>
  <c r="AB139" i="2" s="1"/>
  <c r="AH139" i="2" s="1"/>
  <c r="AI139" i="2" s="1"/>
  <c r="Z138" i="2"/>
  <c r="Y138" i="2"/>
  <c r="Y137" i="2"/>
  <c r="Z137" i="2"/>
  <c r="X137" i="2"/>
  <c r="Z136" i="2"/>
  <c r="Y136" i="2"/>
  <c r="Y135" i="2"/>
  <c r="Z135" i="2"/>
  <c r="Y134" i="2"/>
  <c r="Z134" i="2"/>
  <c r="X134" i="2"/>
  <c r="Z133" i="2"/>
  <c r="Y133" i="2"/>
  <c r="Z132" i="2"/>
  <c r="Y132" i="2"/>
  <c r="Z131" i="2"/>
  <c r="Y131" i="2"/>
  <c r="Y130" i="2"/>
  <c r="X130" i="2"/>
  <c r="Z130" i="2"/>
  <c r="Z129" i="2"/>
  <c r="Y129" i="2"/>
  <c r="Z128" i="2"/>
  <c r="Y128" i="2"/>
  <c r="Y127" i="2"/>
  <c r="X127" i="2"/>
  <c r="AB127" i="2" s="1"/>
  <c r="AH127" i="2" s="1"/>
  <c r="AI127" i="2" s="1"/>
  <c r="Y126" i="2"/>
  <c r="X126" i="2"/>
  <c r="AB126" i="2" s="1"/>
  <c r="AH126" i="2" s="1"/>
  <c r="AI126" i="2" s="1"/>
  <c r="Z124" i="2"/>
  <c r="Y124" i="2"/>
  <c r="Z123" i="2"/>
  <c r="Y123" i="2"/>
  <c r="Z122" i="2"/>
  <c r="Y122" i="2"/>
  <c r="Z121" i="2"/>
  <c r="Z120" i="2"/>
  <c r="Y120" i="2"/>
  <c r="Y121" i="2"/>
  <c r="Z119" i="2"/>
  <c r="Y119" i="2"/>
  <c r="Y118" i="2"/>
  <c r="Z118" i="2"/>
  <c r="Z117" i="2"/>
  <c r="Y117" i="2"/>
  <c r="Y116" i="2"/>
  <c r="Z116" i="2"/>
  <c r="Z115" i="2"/>
  <c r="Y115" i="2"/>
  <c r="Y114" i="2"/>
  <c r="Z114" i="2"/>
  <c r="Z113" i="2"/>
  <c r="Y113" i="2"/>
  <c r="Y112" i="2"/>
  <c r="Z112" i="2"/>
  <c r="X112" i="2"/>
  <c r="Z111" i="2"/>
  <c r="Y111" i="2"/>
  <c r="Y110" i="2"/>
  <c r="Z110" i="2"/>
  <c r="AB110" i="2" s="1"/>
  <c r="AH110" i="2" s="1"/>
  <c r="AI110" i="2" s="1"/>
  <c r="AB135" i="2" l="1"/>
  <c r="AH135" i="2" s="1"/>
  <c r="AI135" i="2" s="1"/>
  <c r="AB116" i="2"/>
  <c r="AH116" i="2" s="1"/>
  <c r="AI116" i="2" s="1"/>
  <c r="AB113" i="2"/>
  <c r="AH113" i="2" s="1"/>
  <c r="AI113" i="2" s="1"/>
  <c r="AB145" i="2"/>
  <c r="AH145" i="2" s="1"/>
  <c r="AI145" i="2" s="1"/>
  <c r="AB150" i="2"/>
  <c r="AH150" i="2" s="1"/>
  <c r="AI150" i="2" s="1"/>
  <c r="AB118" i="2"/>
  <c r="AH118" i="2" s="1"/>
  <c r="AI118" i="2" s="1"/>
  <c r="AB147" i="2"/>
  <c r="AH147" i="2" s="1"/>
  <c r="AI147" i="2" s="1"/>
  <c r="AB148" i="2"/>
  <c r="AH148" i="2" s="1"/>
  <c r="AI148" i="2" s="1"/>
  <c r="AB138" i="2"/>
  <c r="AH138" i="2" s="1"/>
  <c r="AI138" i="2" s="1"/>
  <c r="AB141" i="2"/>
  <c r="AH141" i="2" s="1"/>
  <c r="AI141" i="2" s="1"/>
  <c r="AB131" i="2"/>
  <c r="AH131" i="2" s="1"/>
  <c r="AI131" i="2" s="1"/>
  <c r="AB122" i="2"/>
  <c r="AH122" i="2" s="1"/>
  <c r="AI122" i="2" s="1"/>
  <c r="AB133" i="2"/>
  <c r="AH133" i="2" s="1"/>
  <c r="AI133" i="2" s="1"/>
  <c r="AB142" i="2"/>
  <c r="AH142" i="2" s="1"/>
  <c r="AI142" i="2" s="1"/>
  <c r="AB115" i="2"/>
  <c r="AH115" i="2" s="1"/>
  <c r="AI115" i="2" s="1"/>
  <c r="AB111" i="2"/>
  <c r="AH111" i="2" s="1"/>
  <c r="AI111" i="2" s="1"/>
  <c r="AD160" i="2"/>
  <c r="AB156" i="2"/>
  <c r="AH156" i="2" s="1"/>
  <c r="AI156" i="2" s="1"/>
  <c r="AD161" i="2"/>
  <c r="AB123" i="2"/>
  <c r="AH123" i="2" s="1"/>
  <c r="AI123" i="2" s="1"/>
  <c r="AB137" i="2"/>
  <c r="AH137" i="2" s="1"/>
  <c r="AI137" i="2" s="1"/>
  <c r="AB155" i="2"/>
  <c r="AH155" i="2" s="1"/>
  <c r="AI155" i="2" s="1"/>
  <c r="AB121" i="2"/>
  <c r="AH121" i="2" s="1"/>
  <c r="AI121" i="2" s="1"/>
  <c r="AB114" i="2"/>
  <c r="AH114" i="2" s="1"/>
  <c r="AI114" i="2" s="1"/>
  <c r="AB140" i="2"/>
  <c r="AH140" i="2" s="1"/>
  <c r="AI140" i="2" s="1"/>
  <c r="AB120" i="2"/>
  <c r="AH120" i="2" s="1"/>
  <c r="AI120" i="2" s="1"/>
  <c r="AB144" i="2"/>
  <c r="AH144" i="2" s="1"/>
  <c r="AI144" i="2" s="1"/>
  <c r="AB154" i="2"/>
  <c r="AH154" i="2" s="1"/>
  <c r="AI154" i="2" s="1"/>
  <c r="AB129" i="2"/>
  <c r="AH129" i="2" s="1"/>
  <c r="AI129" i="2" s="1"/>
  <c r="AB136" i="2"/>
  <c r="AH136" i="2" s="1"/>
  <c r="AI136" i="2" s="1"/>
  <c r="AB132" i="2"/>
  <c r="AH132" i="2" s="1"/>
  <c r="AI132" i="2" s="1"/>
  <c r="AB124" i="2"/>
  <c r="AH124" i="2" s="1"/>
  <c r="AI124" i="2" s="1"/>
  <c r="AB117" i="2"/>
  <c r="AH117" i="2" s="1"/>
  <c r="AI117" i="2" s="1"/>
  <c r="AB134" i="2"/>
  <c r="AH134" i="2" s="1"/>
  <c r="AI134" i="2" s="1"/>
  <c r="AB152" i="2"/>
  <c r="AH152" i="2" s="1"/>
  <c r="AI152" i="2" s="1"/>
  <c r="AB157" i="2"/>
  <c r="AH157" i="2" s="1"/>
  <c r="AI157" i="2" s="1"/>
  <c r="AB112" i="2"/>
  <c r="AH112" i="2" s="1"/>
  <c r="AI112" i="2" s="1"/>
  <c r="AB119" i="2"/>
  <c r="AH119" i="2" s="1"/>
  <c r="AI119" i="2" s="1"/>
  <c r="AB128" i="2"/>
  <c r="AH128" i="2" s="1"/>
  <c r="AI128" i="2" s="1"/>
  <c r="AB143" i="2"/>
  <c r="AH143" i="2" s="1"/>
  <c r="AI143" i="2" s="1"/>
  <c r="AB151" i="2"/>
  <c r="AH151" i="2" s="1"/>
  <c r="AI151" i="2" s="1"/>
  <c r="AB149" i="2"/>
  <c r="AH149" i="2" s="1"/>
  <c r="AI149" i="2" s="1"/>
  <c r="AB130" i="2"/>
  <c r="AH130" i="2" s="1"/>
  <c r="AI130" i="2" s="1"/>
  <c r="AB146" i="2"/>
  <c r="AH146" i="2" s="1"/>
  <c r="AI146" i="2" s="1"/>
  <c r="AD150" i="2"/>
  <c r="AD148" i="2"/>
  <c r="AD147" i="2"/>
  <c r="AD145" i="2"/>
  <c r="AD139" i="2"/>
  <c r="AD135" i="2"/>
  <c r="AD127" i="2"/>
  <c r="AD126" i="2"/>
  <c r="AD116" i="2"/>
  <c r="AD113" i="2"/>
  <c r="AD110" i="2"/>
  <c r="AD118" i="2" l="1"/>
  <c r="AD142" i="2"/>
  <c r="AD121" i="2"/>
  <c r="AD141" i="2"/>
  <c r="AD111" i="2"/>
  <c r="AD120" i="2"/>
  <c r="AD138" i="2"/>
  <c r="AD122" i="2"/>
  <c r="AD133" i="2"/>
  <c r="AD115" i="2"/>
  <c r="AD136" i="2"/>
  <c r="AD129" i="2"/>
  <c r="AD131" i="2"/>
  <c r="AD137" i="2"/>
  <c r="AD123" i="2"/>
  <c r="AD132" i="2"/>
  <c r="AD140" i="2"/>
  <c r="AD144" i="2"/>
  <c r="AD128" i="2"/>
  <c r="AD112" i="2"/>
  <c r="AD130" i="2"/>
  <c r="AD149" i="2"/>
  <c r="AD114" i="2"/>
  <c r="AD154" i="2"/>
  <c r="AD134" i="2"/>
  <c r="AD146" i="2"/>
  <c r="AD155" i="2"/>
  <c r="AD117" i="2"/>
  <c r="AD156" i="2"/>
  <c r="AD151" i="2"/>
  <c r="AD157" i="2"/>
  <c r="AD119" i="2"/>
  <c r="AD124" i="2"/>
  <c r="AD152" i="2"/>
  <c r="AD143" i="2"/>
  <c r="O107" i="2"/>
  <c r="O106" i="2"/>
  <c r="X106" i="2" s="1"/>
  <c r="O105" i="2"/>
  <c r="X105" i="2" s="1"/>
  <c r="O104" i="2"/>
  <c r="X104" i="2" s="1"/>
  <c r="O103" i="2"/>
  <c r="X103" i="2" s="1"/>
  <c r="O97" i="2"/>
  <c r="X102" i="2"/>
  <c r="O101" i="2"/>
  <c r="O100" i="2"/>
  <c r="X100" i="2" s="1"/>
  <c r="O99" i="2"/>
  <c r="X99" i="2" s="1"/>
  <c r="Y109" i="2" l="1"/>
  <c r="X109" i="2"/>
  <c r="Z109" i="2"/>
  <c r="Y108" i="2"/>
  <c r="Z108" i="2"/>
  <c r="X108" i="2"/>
  <c r="Y107" i="2"/>
  <c r="Z104" i="2"/>
  <c r="Y104" i="2"/>
  <c r="X107" i="2"/>
  <c r="Z105" i="2"/>
  <c r="Z107" i="2"/>
  <c r="Y105" i="2"/>
  <c r="Z106" i="2"/>
  <c r="Y106" i="2"/>
  <c r="Y103" i="2"/>
  <c r="Z103" i="2"/>
  <c r="Y101" i="2"/>
  <c r="Y97" i="2"/>
  <c r="Z97" i="2"/>
  <c r="Z101" i="2"/>
  <c r="Z102" i="2"/>
  <c r="X101" i="2"/>
  <c r="Y102" i="2"/>
  <c r="X97" i="2"/>
  <c r="AB97" i="2" s="1"/>
  <c r="AH97" i="2" s="1"/>
  <c r="AI97" i="2" s="1"/>
  <c r="Z100" i="2"/>
  <c r="Y100" i="2"/>
  <c r="Z99" i="2"/>
  <c r="Y99" i="2"/>
  <c r="AB101" i="2" l="1"/>
  <c r="AH101" i="2" s="1"/>
  <c r="AI101" i="2" s="1"/>
  <c r="AB106" i="2"/>
  <c r="AH106" i="2" s="1"/>
  <c r="AI106" i="2" s="1"/>
  <c r="AB108" i="2"/>
  <c r="AH108" i="2" s="1"/>
  <c r="AI108" i="2" s="1"/>
  <c r="AB100" i="2"/>
  <c r="AH100" i="2" s="1"/>
  <c r="AI100" i="2" s="1"/>
  <c r="AB99" i="2"/>
  <c r="AH99" i="2" s="1"/>
  <c r="AI99" i="2" s="1"/>
  <c r="AB105" i="2"/>
  <c r="AH105" i="2" s="1"/>
  <c r="AI105" i="2" s="1"/>
  <c r="AB104" i="2"/>
  <c r="AH104" i="2" s="1"/>
  <c r="AI104" i="2" s="1"/>
  <c r="AB102" i="2"/>
  <c r="AH102" i="2" s="1"/>
  <c r="AI102" i="2" s="1"/>
  <c r="AB103" i="2"/>
  <c r="AH103" i="2" s="1"/>
  <c r="AI103" i="2" s="1"/>
  <c r="AB109" i="2"/>
  <c r="AH109" i="2" s="1"/>
  <c r="AI109" i="2" s="1"/>
  <c r="AB107" i="2"/>
  <c r="AH107" i="2" s="1"/>
  <c r="AI107" i="2" s="1"/>
  <c r="AD109" i="2"/>
  <c r="AD108" i="2"/>
  <c r="AD104" i="2"/>
  <c r="AD105" i="2"/>
  <c r="AD103" i="2"/>
  <c r="AD101" i="2"/>
  <c r="AD97" i="2"/>
  <c r="AD100" i="2" l="1"/>
  <c r="AD106" i="2"/>
  <c r="AD99" i="2"/>
  <c r="AD102" i="2"/>
  <c r="AD107" i="2"/>
  <c r="O98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AC498" i="2"/>
  <c r="G18" i="9"/>
  <c r="G27" i="9" s="1"/>
  <c r="O76" i="2"/>
  <c r="O75" i="2"/>
  <c r="W74" i="2"/>
  <c r="W73" i="2"/>
  <c r="O72" i="2"/>
  <c r="O73" i="2"/>
  <c r="O11" i="2"/>
  <c r="O12" i="2"/>
  <c r="O70" i="2"/>
  <c r="O71" i="2"/>
  <c r="O74" i="2"/>
  <c r="W70" i="2"/>
  <c r="O10" i="2"/>
  <c r="H48" i="11"/>
  <c r="H50" i="11"/>
  <c r="H52" i="11"/>
  <c r="H54" i="11"/>
  <c r="H56" i="11"/>
  <c r="H58" i="11"/>
  <c r="H60" i="11"/>
  <c r="H62" i="11"/>
  <c r="H64" i="11"/>
  <c r="H66" i="11"/>
  <c r="H68" i="11"/>
  <c r="H46" i="11"/>
  <c r="X73" i="2" l="1"/>
  <c r="Z73" i="2"/>
  <c r="X10" i="2"/>
  <c r="Z10" i="2"/>
  <c r="X70" i="2"/>
  <c r="Z70" i="2"/>
  <c r="X72" i="2"/>
  <c r="Z72" i="2"/>
  <c r="X80" i="2"/>
  <c r="Z80" i="2"/>
  <c r="X84" i="2"/>
  <c r="Z84" i="2"/>
  <c r="X86" i="2"/>
  <c r="Z86" i="2"/>
  <c r="X88" i="2"/>
  <c r="Z88" i="2"/>
  <c r="X90" i="2"/>
  <c r="Z90" i="2"/>
  <c r="X92" i="2"/>
  <c r="Z92" i="2"/>
  <c r="X94" i="2"/>
  <c r="Z94" i="2"/>
  <c r="X96" i="2"/>
  <c r="Z96" i="2"/>
  <c r="X76" i="2"/>
  <c r="Z76" i="2"/>
  <c r="X78" i="2"/>
  <c r="Z78" i="2"/>
  <c r="X82" i="2"/>
  <c r="Z82" i="2"/>
  <c r="X74" i="2"/>
  <c r="Z74" i="2"/>
  <c r="X11" i="2"/>
  <c r="Z11" i="2"/>
  <c r="Z12" i="2"/>
  <c r="X71" i="2"/>
  <c r="Z71" i="2"/>
  <c r="X75" i="2"/>
  <c r="Z75" i="2"/>
  <c r="X77" i="2"/>
  <c r="Z77" i="2"/>
  <c r="X79" i="2"/>
  <c r="Z79" i="2"/>
  <c r="X81" i="2"/>
  <c r="Z81" i="2"/>
  <c r="X83" i="2"/>
  <c r="Z83" i="2"/>
  <c r="X85" i="2"/>
  <c r="AB85" i="2" s="1"/>
  <c r="AH85" i="2" s="1"/>
  <c r="AI85" i="2" s="1"/>
  <c r="Z85" i="2"/>
  <c r="X87" i="2"/>
  <c r="Z87" i="2"/>
  <c r="X89" i="2"/>
  <c r="Z89" i="2"/>
  <c r="X91" i="2"/>
  <c r="Z91" i="2"/>
  <c r="X93" i="2"/>
  <c r="Z93" i="2"/>
  <c r="X95" i="2"/>
  <c r="Z95" i="2"/>
  <c r="X98" i="2"/>
  <c r="Z98" i="2"/>
  <c r="Y98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C17" i="10"/>
  <c r="D14" i="10"/>
  <c r="F14" i="10" s="1"/>
  <c r="F17" i="10" s="1"/>
  <c r="AB81" i="2" l="1"/>
  <c r="AH81" i="2" s="1"/>
  <c r="AI81" i="2" s="1"/>
  <c r="AB88" i="2"/>
  <c r="AH88" i="2" s="1"/>
  <c r="AI88" i="2" s="1"/>
  <c r="AB95" i="2"/>
  <c r="AH95" i="2" s="1"/>
  <c r="AI95" i="2" s="1"/>
  <c r="AB98" i="2"/>
  <c r="AH98" i="2" s="1"/>
  <c r="AI98" i="2" s="1"/>
  <c r="AB79" i="2"/>
  <c r="AH79" i="2" s="1"/>
  <c r="AI79" i="2" s="1"/>
  <c r="AB93" i="2"/>
  <c r="AH93" i="2" s="1"/>
  <c r="AI93" i="2" s="1"/>
  <c r="AB77" i="2"/>
  <c r="AH77" i="2" s="1"/>
  <c r="AI77" i="2" s="1"/>
  <c r="AB94" i="2"/>
  <c r="AH94" i="2" s="1"/>
  <c r="AI94" i="2" s="1"/>
  <c r="AB83" i="2"/>
  <c r="AH83" i="2" s="1"/>
  <c r="AI83" i="2" s="1"/>
  <c r="AB89" i="2"/>
  <c r="AH89" i="2" s="1"/>
  <c r="AI89" i="2" s="1"/>
  <c r="AB86" i="2"/>
  <c r="AH86" i="2" s="1"/>
  <c r="AI86" i="2" s="1"/>
  <c r="AB91" i="2"/>
  <c r="AH91" i="2" s="1"/>
  <c r="AI91" i="2" s="1"/>
  <c r="AB92" i="2"/>
  <c r="AH92" i="2" s="1"/>
  <c r="AI92" i="2" s="1"/>
  <c r="AB78" i="2"/>
  <c r="AH78" i="2" s="1"/>
  <c r="AI78" i="2" s="1"/>
  <c r="AB80" i="2"/>
  <c r="AH80" i="2" s="1"/>
  <c r="AI80" i="2" s="1"/>
  <c r="AB96" i="2"/>
  <c r="AH96" i="2" s="1"/>
  <c r="AI96" i="2" s="1"/>
  <c r="AB87" i="2"/>
  <c r="AH87" i="2" s="1"/>
  <c r="AI87" i="2" s="1"/>
  <c r="AB82" i="2"/>
  <c r="AH82" i="2" s="1"/>
  <c r="AI82" i="2" s="1"/>
  <c r="AB84" i="2"/>
  <c r="AH84" i="2" s="1"/>
  <c r="AI84" i="2" s="1"/>
  <c r="AB90" i="2"/>
  <c r="AH90" i="2" s="1"/>
  <c r="AI90" i="2" s="1"/>
  <c r="AD85" i="2"/>
  <c r="AD79" i="2"/>
  <c r="D17" i="10"/>
  <c r="AD93" i="2" l="1"/>
  <c r="AD98" i="2"/>
  <c r="AD87" i="2"/>
  <c r="AD81" i="2"/>
  <c r="AD82" i="2"/>
  <c r="AD88" i="2"/>
  <c r="AD78" i="2"/>
  <c r="AD96" i="2"/>
  <c r="AD92" i="2"/>
  <c r="AD84" i="2"/>
  <c r="AD94" i="2"/>
  <c r="AD95" i="2"/>
  <c r="AD91" i="2"/>
  <c r="AD89" i="2"/>
  <c r="AD83" i="2"/>
  <c r="AD80" i="2"/>
  <c r="AD90" i="2"/>
  <c r="AD77" i="2"/>
  <c r="AD86" i="2"/>
  <c r="C17" i="6"/>
  <c r="E17" i="6"/>
  <c r="D17" i="6"/>
  <c r="F17" i="6"/>
  <c r="B4" i="6"/>
  <c r="B3" i="6"/>
  <c r="B2" i="6"/>
  <c r="F12" i="4"/>
  <c r="E12" i="4"/>
  <c r="G12" i="4"/>
  <c r="B1" i="4"/>
  <c r="B4" i="4"/>
  <c r="B2" i="4"/>
  <c r="B3" i="4"/>
  <c r="E498" i="2"/>
  <c r="D498" i="2"/>
  <c r="Z498" i="2" l="1"/>
  <c r="X498" i="2"/>
  <c r="Y76" i="2"/>
  <c r="AB76" i="2" l="1"/>
  <c r="AH76" i="2" s="1"/>
  <c r="AI76" i="2" s="1"/>
  <c r="Y72" i="2"/>
  <c r="Y73" i="2"/>
  <c r="Y75" i="2"/>
  <c r="Y71" i="2"/>
  <c r="Y74" i="2"/>
  <c r="AD12" i="2"/>
  <c r="I16" i="9" s="1"/>
  <c r="B5" i="4"/>
  <c r="Y11" i="2"/>
  <c r="AB11" i="2" s="1"/>
  <c r="AH11" i="2" s="1"/>
  <c r="AI11" i="2" s="1"/>
  <c r="Y10" i="2"/>
  <c r="AB10" i="2" s="1"/>
  <c r="AD10" i="2" l="1"/>
  <c r="AH10" i="2"/>
  <c r="AI10" i="2" s="1"/>
  <c r="AB71" i="2"/>
  <c r="AH71" i="2" s="1"/>
  <c r="AI71" i="2" s="1"/>
  <c r="AB73" i="2"/>
  <c r="AH73" i="2" s="1"/>
  <c r="AI73" i="2" s="1"/>
  <c r="AB74" i="2"/>
  <c r="AH74" i="2" s="1"/>
  <c r="AI74" i="2" s="1"/>
  <c r="AB75" i="2"/>
  <c r="AH75" i="2" s="1"/>
  <c r="AI75" i="2" s="1"/>
  <c r="AB72" i="2"/>
  <c r="AH72" i="2" s="1"/>
  <c r="AI72" i="2" s="1"/>
  <c r="AD76" i="2"/>
  <c r="AD11" i="2"/>
  <c r="J16" i="9"/>
  <c r="Y70" i="2"/>
  <c r="AB70" i="2" s="1"/>
  <c r="AH70" i="2" s="1"/>
  <c r="AI70" i="2" s="1"/>
  <c r="AD74" i="2" l="1"/>
  <c r="AD75" i="2"/>
  <c r="AD73" i="2"/>
  <c r="AD71" i="2"/>
  <c r="AD72" i="2"/>
  <c r="AI498" i="2"/>
  <c r="AD70" i="2"/>
  <c r="AB498" i="2"/>
  <c r="Y498" i="2"/>
  <c r="AD498" i="2" l="1"/>
  <c r="I17" i="9"/>
  <c r="J17" i="9" l="1"/>
  <c r="J27" i="9" s="1"/>
  <c r="I2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V13" authorId="0" shapeId="0" xr:uid="{3586087D-B2B6-4304-9955-8AE361977DFE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Deduct 109&amp;a H20 Beam - Bottom</t>
        </r>
      </text>
    </comment>
    <comment ref="J32" authorId="0" shapeId="0" xr:uid="{2844E25F-64E0-4887-A48D-070A6F36F0D7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Check this</t>
        </r>
      </text>
    </comment>
    <comment ref="K32" authorId="0" shapeId="0" xr:uid="{B887C037-6C47-4BAE-A621-084728AE3027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Check this</t>
        </r>
      </text>
    </comment>
    <comment ref="J51" authorId="0" shapeId="0" xr:uid="{919BEA59-B55A-4C95-919C-5CCF4E94DEC1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Check this</t>
        </r>
      </text>
    </comment>
    <comment ref="W53" authorId="0" shapeId="0" xr:uid="{F66D5EE2-D9A0-4432-A4FF-F98F4891FAEB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Check the rate</t>
        </r>
      </text>
    </comment>
    <comment ref="AA60" authorId="0" shapeId="0" xr:uid="{5CB13158-470A-4F64-990D-C461EC486146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As Discuss</t>
        </r>
      </text>
    </comment>
    <comment ref="AA61" authorId="0" shapeId="0" xr:uid="{0EF5930B-1D20-4BB4-9460-F7C408EFAB81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As Discuss</t>
        </r>
      </text>
    </comment>
    <comment ref="Q244" authorId="0" shapeId="0" xr:uid="{EBE59C11-9005-4587-ACDE-FB1FDD38BC5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Date not added</t>
        </r>
      </text>
    </comment>
    <comment ref="AB345" authorId="0" shapeId="0" xr:uid="{32593108-83CF-4310-BFB8-D8DBB8FF0D27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This design scaffolding for 4m height but accual height is 3.5m</t>
        </r>
      </text>
    </comment>
    <comment ref="AB359" authorId="0" shapeId="0" xr:uid="{03A86DB4-BDA3-4400-89E7-5246BCA154E0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This design scaffolding for 4m height but accual height is 3.5m</t>
        </r>
      </text>
    </comment>
    <comment ref="AB363" authorId="0" shapeId="0" xr:uid="{219DA493-5202-4C7F-8B90-608C3D71A81B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This design scaffolding for 4m height but accual height is 3.5m</t>
        </r>
      </text>
    </comment>
    <comment ref="AB365" authorId="0" shapeId="0" xr:uid="{7CF456EA-9775-4925-B6AC-DA9C6FC3AA25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This design scaffolding for 4m height but accual height is 3.5m</t>
        </r>
      </text>
    </comment>
    <comment ref="V377" authorId="0" shapeId="0" xr:uid="{9317B87E-37A6-4F35-8630-F8C406DA887B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Check the rate</t>
        </r>
      </text>
    </comment>
    <comment ref="W377" authorId="0" shapeId="0" xr:uid="{9E4D8CCA-6BC1-4F04-93D8-B960F6B04EAF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Check the rate</t>
        </r>
      </text>
    </comment>
    <comment ref="AB389" authorId="0" shapeId="0" xr:uid="{9577A274-E3BA-4844-9191-1325C41BEEA0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Design Scaffolding height is 3m, but accual height is 2.5m</t>
        </r>
      </text>
    </comment>
    <comment ref="AB390" authorId="0" shapeId="0" xr:uid="{58BA9F8F-7F2C-417D-99C1-E295188BD84D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Design scaffolding length is 5m but accual length 2.6m</t>
        </r>
      </text>
    </comment>
    <comment ref="AB397" authorId="0" shapeId="0" xr:uid="{B170E792-DA66-4AED-8405-E376FA2A9C30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As per accual qty</t>
        </r>
      </text>
    </comment>
    <comment ref="AB415" authorId="0" shapeId="0" xr:uid="{3D4F3E33-79ED-4511-885C-43CC100A534F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Base on accual qty</t>
        </r>
      </text>
    </comment>
    <comment ref="AB419" authorId="0" shapeId="0" xr:uid="{915BBB4D-88CA-4D9E-9835-49A7BC0A215A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Base on accual qty</t>
        </r>
      </text>
    </comment>
    <comment ref="AB429" authorId="0" shapeId="0" xr:uid="{8B251976-AA4E-4AE4-8B6A-363A0BE397B7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Base on accual qty</t>
        </r>
      </text>
    </comment>
    <comment ref="AB440" authorId="0" shapeId="0" xr:uid="{A97E06CB-D03E-4E0E-9153-6B23D670B5EC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Base on accual qty</t>
        </r>
      </text>
    </comment>
    <comment ref="AB441" authorId="0" shapeId="0" xr:uid="{67D6D9CB-F7E9-4063-8906-63E8C7E8431C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Base on accual qty</t>
        </r>
      </text>
    </comment>
    <comment ref="H457" authorId="0" shapeId="0" xr:uid="{D75A0CB0-753B-477F-B184-7F6E8899C8D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In HOC sheet this mention as design scaffold (1399-35b)</t>
        </r>
      </text>
    </comment>
    <comment ref="H458" authorId="0" shapeId="0" xr:uid="{2DEB9CDA-28A4-4558-B352-7C13A2CC1D9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In HOC sheet this mention as design scaffold (1399-35b)</t>
        </r>
      </text>
    </comment>
    <comment ref="AB460" authorId="0" shapeId="0" xr:uid="{FDAB106D-39C2-4460-8E9A-D91FA115A650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This design scaffolding is for 4m height but accual height is 3.7m</t>
        </r>
      </text>
    </comment>
    <comment ref="AB477" authorId="0" shapeId="0" xr:uid="{491D9A80-2C0E-42FC-B552-4CBF54776CDD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This design scaffolding for 4m height but accual height is 3.5m</t>
        </r>
      </text>
    </comment>
    <comment ref="AB481" authorId="0" shapeId="0" xr:uid="{6AC940B2-B0A4-46DA-9C6A-ABFFDFFD9352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Base on accual qty</t>
        </r>
      </text>
    </comment>
    <comment ref="AB484" authorId="0" shapeId="0" xr:uid="{BE6E3EFB-177C-4614-9CD0-A6C544975D76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Base on accual qty</t>
        </r>
      </text>
    </comment>
    <comment ref="AB485" authorId="0" shapeId="0" xr:uid="{73592B5A-FFA9-4F53-A349-586D7F4F8C22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Base on accual qty</t>
        </r>
      </text>
    </comment>
    <comment ref="P486" authorId="0" shapeId="0" xr:uid="{4840B924-88C8-4680-A409-92E94E061E44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Check date</t>
        </r>
      </text>
    </comment>
    <comment ref="AB486" authorId="0" shapeId="0" xr:uid="{20329ACB-B94F-499A-9417-3D68B9FDA2EC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Base on accual qty</t>
        </r>
      </text>
    </comment>
    <comment ref="P487" authorId="0" shapeId="0" xr:uid="{886F0066-3357-4657-B3F8-5716D37C57DC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Check date</t>
        </r>
      </text>
    </comment>
    <comment ref="AB487" authorId="0" shapeId="0" xr:uid="{BFD765FA-8914-491E-930C-C81FD7BDFB76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Base on accual qty</t>
        </r>
      </text>
    </comment>
    <comment ref="AB489" authorId="0" shapeId="0" xr:uid="{D3EE9C49-6FD8-47B5-9B24-5832061CEDB4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Base on accual qty</t>
        </r>
      </text>
    </comment>
    <comment ref="AB494" authorId="0" shapeId="0" xr:uid="{BA7A2951-8EB2-4460-81DC-9C0EAA02E379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Base on accual qty</t>
        </r>
      </text>
    </comment>
  </commentList>
</comments>
</file>

<file path=xl/sharedStrings.xml><?xml version="1.0" encoding="utf-8"?>
<sst xmlns="http://schemas.openxmlformats.org/spreadsheetml/2006/main" count="3808" uniqueCount="680">
  <si>
    <t>Length</t>
  </si>
  <si>
    <t>Width</t>
  </si>
  <si>
    <t>Height</t>
  </si>
  <si>
    <t>Tag No.</t>
  </si>
  <si>
    <t>HOC</t>
  </si>
  <si>
    <t>OHC</t>
  </si>
  <si>
    <t>Description</t>
  </si>
  <si>
    <t>Board  Lift</t>
  </si>
  <si>
    <t>Quantity</t>
  </si>
  <si>
    <t>Unit of Measure</t>
  </si>
  <si>
    <t>HOC Date</t>
  </si>
  <si>
    <t>OHC Date</t>
  </si>
  <si>
    <t>E&amp;D Rate per unit</t>
  </si>
  <si>
    <t>Billing Reference</t>
  </si>
  <si>
    <t>Remarks</t>
  </si>
  <si>
    <t>Client:</t>
  </si>
  <si>
    <t>Project Name:</t>
  </si>
  <si>
    <t>Contract Ref:</t>
  </si>
  <si>
    <t>Scaffold Type</t>
  </si>
  <si>
    <t>Invoice Schedule</t>
  </si>
  <si>
    <t>Application No.:</t>
  </si>
  <si>
    <t>Site:</t>
  </si>
  <si>
    <t>Number</t>
  </si>
  <si>
    <t>Erect Charges</t>
  </si>
  <si>
    <t>Dismantle Charges</t>
  </si>
  <si>
    <t>Hire Charges</t>
  </si>
  <si>
    <t>Total Amount</t>
  </si>
  <si>
    <t>Dismantle %</t>
  </si>
  <si>
    <t>Erection %</t>
  </si>
  <si>
    <t>Hire %</t>
  </si>
  <si>
    <t>DTS</t>
  </si>
  <si>
    <t>Date</t>
  </si>
  <si>
    <t>Scaffolder</t>
  </si>
  <si>
    <t>Foreman</t>
  </si>
  <si>
    <t>Total</t>
  </si>
  <si>
    <t>PAYMENT APPLICATION SUMMARY</t>
  </si>
  <si>
    <t>Application Date</t>
  </si>
  <si>
    <t>Day Works</t>
  </si>
  <si>
    <t>Hire Rate per week</t>
  </si>
  <si>
    <t>As Of:</t>
  </si>
  <si>
    <t>Modification Hours</t>
  </si>
  <si>
    <t>Net</t>
  </si>
  <si>
    <t>Previous</t>
  </si>
  <si>
    <t>Cumulative</t>
  </si>
  <si>
    <t>Application No.</t>
  </si>
  <si>
    <t>Works Carried Out</t>
  </si>
  <si>
    <t>L</t>
  </si>
  <si>
    <t>W</t>
  </si>
  <si>
    <t>H</t>
  </si>
  <si>
    <t>BL</t>
  </si>
  <si>
    <t>Item Price</t>
  </si>
  <si>
    <t>Period (Wks)</t>
  </si>
  <si>
    <t>Extra Hire per Week</t>
  </si>
  <si>
    <t>Reference</t>
  </si>
  <si>
    <t>SCOPE OF WORKS &amp; ADDITIONAL WORKS RATES</t>
  </si>
  <si>
    <t>Order Reference:</t>
  </si>
  <si>
    <t>unit</t>
  </si>
  <si>
    <t>Khansaheb Civil Engineering LLC</t>
  </si>
  <si>
    <t>Khansaheb Civil Engineering L.L.C.</t>
  </si>
  <si>
    <t>PO Box - 2716</t>
  </si>
  <si>
    <t>Period As on</t>
  </si>
  <si>
    <t>Dubai</t>
  </si>
  <si>
    <t>Type</t>
  </si>
  <si>
    <t>Scaffolding Services</t>
  </si>
  <si>
    <t>United Arab Emirates</t>
  </si>
  <si>
    <t xml:space="preserve">Our Bankers </t>
  </si>
  <si>
    <t>Bank Of Sharjah</t>
  </si>
  <si>
    <t>Tel : 971 04 605 7200</t>
  </si>
  <si>
    <t>Fax : 971 04 285 7539</t>
  </si>
  <si>
    <t>Account  No.</t>
  </si>
  <si>
    <t>013 06 278065 01</t>
  </si>
  <si>
    <t>Previous Invoiced (AED)</t>
  </si>
  <si>
    <t>This Application Value (AED)</t>
  </si>
  <si>
    <t>Total Invoiced Net To Date (AED)</t>
  </si>
  <si>
    <t>Scope Of Work</t>
  </si>
  <si>
    <t>(for Client use only)</t>
  </si>
  <si>
    <t>Authorised Signatory</t>
  </si>
  <si>
    <t>Technical Access Services LLC</t>
  </si>
  <si>
    <t>The above amount is not inclusive of VAT</t>
  </si>
  <si>
    <t>1b</t>
  </si>
  <si>
    <t>Dayworks</t>
  </si>
  <si>
    <t>Hrs</t>
  </si>
  <si>
    <t>Varitaions</t>
  </si>
  <si>
    <t>Level-28/29 Block &amp; Glass Work</t>
  </si>
  <si>
    <t>Founding Level</t>
  </si>
  <si>
    <t>Tas Quote-2439-4-3 rev1</t>
  </si>
  <si>
    <t>Level 28-29</t>
  </si>
  <si>
    <t>201A22002/49</t>
  </si>
  <si>
    <t xml:space="preserve">Dorchester Hotel &amp; Residences (Completion Works)  </t>
  </si>
  <si>
    <t>As On Date:</t>
  </si>
  <si>
    <t>Location</t>
  </si>
  <si>
    <t>E11/K149/SK/dm/213</t>
  </si>
  <si>
    <t>E11/K149/SK/dm/216</t>
  </si>
  <si>
    <t>E11/K149/SK/dm/238</t>
  </si>
  <si>
    <t>E11/K149/SK/dm/239</t>
  </si>
  <si>
    <t>E11/K149/SK/dm/256</t>
  </si>
  <si>
    <t>E11/K149/SK/dm/257</t>
  </si>
  <si>
    <t>E11/K149/SK/dm/259</t>
  </si>
  <si>
    <t>HOTEL</t>
  </si>
  <si>
    <t>RESIDENCE</t>
  </si>
  <si>
    <t xml:space="preserve"> Design-1399-02 rev-D</t>
  </si>
  <si>
    <t>Hire Weeks</t>
  </si>
  <si>
    <t>Hire of Aluminium Tower</t>
  </si>
  <si>
    <t>NA</t>
  </si>
  <si>
    <t xml:space="preserve">TAS/HIRE/4969/SM </t>
  </si>
  <si>
    <t>Rate Card Ref</t>
  </si>
  <si>
    <t>Order Reference</t>
  </si>
  <si>
    <r>
      <rPr>
        <b/>
        <sz val="8"/>
        <color rgb="FF000000"/>
        <rFont val="Arial"/>
        <family val="2"/>
      </rPr>
      <t>S</t>
    </r>
    <r>
      <rPr>
        <b/>
        <sz val="8"/>
        <color rgb="FF000000"/>
        <rFont val="Arial"/>
        <family val="2"/>
      </rPr>
      <t>c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f</t>
    </r>
    <r>
      <rPr>
        <b/>
        <sz val="8"/>
        <color rgb="FF000000"/>
        <rFont val="Arial"/>
        <family val="2"/>
      </rPr>
      <t>f</t>
    </r>
    <r>
      <rPr>
        <b/>
        <sz val="8"/>
        <color rgb="FF000000"/>
        <rFont val="Arial"/>
        <family val="2"/>
      </rPr>
      <t>o</t>
    </r>
    <r>
      <rPr>
        <b/>
        <sz val="8"/>
        <color rgb="FF000000"/>
        <rFont val="Arial"/>
        <family val="2"/>
      </rPr>
      <t>l</t>
    </r>
    <r>
      <rPr>
        <b/>
        <sz val="8"/>
        <color rgb="FF000000"/>
        <rFont val="Arial"/>
        <family val="2"/>
      </rPr>
      <t>d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>g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y</t>
    </r>
    <r>
      <rPr>
        <b/>
        <sz val="8"/>
        <color rgb="FF000000"/>
        <rFont val="Arial"/>
        <family val="2"/>
      </rPr>
      <t>p</t>
    </r>
    <r>
      <rPr>
        <b/>
        <sz val="8"/>
        <color rgb="FF000000"/>
        <rFont val="Arial"/>
        <family val="2"/>
      </rPr>
      <t>e</t>
    </r>
  </si>
  <si>
    <t>Fixed Duration</t>
  </si>
  <si>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m</t>
    </r>
  </si>
  <si>
    <r>
      <rPr>
        <b/>
        <sz val="8"/>
        <color rgb="FF000000"/>
        <rFont val="Arial"/>
        <family val="2"/>
      </rPr>
      <t>U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t</t>
    </r>
  </si>
  <si>
    <r>
      <rPr>
        <b/>
        <sz val="8"/>
        <color rgb="FF000000"/>
        <rFont val="Arial"/>
        <family val="2"/>
      </rPr>
      <t>R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D</t>
    </r>
  </si>
  <si>
    <t>Static tower</t>
  </si>
  <si>
    <t>Erect &amp; Dismantle</t>
  </si>
  <si>
    <t>Rising Meter</t>
  </si>
  <si>
    <t>Mobile Tower</t>
  </si>
  <si>
    <t xml:space="preserve">Heavy duty tower </t>
  </si>
  <si>
    <t>Heavy duty tower</t>
  </si>
  <si>
    <t>Independent 1.2m wide</t>
  </si>
  <si>
    <t>M2 (LxH)</t>
  </si>
  <si>
    <t>Independent 1.8m wide</t>
  </si>
  <si>
    <t>Birdcage</t>
  </si>
  <si>
    <t>M3</t>
  </si>
  <si>
    <t>M3/Day</t>
  </si>
  <si>
    <t>Heavy duty birdcage</t>
  </si>
  <si>
    <t>Buttress</t>
  </si>
  <si>
    <t>Boarded lift</t>
  </si>
  <si>
    <t>M2 (LxW)</t>
  </si>
  <si>
    <t>Cantilever (0 &lt; 0.5m width)</t>
  </si>
  <si>
    <t>Cantilever (0.5 &gt; 1.2m width)</t>
  </si>
  <si>
    <t xml:space="preserve">Bridge </t>
  </si>
  <si>
    <t>Linear Meter</t>
  </si>
  <si>
    <t>Counterweight (Scaffold Tubes)</t>
  </si>
  <si>
    <t>Edge protection - A Frame Single</t>
  </si>
  <si>
    <t>Edge protection - A Frame double</t>
  </si>
  <si>
    <t>Edge Protection - Double</t>
  </si>
  <si>
    <t>Edge Protection - Double (Hilti)</t>
  </si>
  <si>
    <t>Netting supply - Beige Colour</t>
  </si>
  <si>
    <t>Supply only</t>
  </si>
  <si>
    <t>Netting install</t>
  </si>
  <si>
    <t>Staircase Supported by structure</t>
  </si>
  <si>
    <t>Staircase supported by Buttress</t>
  </si>
  <si>
    <t>Manpower - Scaffolder</t>
  </si>
  <si>
    <t>Hour</t>
  </si>
  <si>
    <t>Manpower - Foreman</t>
  </si>
  <si>
    <t>Aluminium Tower</t>
  </si>
  <si>
    <t>Set</t>
  </si>
  <si>
    <t>Design - TAS-1399-10A</t>
  </si>
  <si>
    <t>Lumpsum</t>
  </si>
  <si>
    <t>Design - TAS-1399-7</t>
  </si>
  <si>
    <t>Balcony Scaffold - Type1</t>
  </si>
  <si>
    <t>Balcony Scaffold - Type2</t>
  </si>
  <si>
    <t>Balcony Scaffold - Type3</t>
  </si>
  <si>
    <t>Balcony Scaffold - Type4</t>
  </si>
  <si>
    <t>Balcony Scaffold - Type5</t>
  </si>
  <si>
    <t>Balcony Scaffold - Type6</t>
  </si>
  <si>
    <t>Balcony Scaffold - Type7</t>
  </si>
  <si>
    <t>Design - TAS-1399-02D</t>
  </si>
  <si>
    <t>Design - TAS-1399-06B</t>
  </si>
  <si>
    <t>CONTRACT - 201A22002/49</t>
  </si>
  <si>
    <t>Contract Scope - Progressive Billing</t>
  </si>
  <si>
    <t>Level 30</t>
  </si>
  <si>
    <t>m2-LxW</t>
  </si>
  <si>
    <t>1f</t>
  </si>
  <si>
    <t>Glass Channel Fixing</t>
  </si>
  <si>
    <t>Level 29</t>
  </si>
  <si>
    <t>1h</t>
  </si>
  <si>
    <t>1i</t>
  </si>
  <si>
    <t>1j</t>
  </si>
  <si>
    <t>1k</t>
  </si>
  <si>
    <t>1l</t>
  </si>
  <si>
    <t>Attn: Mr. Saman Kulasooriya</t>
  </si>
  <si>
    <t>Dorchester Hotel &amp; Residences (Completion Works)  - 201A22002/49</t>
  </si>
  <si>
    <t>Contract Ref 201A22002/49</t>
  </si>
  <si>
    <t xml:space="preserve">PAYMENT APPLICATION </t>
  </si>
  <si>
    <t>Previous Amount</t>
  </si>
  <si>
    <t>Net Amount</t>
  </si>
  <si>
    <t>2a</t>
  </si>
  <si>
    <t>Additional Boarding</t>
  </si>
  <si>
    <t>2b</t>
  </si>
  <si>
    <t>Colum G-3  Painting Works</t>
  </si>
  <si>
    <t>2c</t>
  </si>
  <si>
    <t>Colum F-3  Painting Works</t>
  </si>
  <si>
    <t>2d</t>
  </si>
  <si>
    <t>Colum D-3  Painting Works</t>
  </si>
  <si>
    <t>3a</t>
  </si>
  <si>
    <t>Colum D-2  Painting Works</t>
  </si>
  <si>
    <t>3b</t>
  </si>
  <si>
    <t>Colum F-G/2  Painting Works</t>
  </si>
  <si>
    <t>EIFS Removel &amp; Reinstate Works</t>
  </si>
  <si>
    <t>Ramp</t>
  </si>
  <si>
    <t>Design-1399-07 rev-B</t>
  </si>
  <si>
    <t>Level 31</t>
  </si>
  <si>
    <t>Level -30 Lobby Room Shaft-09</t>
  </si>
  <si>
    <t>Design -1399-10 rev-A</t>
  </si>
  <si>
    <t>Tas Quote - 2439-5-1</t>
  </si>
  <si>
    <t xml:space="preserve">Tas Quote - 2439-8-2 </t>
  </si>
  <si>
    <t>2e</t>
  </si>
  <si>
    <t>Level - 30 Balcony Side Glass frame work</t>
  </si>
  <si>
    <t>E11/K149/HN/dm/285</t>
  </si>
  <si>
    <t>Design-TAS-1399-12</t>
  </si>
  <si>
    <t>Loading Bay Above Planter Trench</t>
  </si>
  <si>
    <t>Ground Level</t>
  </si>
  <si>
    <t>Design -1399-12 rev-A</t>
  </si>
  <si>
    <t>Tas Quote - 2439-10-1</t>
  </si>
  <si>
    <t>Level -4 Planter Box Soil Filling</t>
  </si>
  <si>
    <t>Level 4</t>
  </si>
  <si>
    <t>Independent</t>
  </si>
  <si>
    <t>m2-LxH</t>
  </si>
  <si>
    <t>8h</t>
  </si>
  <si>
    <t>Pool Area Glass work</t>
  </si>
  <si>
    <t>Level 26</t>
  </si>
  <si>
    <t>8i</t>
  </si>
  <si>
    <t>Level -30 Glass Frame work</t>
  </si>
  <si>
    <t>Hire per Week</t>
  </si>
  <si>
    <t>8j</t>
  </si>
  <si>
    <t>Level -30 Shaft Mep Services</t>
  </si>
  <si>
    <t>Pool Plant Room (KMEP Work)</t>
  </si>
  <si>
    <t>Level 3</t>
  </si>
  <si>
    <t>Colum Nut bolt Installation</t>
  </si>
  <si>
    <t>KMEP</t>
  </si>
  <si>
    <t>Shaft -6 Kmep Duct Extension</t>
  </si>
  <si>
    <t>Tower</t>
  </si>
  <si>
    <t>rm</t>
  </si>
  <si>
    <t>Level -2 Retail Unit 34 For (Kmep)</t>
  </si>
  <si>
    <t>Level 2</t>
  </si>
  <si>
    <t>m3</t>
  </si>
  <si>
    <t>Basement 1 (Kmep work)</t>
  </si>
  <si>
    <t>Basement 1</t>
  </si>
  <si>
    <t>Staircase -4 For Water coring tank work</t>
  </si>
  <si>
    <t>19a</t>
  </si>
  <si>
    <t>16a</t>
  </si>
  <si>
    <t>Second Lift Duct Extension work</t>
  </si>
  <si>
    <t>1n</t>
  </si>
  <si>
    <t>Fire Fifhting Sprinkler Work</t>
  </si>
  <si>
    <t>8k</t>
  </si>
  <si>
    <t>Mockup For Bracket Fixing</t>
  </si>
  <si>
    <t>Level 6</t>
  </si>
  <si>
    <t>2g</t>
  </si>
  <si>
    <t>2f</t>
  </si>
  <si>
    <t>Glass Fixing work</t>
  </si>
  <si>
    <t>E11/K149/SK/dm/365</t>
  </si>
  <si>
    <t xml:space="preserve">EIFS Fixing Work </t>
  </si>
  <si>
    <t>Level 23</t>
  </si>
  <si>
    <t>30a</t>
  </si>
  <si>
    <t>Tas Quote - 2439-14-1 (item-1)</t>
  </si>
  <si>
    <t>Tas Quote - 2439-14-1 (item-2)</t>
  </si>
  <si>
    <t>E11/K149/SK/dm/350</t>
  </si>
  <si>
    <t>Design-TAS-1399-14</t>
  </si>
  <si>
    <t>Above Air Extract trench Loading Bay</t>
  </si>
  <si>
    <t>Design 1399-14</t>
  </si>
  <si>
    <t>Tas Quote - 2439-13-1</t>
  </si>
  <si>
    <t>Hotel Side Block Work</t>
  </si>
  <si>
    <t>Level 14</t>
  </si>
  <si>
    <t>Canal Side wall Cladding opening Work</t>
  </si>
  <si>
    <t>Plant Room Façade Fin Supporting work</t>
  </si>
  <si>
    <t>Level 5</t>
  </si>
  <si>
    <t>Plant Room For AC Duct Work</t>
  </si>
  <si>
    <t>Air Extract Gratting Installation</t>
  </si>
  <si>
    <t>4a</t>
  </si>
  <si>
    <t>E11/K149/SK/dm/300</t>
  </si>
  <si>
    <t>Design-Tas-1399-13A</t>
  </si>
  <si>
    <t>Cradle Beam Support</t>
  </si>
  <si>
    <t>Roof</t>
  </si>
  <si>
    <t>Design 1399-13 rev-A</t>
  </si>
  <si>
    <t>Tas Quote - 2439-11-2</t>
  </si>
  <si>
    <t>Cradle Beam Support (Re-erction)</t>
  </si>
  <si>
    <t>Planter Drain Connection (mep)</t>
  </si>
  <si>
    <t>Planter Room Fin Supportting work</t>
  </si>
  <si>
    <t>3c</t>
  </si>
  <si>
    <t>8a</t>
  </si>
  <si>
    <t>3d</t>
  </si>
  <si>
    <t>Plant Room For Kmep Work</t>
  </si>
  <si>
    <t>8b</t>
  </si>
  <si>
    <t>8c</t>
  </si>
  <si>
    <t>E11/K149/SK/dm/341</t>
  </si>
  <si>
    <t>Level 13</t>
  </si>
  <si>
    <t>Balcony Floor Drain Work</t>
  </si>
  <si>
    <t>Level 12</t>
  </si>
  <si>
    <t>Tas Quote - 2439-12-2 (item-2)</t>
  </si>
  <si>
    <t>Level 15</t>
  </si>
  <si>
    <t>10a</t>
  </si>
  <si>
    <t xml:space="preserve">Trench Inside for Parapet Cutting </t>
  </si>
  <si>
    <t>Inverted Scaffold</t>
  </si>
  <si>
    <t>Tas Quote - 2439-6-1</t>
  </si>
  <si>
    <t>lm</t>
  </si>
  <si>
    <t>15a</t>
  </si>
  <si>
    <t>EIFS work Damac side Elevation</t>
  </si>
  <si>
    <t>Level  2</t>
  </si>
  <si>
    <t>16b</t>
  </si>
  <si>
    <t>Butress</t>
  </si>
  <si>
    <t>9a</t>
  </si>
  <si>
    <t>Plant Room Kmep Work</t>
  </si>
  <si>
    <t>9b</t>
  </si>
  <si>
    <t>17a</t>
  </si>
  <si>
    <t>4d</t>
  </si>
  <si>
    <t xml:space="preserve">EIFS work  </t>
  </si>
  <si>
    <t>Ground Level to Level 2</t>
  </si>
  <si>
    <t xml:space="preserve"> </t>
  </si>
  <si>
    <t>Additional Inspection</t>
  </si>
  <si>
    <t>Third Party Inspection ( Additional)</t>
  </si>
  <si>
    <t>Design 1399 -06 rev-B</t>
  </si>
  <si>
    <t>E11/K149/MS/dm/396</t>
  </si>
  <si>
    <t>Master Pump Room Work</t>
  </si>
  <si>
    <t>Tas Quote - 2439-18-1 (item-1)</t>
  </si>
  <si>
    <t>8m</t>
  </si>
  <si>
    <t>8n</t>
  </si>
  <si>
    <t>Level 7</t>
  </si>
  <si>
    <t>Entrance Lobby Block Demolishing Work</t>
  </si>
  <si>
    <t>Existing Pipe Removal Work</t>
  </si>
  <si>
    <t>Edge Protection</t>
  </si>
  <si>
    <t>Double Handrail</t>
  </si>
  <si>
    <t>8o</t>
  </si>
  <si>
    <t>Block Demolishing Work</t>
  </si>
  <si>
    <t>41a</t>
  </si>
  <si>
    <t>38a</t>
  </si>
  <si>
    <t>39a</t>
  </si>
  <si>
    <t>32a</t>
  </si>
  <si>
    <t>Block Work</t>
  </si>
  <si>
    <t>4i</t>
  </si>
  <si>
    <t>EIFS Painting up to Groove</t>
  </si>
  <si>
    <t>Back Propping For Mast Climber</t>
  </si>
  <si>
    <t>Design - 1399-20</t>
  </si>
  <si>
    <t>32b</t>
  </si>
  <si>
    <t>Block Shifting Work</t>
  </si>
  <si>
    <t>19b</t>
  </si>
  <si>
    <t>19c</t>
  </si>
  <si>
    <t>Electrical &amp; Plumbing Work</t>
  </si>
  <si>
    <t>Column Cove Installation Work</t>
  </si>
  <si>
    <t>Electrical Service Work (BMS)</t>
  </si>
  <si>
    <t>8p</t>
  </si>
  <si>
    <t>8q</t>
  </si>
  <si>
    <t>38b</t>
  </si>
  <si>
    <t>Entrance Lobby Block Work</t>
  </si>
  <si>
    <t>38c</t>
  </si>
  <si>
    <t>19d</t>
  </si>
  <si>
    <t>Shaft - 9 Ducting Work</t>
  </si>
  <si>
    <t>Shaft -9 For Ducting Work</t>
  </si>
  <si>
    <t>Balcony Side Edge Protection</t>
  </si>
  <si>
    <t>Level 27</t>
  </si>
  <si>
    <t>53a</t>
  </si>
  <si>
    <t>Balustrade Glass Edge Protection</t>
  </si>
  <si>
    <t>Tripple Hnadrail</t>
  </si>
  <si>
    <t>46a</t>
  </si>
  <si>
    <t>Electrical Services Work</t>
  </si>
  <si>
    <t>38d</t>
  </si>
  <si>
    <t>38e</t>
  </si>
  <si>
    <t>Cable Tray Removal Work</t>
  </si>
  <si>
    <t>8r</t>
  </si>
  <si>
    <t>Level 25</t>
  </si>
  <si>
    <t>60a</t>
  </si>
  <si>
    <t>E11/K149/PK/dm/400</t>
  </si>
  <si>
    <t>Design-Tas-1399-22</t>
  </si>
  <si>
    <t>OME Corridoor Mep Work</t>
  </si>
  <si>
    <t xml:space="preserve">Ground Level </t>
  </si>
  <si>
    <t>Design - 1399-22</t>
  </si>
  <si>
    <t>Prorate Tas Quote - 2439-19-1</t>
  </si>
  <si>
    <t>Design - 1399-24</t>
  </si>
  <si>
    <t>Basement 2</t>
  </si>
  <si>
    <t>19e</t>
  </si>
  <si>
    <t>19f</t>
  </si>
  <si>
    <t>(BW-0754)</t>
  </si>
  <si>
    <t>Entrance Area Glass Work</t>
  </si>
  <si>
    <t>(Glass Line - BW-002)</t>
  </si>
  <si>
    <t>Staircase  - Electrical Work</t>
  </si>
  <si>
    <t>Level 2 to 3</t>
  </si>
  <si>
    <t>68a</t>
  </si>
  <si>
    <t xml:space="preserve">Electrical Service Work </t>
  </si>
  <si>
    <t>Design - 1399-20E</t>
  </si>
  <si>
    <t>Entrance Storage room (KMEP)</t>
  </si>
  <si>
    <t>BOH Corridor Block Work</t>
  </si>
  <si>
    <t>Lift Lobby Fire Curtain Work</t>
  </si>
  <si>
    <t>BOH Corridor Shaft Block Work</t>
  </si>
  <si>
    <t>Cable Pulling Work</t>
  </si>
  <si>
    <t>Chill Water Pipe For (KMEP)</t>
  </si>
  <si>
    <t>Lift 3 Gypsum Work</t>
  </si>
  <si>
    <t>79a</t>
  </si>
  <si>
    <t>19g</t>
  </si>
  <si>
    <t>Shaft 9 Duct Fixing Work</t>
  </si>
  <si>
    <t>Ceiling Opening and Closing for (KMEP)</t>
  </si>
  <si>
    <t>Duct Fixing Work</t>
  </si>
  <si>
    <t>Lift Lobby Glass Line Work</t>
  </si>
  <si>
    <t>BOH Corridor Lift 1&amp;2 Wall Finishing Work</t>
  </si>
  <si>
    <t>89a</t>
  </si>
  <si>
    <t>61a</t>
  </si>
  <si>
    <t>Corridor KMEP Work</t>
  </si>
  <si>
    <t>Staircase 7 For Electrical Work</t>
  </si>
  <si>
    <t>Canal Side Column Cove Work</t>
  </si>
  <si>
    <t>21a</t>
  </si>
  <si>
    <t>Canal Side for Wall Cutting Work</t>
  </si>
  <si>
    <t>12a</t>
  </si>
  <si>
    <t>Balcony Side Grc Removel &amp; Pipe Connection</t>
  </si>
  <si>
    <t>11a</t>
  </si>
  <si>
    <t>Balcony Side Grc Work</t>
  </si>
  <si>
    <t>14a</t>
  </si>
  <si>
    <t>Balcony Side RFI-130</t>
  </si>
  <si>
    <t>EIFS &amp; Wall Finishing Work</t>
  </si>
  <si>
    <t>25a</t>
  </si>
  <si>
    <t>Plant Room For CHW Pipe</t>
  </si>
  <si>
    <t>26a</t>
  </si>
  <si>
    <t>26b</t>
  </si>
  <si>
    <t xml:space="preserve">Bond Ceiling Work </t>
  </si>
  <si>
    <t>31a</t>
  </si>
  <si>
    <t>Level 18 to 20</t>
  </si>
  <si>
    <t>Tas Quote - 2439-12-2 (item-1)</t>
  </si>
  <si>
    <t>13a</t>
  </si>
  <si>
    <t>Balcony Side Grc Removel &amp; Ceiling Board Work</t>
  </si>
  <si>
    <t>21b</t>
  </si>
  <si>
    <t>10b</t>
  </si>
  <si>
    <t>Design 1399 -23</t>
  </si>
  <si>
    <t>31b</t>
  </si>
  <si>
    <t>Single Handrail</t>
  </si>
  <si>
    <t>Chill Water line Pipe For Water Proof</t>
  </si>
  <si>
    <t>25b</t>
  </si>
  <si>
    <t>25c</t>
  </si>
  <si>
    <t>Ramp Area GRC Pannel Fixing Work</t>
  </si>
  <si>
    <t>Design 1399-21</t>
  </si>
  <si>
    <t>43&amp;43a</t>
  </si>
  <si>
    <t>E11/K149/PK/dm/378</t>
  </si>
  <si>
    <t>Design -Tas-1399-21</t>
  </si>
  <si>
    <t>Duct Fixing Work (KMEP)</t>
  </si>
  <si>
    <t>GRC Divider Removel</t>
  </si>
  <si>
    <t>48a</t>
  </si>
  <si>
    <t>Netting Supply &amp; Install</t>
  </si>
  <si>
    <t>36a</t>
  </si>
  <si>
    <t>36b</t>
  </si>
  <si>
    <t>Wall Cutting Work</t>
  </si>
  <si>
    <t>Design 1399-26</t>
  </si>
  <si>
    <t>49a</t>
  </si>
  <si>
    <t>E11/K149/JA/dm/429</t>
  </si>
  <si>
    <t xml:space="preserve">Balcony Access </t>
  </si>
  <si>
    <t>Level 20</t>
  </si>
  <si>
    <t>Tas Quote -2439-20-1 (item#7)</t>
  </si>
  <si>
    <t>52a</t>
  </si>
  <si>
    <t>Level 21</t>
  </si>
  <si>
    <t>13b</t>
  </si>
  <si>
    <t>25d</t>
  </si>
  <si>
    <t>Wall Finishing Work</t>
  </si>
  <si>
    <t>51a</t>
  </si>
  <si>
    <t>43b&amp;43c</t>
  </si>
  <si>
    <t>Tas Quote - 2439-15-1 (item-1 Prorate)</t>
  </si>
  <si>
    <t>Plant Room For Duct Work</t>
  </si>
  <si>
    <t>Level 10</t>
  </si>
  <si>
    <t>Tas Quote -2439-20-1 (item#2)</t>
  </si>
  <si>
    <t>54a</t>
  </si>
  <si>
    <t>55a</t>
  </si>
  <si>
    <t>36c</t>
  </si>
  <si>
    <t xml:space="preserve">Level 18 </t>
  </si>
  <si>
    <t>Tas Quote -2439-20-1 (item#4)</t>
  </si>
  <si>
    <t>56a</t>
  </si>
  <si>
    <t>Level 18</t>
  </si>
  <si>
    <t>Tas Quote -2439-20-1 (item#6)</t>
  </si>
  <si>
    <t>57a</t>
  </si>
  <si>
    <t>Tas Quote -2439-20-1 (item#1)</t>
  </si>
  <si>
    <t>58a</t>
  </si>
  <si>
    <t>Tas Quote -2439-20-1 (item#3)</t>
  </si>
  <si>
    <t>59a</t>
  </si>
  <si>
    <t>25e</t>
  </si>
  <si>
    <t>1o</t>
  </si>
  <si>
    <t>Drainge Pipe Connection</t>
  </si>
  <si>
    <t>8s</t>
  </si>
  <si>
    <t>Lift Lobby Block Shifting Work</t>
  </si>
  <si>
    <t>87a</t>
  </si>
  <si>
    <t>90a</t>
  </si>
  <si>
    <t>BOH Corridor For Chill Pipe (KMEP)</t>
  </si>
  <si>
    <t>Balcony Side Glass Installation</t>
  </si>
  <si>
    <t>Level 1</t>
  </si>
  <si>
    <t>94a</t>
  </si>
  <si>
    <t>94b</t>
  </si>
  <si>
    <t>94c</t>
  </si>
  <si>
    <t>Canal Side For Ceiling Work (KMEP- BW 0804)</t>
  </si>
  <si>
    <t>KCE Site Office area Chill Water Pipe (KMEP-BW 767)</t>
  </si>
  <si>
    <t>Shaft Water Meter Room For (KMEP-BW 797)</t>
  </si>
  <si>
    <t>Pump Room For Water Master (BW 024)</t>
  </si>
  <si>
    <t>92a</t>
  </si>
  <si>
    <t>Road Side Access For Glass Fixing</t>
  </si>
  <si>
    <t>Canal Side For Excavation Access</t>
  </si>
  <si>
    <t>72a</t>
  </si>
  <si>
    <t>Lift Lobby For Fire Curtain Work</t>
  </si>
  <si>
    <t>8t</t>
  </si>
  <si>
    <t>1,271.00</t>
  </si>
  <si>
    <t>E11/K149/JJ/dm/377</t>
  </si>
  <si>
    <t>Design -Tas-1399-20a</t>
  </si>
  <si>
    <t>Tas Quote 2439-16-3 (item-1)</t>
  </si>
  <si>
    <t>KMEP BW-829</t>
  </si>
  <si>
    <t>Planter Area For Water Tank Access</t>
  </si>
  <si>
    <t xml:space="preserve">Crane Extension Platform </t>
  </si>
  <si>
    <t>OME Office For Chill Water Pipe Work (KMEP BW-767)</t>
  </si>
  <si>
    <t>105a</t>
  </si>
  <si>
    <t>Ramp Area For Wall Concret Work</t>
  </si>
  <si>
    <t>1r</t>
  </si>
  <si>
    <t>Canal Side For Glass Frame Installation</t>
  </si>
  <si>
    <t>1s</t>
  </si>
  <si>
    <t>Canal Side Glass Fixing Work</t>
  </si>
  <si>
    <t>Level 30 to 31</t>
  </si>
  <si>
    <t xml:space="preserve">KMEP BW </t>
  </si>
  <si>
    <t>110a</t>
  </si>
  <si>
    <t>110b</t>
  </si>
  <si>
    <t>8u</t>
  </si>
  <si>
    <t>Balcony For Access</t>
  </si>
  <si>
    <t>8v</t>
  </si>
  <si>
    <t>1t</t>
  </si>
  <si>
    <t>1v</t>
  </si>
  <si>
    <t>107a</t>
  </si>
  <si>
    <t>E11/K149/SK/dm/468</t>
  </si>
  <si>
    <t>111a</t>
  </si>
  <si>
    <t>House Keeping Lobby (KMEP BW-886)</t>
  </si>
  <si>
    <t>Staircase 3 (KMEP BW-886)</t>
  </si>
  <si>
    <t>113a</t>
  </si>
  <si>
    <t>Electrical Room  - (KMEP BW-882)</t>
  </si>
  <si>
    <t>Near Gate 1 For Wall Plaster</t>
  </si>
  <si>
    <t>E11/K149/MS/dm/497</t>
  </si>
  <si>
    <t xml:space="preserve">House Keeping Lobby Shaft Lobby </t>
  </si>
  <si>
    <t>Design 1399-31</t>
  </si>
  <si>
    <t>Tas Quote - 2439-21-1  (Item #2)</t>
  </si>
  <si>
    <t>Tas Quote - 2439-21-1  (Item #1)</t>
  </si>
  <si>
    <t>Tas Quote - 2439-23-1 (Item 3)</t>
  </si>
  <si>
    <t>Canal Side For Beam Drilling Work</t>
  </si>
  <si>
    <t>1w</t>
  </si>
  <si>
    <t>Canal Side For Glass Fixing Work</t>
  </si>
  <si>
    <t>Curtain Wall Glass Frame Work</t>
  </si>
  <si>
    <t>119a</t>
  </si>
  <si>
    <t>Near Gate 1 For Wall Concret Work</t>
  </si>
  <si>
    <t>Staircase 3 (KMEP BW-885)</t>
  </si>
  <si>
    <t>121a</t>
  </si>
  <si>
    <t>Electrical Work (BW -868)</t>
  </si>
  <si>
    <t>123a</t>
  </si>
  <si>
    <t>48b</t>
  </si>
  <si>
    <t>Level 22</t>
  </si>
  <si>
    <t>Tas Quote 2439-20-1 (Item #08)</t>
  </si>
  <si>
    <t>Electrical Service Work</t>
  </si>
  <si>
    <t>Level 17</t>
  </si>
  <si>
    <t>Tas Quote 2439-20-1 (Item #05)</t>
  </si>
  <si>
    <t>62a</t>
  </si>
  <si>
    <t>FAHU Oil Leakge (BW -783)</t>
  </si>
  <si>
    <t>62b</t>
  </si>
  <si>
    <t>57b</t>
  </si>
  <si>
    <t>Balcony Drain Pipe Work</t>
  </si>
  <si>
    <t>Level 19</t>
  </si>
  <si>
    <t>43d</t>
  </si>
  <si>
    <t>EIFS Work</t>
  </si>
  <si>
    <t>Plant Room For Wall Finishing Work</t>
  </si>
  <si>
    <t>64a</t>
  </si>
  <si>
    <t>EIFS Finishing Work (Hotel Behind Kitchen)</t>
  </si>
  <si>
    <t>EIFS Damac Side Elevation</t>
  </si>
  <si>
    <t>66a</t>
  </si>
  <si>
    <t>66b</t>
  </si>
  <si>
    <t>Tas Quote 2439-20-1 (Item #10)</t>
  </si>
  <si>
    <t>67a</t>
  </si>
  <si>
    <t>Canal Side Balcony For Grc Work</t>
  </si>
  <si>
    <t>Level 24</t>
  </si>
  <si>
    <t>43e</t>
  </si>
  <si>
    <t>Ramp Area For Wall Plaster Work</t>
  </si>
  <si>
    <t>Application # 4</t>
  </si>
  <si>
    <t>E11/K149/SK/SR/517</t>
  </si>
  <si>
    <t>Design - Tas-1399-35b</t>
  </si>
  <si>
    <t>Balcony Ceiling Work</t>
  </si>
  <si>
    <t>Design 1399-35b</t>
  </si>
  <si>
    <t>Electrical Work  For (KMEP - BW917)</t>
  </si>
  <si>
    <t>71&amp;71a</t>
  </si>
  <si>
    <t>Level 9</t>
  </si>
  <si>
    <t>Tas Quote 2439-25-1 (item#5)</t>
  </si>
  <si>
    <t>72&amp;72a</t>
  </si>
  <si>
    <t>73&amp;73a</t>
  </si>
  <si>
    <t>Level 11</t>
  </si>
  <si>
    <t>74&amp;74a</t>
  </si>
  <si>
    <t>Staircase 7 For (KMEP - BW 793)</t>
  </si>
  <si>
    <t>76&amp;76a</t>
  </si>
  <si>
    <t>70b</t>
  </si>
  <si>
    <t>Electrical Work (KMEP - BW 917)</t>
  </si>
  <si>
    <t>70c</t>
  </si>
  <si>
    <t>Entrance Area (KMEP - BW 917)</t>
  </si>
  <si>
    <t>51b</t>
  </si>
  <si>
    <t>78&amp;78a</t>
  </si>
  <si>
    <t>KMEP - BW 858</t>
  </si>
  <si>
    <t>LPG Tank For Wall Plaster Work</t>
  </si>
  <si>
    <t>Shaft For (KMEP - BW 892)</t>
  </si>
  <si>
    <t>Mechanical Work (KMEP - BW 887)</t>
  </si>
  <si>
    <t>128a</t>
  </si>
  <si>
    <t>Ramp Area For Access</t>
  </si>
  <si>
    <t>130&amp;130a</t>
  </si>
  <si>
    <t>123b</t>
  </si>
  <si>
    <t>Corridor For Electrical Work (BW - 868)</t>
  </si>
  <si>
    <t>123c</t>
  </si>
  <si>
    <t>Over Head Protection</t>
  </si>
  <si>
    <t>Design -Tas-1399-30&amp;31</t>
  </si>
  <si>
    <t>132a</t>
  </si>
  <si>
    <t>Water Pool Glass Lifting Work</t>
  </si>
  <si>
    <t>Design 1399-30</t>
  </si>
  <si>
    <t>Tas Quote 2439-23-1 (Item #02)</t>
  </si>
  <si>
    <t>Electrical Work (KMEP - BW 893)</t>
  </si>
  <si>
    <t>133a</t>
  </si>
  <si>
    <t>128b</t>
  </si>
  <si>
    <t>139&amp;139a</t>
  </si>
  <si>
    <t>Design 1399 - 35b</t>
  </si>
  <si>
    <t>44a</t>
  </si>
  <si>
    <t>EIFS Wall Finishing Work</t>
  </si>
  <si>
    <t>45a</t>
  </si>
  <si>
    <t>Planter Access</t>
  </si>
  <si>
    <t>Staircase Edge Protection</t>
  </si>
  <si>
    <t>128c</t>
  </si>
  <si>
    <t>KMEP - BW 797</t>
  </si>
  <si>
    <t>141&amp;141a</t>
  </si>
  <si>
    <t>142&amp;142a</t>
  </si>
  <si>
    <t>Beam Drilling Work</t>
  </si>
  <si>
    <t>E11/K149/SK/dm/480</t>
  </si>
  <si>
    <t>Design - Tas- 1399-25a</t>
  </si>
  <si>
    <t>Shaft 9 Slab Concrete</t>
  </si>
  <si>
    <t>Design 1399 - 25a</t>
  </si>
  <si>
    <t>Tas Quote 2439-22-1 (Item # 1)</t>
  </si>
  <si>
    <t>136b</t>
  </si>
  <si>
    <t>136c</t>
  </si>
  <si>
    <t>136d</t>
  </si>
  <si>
    <t>123d</t>
  </si>
  <si>
    <t>GRC Panel Work</t>
  </si>
  <si>
    <t>68b</t>
  </si>
  <si>
    <t>Electrical Work (KMEP - BW 754)</t>
  </si>
  <si>
    <t>Near KCE Office For Access</t>
  </si>
  <si>
    <t>E11/K149/SK/SR/503</t>
  </si>
  <si>
    <t>Design - Tas - 1399-29</t>
  </si>
  <si>
    <t>Block and EIFS Work</t>
  </si>
  <si>
    <t>Level 10 to 17</t>
  </si>
  <si>
    <t>Design 1399 - 29</t>
  </si>
  <si>
    <t>Tas Quote 2439-24-1 (Item #4)</t>
  </si>
  <si>
    <t>8x</t>
  </si>
  <si>
    <t>Level 27/28</t>
  </si>
  <si>
    <t>8y</t>
  </si>
  <si>
    <t>70a</t>
  </si>
  <si>
    <t>136a</t>
  </si>
  <si>
    <t>136e</t>
  </si>
  <si>
    <t>ground Level</t>
  </si>
  <si>
    <t>136f</t>
  </si>
  <si>
    <t>150 Ext - a,b</t>
  </si>
  <si>
    <t>E11/K149/SK/SR/550</t>
  </si>
  <si>
    <t>E11/K149/SK/SR/560</t>
  </si>
  <si>
    <t>Item - 9,10,11,12</t>
  </si>
  <si>
    <t>Glass Work</t>
  </si>
  <si>
    <t>Design-1399-01 rev-G</t>
  </si>
  <si>
    <t>29 to 31</t>
  </si>
  <si>
    <t>1g</t>
  </si>
  <si>
    <t>1m</t>
  </si>
  <si>
    <t>8w</t>
  </si>
  <si>
    <t>1u</t>
  </si>
  <si>
    <t>H20 Beam - Bottom</t>
  </si>
  <si>
    <t>Hilti</t>
  </si>
  <si>
    <t>31to32</t>
  </si>
  <si>
    <t>Design-1399-03</t>
  </si>
  <si>
    <t>2h</t>
  </si>
  <si>
    <t>3f</t>
  </si>
  <si>
    <t>Sheeting-22</t>
  </si>
  <si>
    <t>Design-1399-04</t>
  </si>
  <si>
    <t>Level 26 to 31</t>
  </si>
  <si>
    <t>Sheeting</t>
  </si>
  <si>
    <t>Glass Lifting Frame</t>
  </si>
  <si>
    <t>8d</t>
  </si>
  <si>
    <t>8e</t>
  </si>
  <si>
    <t>8f</t>
  </si>
  <si>
    <t>8g</t>
  </si>
  <si>
    <t>1p</t>
  </si>
  <si>
    <t>1q</t>
  </si>
  <si>
    <t>Level 3 to 31</t>
  </si>
  <si>
    <t>8l</t>
  </si>
  <si>
    <t>Ceiling Work</t>
  </si>
  <si>
    <t>Design -1399-05</t>
  </si>
  <si>
    <t xml:space="preserve">Back Propping  </t>
  </si>
  <si>
    <t>Level 28</t>
  </si>
  <si>
    <t>Design - 1399-15</t>
  </si>
  <si>
    <t>Design -1399-16</t>
  </si>
  <si>
    <t>Canal side Balcony Back Propping</t>
  </si>
  <si>
    <t>Level 27 to 28</t>
  </si>
  <si>
    <t>Design -1399-28</t>
  </si>
  <si>
    <t>109&amp;a</t>
  </si>
  <si>
    <t>3e</t>
  </si>
  <si>
    <t>Canopy Work</t>
  </si>
  <si>
    <t>Design -1399 -19</t>
  </si>
  <si>
    <t>Level 31 to 32</t>
  </si>
  <si>
    <t>Tas Quote -2439-2-2 rev1</t>
  </si>
  <si>
    <t>AED : Four Hundred Twenty-Five Thousand Four Hundred Forty-Two and Forty-Seven Fils Only</t>
  </si>
  <si>
    <t>Certified Amount</t>
  </si>
  <si>
    <t>Until WA Approved Only Approved this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</si>
</sst>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[$-F800]dddd\,\ mmmm\ dd\,\ yyyy"/>
    <numFmt numFmtId="166" formatCode="dd/mm/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8"/>
      <color rgb="FF000000"/>
      <name val="Arial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>
      <alignment vertical="top"/>
    </xf>
    <xf numFmtId="0" fontId="1" fillId="0" borderId="0"/>
    <xf numFmtId="0" fontId="4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1">
    <xf numFmtId="0" fontId="0" fillId="0" borderId="0" xfId="0"/>
    <xf numFmtId="4" fontId="0" fillId="0" borderId="0" xfId="0" applyNumberFormat="1" applyAlignment="1">
      <alignment horizontal="center" vertical="center"/>
    </xf>
    <xf numFmtId="4" fontId="2" fillId="0" borderId="0" xfId="0" applyNumberFormat="1" applyFont="1"/>
    <xf numFmtId="0" fontId="5" fillId="0" borderId="2" xfId="2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2" xfId="3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wrapText="1"/>
    </xf>
    <xf numFmtId="0" fontId="5" fillId="0" borderId="9" xfId="4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14" fontId="7" fillId="0" borderId="2" xfId="1" applyNumberFormat="1" applyFont="1" applyFill="1" applyBorder="1" applyAlignment="1">
      <alignment horizontal="center" vertical="center"/>
    </xf>
    <xf numFmtId="9" fontId="7" fillId="0" borderId="2" xfId="6" applyFont="1" applyFill="1" applyBorder="1" applyAlignment="1">
      <alignment horizontal="center" vertical="center"/>
    </xf>
    <xf numFmtId="2" fontId="7" fillId="0" borderId="2" xfId="1" applyNumberFormat="1" applyFont="1" applyFill="1" applyBorder="1" applyAlignment="1">
      <alignment horizontal="center" vertical="center"/>
    </xf>
    <xf numFmtId="4" fontId="7" fillId="0" borderId="2" xfId="3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4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" fontId="5" fillId="0" borderId="0" xfId="0" applyNumberFormat="1" applyFont="1" applyAlignment="1">
      <alignment wrapText="1"/>
    </xf>
    <xf numFmtId="4" fontId="5" fillId="0" borderId="0" xfId="0" applyNumberFormat="1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7" xfId="0" applyFont="1" applyBorder="1"/>
    <xf numFmtId="165" fontId="10" fillId="0" borderId="3" xfId="0" applyNumberFormat="1" applyFont="1" applyBorder="1"/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" fontId="10" fillId="0" borderId="5" xfId="0" applyNumberFormat="1" applyFont="1" applyBorder="1"/>
    <xf numFmtId="0" fontId="10" fillId="0" borderId="18" xfId="0" applyFont="1" applyBorder="1"/>
    <xf numFmtId="165" fontId="10" fillId="0" borderId="19" xfId="0" applyNumberFormat="1" applyFont="1" applyBorder="1"/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/>
    <xf numFmtId="0" fontId="10" fillId="0" borderId="19" xfId="0" applyFont="1" applyBorder="1"/>
    <xf numFmtId="0" fontId="10" fillId="0" borderId="20" xfId="0" applyFont="1" applyBorder="1"/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10" fillId="0" borderId="21" xfId="0" applyFont="1" applyBorder="1"/>
    <xf numFmtId="14" fontId="10" fillId="0" borderId="1" xfId="0" applyNumberFormat="1" applyFont="1" applyBorder="1"/>
    <xf numFmtId="4" fontId="10" fillId="0" borderId="1" xfId="0" applyNumberFormat="1" applyFont="1" applyBorder="1"/>
    <xf numFmtId="0" fontId="10" fillId="0" borderId="22" xfId="0" applyFont="1" applyBorder="1"/>
    <xf numFmtId="0" fontId="10" fillId="0" borderId="1" xfId="0" applyFont="1" applyBorder="1"/>
    <xf numFmtId="0" fontId="10" fillId="0" borderId="26" xfId="0" applyFont="1" applyBorder="1"/>
    <xf numFmtId="0" fontId="10" fillId="0" borderId="27" xfId="0" applyFont="1" applyBorder="1"/>
    <xf numFmtId="4" fontId="10" fillId="0" borderId="27" xfId="0" applyNumberFormat="1" applyFont="1" applyBorder="1"/>
    <xf numFmtId="0" fontId="10" fillId="0" borderId="28" xfId="0" applyFont="1" applyBorder="1"/>
    <xf numFmtId="0" fontId="1" fillId="0" borderId="0" xfId="13"/>
    <xf numFmtId="0" fontId="12" fillId="0" borderId="33" xfId="12" applyFont="1" applyBorder="1" applyAlignment="1">
      <alignment vertical="center"/>
    </xf>
    <xf numFmtId="14" fontId="12" fillId="0" borderId="5" xfId="12" applyNumberFormat="1" applyFont="1" applyBorder="1" applyAlignment="1">
      <alignment horizontal="left" vertical="center"/>
    </xf>
    <xf numFmtId="0" fontId="12" fillId="0" borderId="35" xfId="12" applyFont="1" applyBorder="1" applyAlignment="1">
      <alignment vertical="center"/>
    </xf>
    <xf numFmtId="0" fontId="12" fillId="0" borderId="0" xfId="12" applyFont="1" applyAlignment="1">
      <alignment vertical="center"/>
    </xf>
    <xf numFmtId="17" fontId="12" fillId="0" borderId="34" xfId="12" applyNumberFormat="1" applyFont="1" applyBorder="1" applyAlignment="1">
      <alignment horizontal="left" vertical="center"/>
    </xf>
    <xf numFmtId="0" fontId="12" fillId="0" borderId="5" xfId="12" applyFont="1" applyBorder="1" applyAlignment="1">
      <alignment horizontal="left" vertical="center"/>
    </xf>
    <xf numFmtId="0" fontId="12" fillId="0" borderId="34" xfId="12" applyFont="1" applyBorder="1" applyAlignment="1">
      <alignment horizontal="left" vertical="center"/>
    </xf>
    <xf numFmtId="0" fontId="12" fillId="0" borderId="36" xfId="12" applyFont="1" applyBorder="1" applyAlignment="1">
      <alignment horizontal="left" vertical="center"/>
    </xf>
    <xf numFmtId="0" fontId="12" fillId="0" borderId="20" xfId="12" applyFont="1" applyBorder="1" applyAlignment="1">
      <alignment horizontal="left" vertical="center"/>
    </xf>
    <xf numFmtId="0" fontId="12" fillId="0" borderId="37" xfId="12" applyFont="1" applyBorder="1" applyAlignment="1">
      <alignment horizontal="left" vertical="center"/>
    </xf>
    <xf numFmtId="0" fontId="12" fillId="0" borderId="38" xfId="12" applyFont="1" applyBorder="1" applyAlignment="1">
      <alignment horizontal="left" vertical="center"/>
    </xf>
    <xf numFmtId="0" fontId="12" fillId="0" borderId="29" xfId="12" applyFont="1" applyBorder="1" applyAlignment="1">
      <alignment horizontal="left" vertical="center"/>
    </xf>
    <xf numFmtId="0" fontId="12" fillId="0" borderId="39" xfId="12" applyFont="1" applyBorder="1" applyAlignment="1">
      <alignment horizontal="left" vertical="center"/>
    </xf>
    <xf numFmtId="0" fontId="12" fillId="0" borderId="35" xfId="12" applyFont="1" applyBorder="1"/>
    <xf numFmtId="0" fontId="12" fillId="0" borderId="0" xfId="12" applyFont="1"/>
    <xf numFmtId="0" fontId="12" fillId="0" borderId="35" xfId="12" applyFont="1" applyBorder="1" applyAlignment="1">
      <alignment horizontal="left"/>
    </xf>
    <xf numFmtId="0" fontId="13" fillId="6" borderId="30" xfId="13" applyFont="1" applyFill="1" applyBorder="1" applyAlignment="1">
      <alignment horizontal="center" vertical="center" wrapText="1"/>
    </xf>
    <xf numFmtId="4" fontId="13" fillId="6" borderId="43" xfId="13" applyNumberFormat="1" applyFont="1" applyFill="1" applyBorder="1" applyAlignment="1">
      <alignment horizontal="center" vertical="center" wrapText="1"/>
    </xf>
    <xf numFmtId="4" fontId="13" fillId="6" borderId="32" xfId="13" applyNumberFormat="1" applyFont="1" applyFill="1" applyBorder="1" applyAlignment="1">
      <alignment horizontal="center" vertical="center" wrapText="1"/>
    </xf>
    <xf numFmtId="0" fontId="12" fillId="0" borderId="44" xfId="12" applyFont="1" applyBorder="1" applyAlignment="1">
      <alignment vertical="center"/>
    </xf>
    <xf numFmtId="43" fontId="12" fillId="0" borderId="44" xfId="14" applyFont="1" applyBorder="1" applyAlignment="1">
      <alignment vertical="center"/>
    </xf>
    <xf numFmtId="0" fontId="12" fillId="0" borderId="35" xfId="12" applyFont="1" applyBorder="1" applyAlignment="1">
      <alignment horizontal="center" vertical="center"/>
    </xf>
    <xf numFmtId="0" fontId="12" fillId="0" borderId="0" xfId="12" applyFont="1" applyAlignment="1">
      <alignment horizontal="center" vertical="center"/>
    </xf>
    <xf numFmtId="43" fontId="12" fillId="0" borderId="35" xfId="14" applyFont="1" applyBorder="1" applyAlignment="1">
      <alignment horizontal="center" vertical="center"/>
    </xf>
    <xf numFmtId="43" fontId="12" fillId="0" borderId="44" xfId="14" applyFont="1" applyBorder="1" applyAlignment="1"/>
    <xf numFmtId="0" fontId="12" fillId="0" borderId="39" xfId="12" applyFont="1" applyBorder="1"/>
    <xf numFmtId="0" fontId="12" fillId="0" borderId="40" xfId="12" applyFont="1" applyBorder="1"/>
    <xf numFmtId="0" fontId="12" fillId="0" borderId="41" xfId="12" applyFont="1" applyBorder="1"/>
    <xf numFmtId="0" fontId="12" fillId="0" borderId="42" xfId="12" applyFont="1" applyBorder="1"/>
    <xf numFmtId="43" fontId="12" fillId="0" borderId="43" xfId="12" applyNumberFormat="1" applyFont="1" applyBorder="1" applyAlignment="1">
      <alignment vertical="center" wrapText="1"/>
    </xf>
    <xf numFmtId="0" fontId="12" fillId="0" borderId="35" xfId="12" applyFont="1" applyBorder="1" applyAlignment="1">
      <alignment horizontal="left" vertical="center"/>
    </xf>
    <xf numFmtId="0" fontId="12" fillId="0" borderId="0" xfId="12" applyFont="1" applyAlignment="1">
      <alignment horizontal="left" vertical="center"/>
    </xf>
    <xf numFmtId="49" fontId="7" fillId="0" borderId="8" xfId="2" applyNumberFormat="1" applyFont="1" applyFill="1" applyBorder="1" applyAlignment="1">
      <alignment horizontal="center" vertical="center"/>
    </xf>
    <xf numFmtId="0" fontId="7" fillId="0" borderId="2" xfId="2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7" xfId="0" applyBorder="1"/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" fontId="1" fillId="0" borderId="19" xfId="0" applyNumberFormat="1" applyFont="1" applyBorder="1" applyAlignment="1">
      <alignment horizontal="right"/>
    </xf>
    <xf numFmtId="4" fontId="0" fillId="0" borderId="19" xfId="0" applyNumberFormat="1" applyBorder="1" applyAlignment="1">
      <alignment horizontal="right"/>
    </xf>
    <xf numFmtId="4" fontId="0" fillId="0" borderId="19" xfId="0" applyNumberFormat="1" applyBorder="1"/>
    <xf numFmtId="14" fontId="0" fillId="0" borderId="3" xfId="0" applyNumberFormat="1" applyBorder="1"/>
    <xf numFmtId="0" fontId="0" fillId="0" borderId="19" xfId="0" applyBorder="1"/>
    <xf numFmtId="0" fontId="14" fillId="0" borderId="3" xfId="12" applyFont="1" applyBorder="1" applyAlignment="1">
      <alignment horizontal="center" vertical="center"/>
    </xf>
    <xf numFmtId="49" fontId="16" fillId="0" borderId="8" xfId="2" applyNumberFormat="1" applyFont="1" applyFill="1" applyBorder="1" applyAlignment="1">
      <alignment horizontal="center" vertical="center"/>
    </xf>
    <xf numFmtId="0" fontId="16" fillId="0" borderId="2" xfId="2" applyFont="1" applyFill="1" applyBorder="1" applyAlignment="1">
      <alignment horizontal="center" vertical="center"/>
    </xf>
    <xf numFmtId="0" fontId="16" fillId="0" borderId="2" xfId="2" applyFont="1" applyFill="1" applyBorder="1" applyAlignment="1">
      <alignment horizontal="center" vertical="center" wrapText="1"/>
    </xf>
    <xf numFmtId="0" fontId="16" fillId="0" borderId="2" xfId="2" applyNumberFormat="1" applyFont="1" applyFill="1" applyBorder="1" applyAlignment="1">
      <alignment horizontal="center" vertical="center"/>
    </xf>
    <xf numFmtId="9" fontId="16" fillId="0" borderId="2" xfId="6" applyFont="1" applyFill="1" applyBorder="1" applyAlignment="1">
      <alignment horizontal="center" vertical="center"/>
    </xf>
    <xf numFmtId="2" fontId="16" fillId="0" borderId="2" xfId="1" applyNumberFormat="1" applyFont="1" applyFill="1" applyBorder="1" applyAlignment="1">
      <alignment horizontal="center" vertical="center"/>
    </xf>
    <xf numFmtId="4" fontId="16" fillId="0" borderId="2" xfId="3" applyNumberFormat="1" applyFont="1" applyFill="1" applyBorder="1" applyAlignment="1">
      <alignment horizontal="center" vertical="center"/>
    </xf>
    <xf numFmtId="0" fontId="16" fillId="0" borderId="9" xfId="4" applyFont="1" applyFill="1" applyBorder="1" applyAlignment="1">
      <alignment horizontal="center" vertical="center"/>
    </xf>
    <xf numFmtId="0" fontId="17" fillId="0" borderId="45" xfId="12" applyFont="1" applyBorder="1" applyAlignment="1">
      <alignment horizontal="center" vertical="center" wrapText="1"/>
    </xf>
    <xf numFmtId="0" fontId="17" fillId="0" borderId="46" xfId="12" applyFont="1" applyBorder="1" applyAlignment="1">
      <alignment horizontal="center" vertical="center" wrapText="1"/>
    </xf>
    <xf numFmtId="4" fontId="17" fillId="0" borderId="47" xfId="12" applyNumberFormat="1" applyFont="1" applyBorder="1" applyAlignment="1">
      <alignment horizontal="center" vertical="center" wrapText="1"/>
    </xf>
    <xf numFmtId="0" fontId="14" fillId="0" borderId="48" xfId="12" applyFont="1" applyBorder="1" applyAlignment="1">
      <alignment horizontal="center" vertical="center"/>
    </xf>
    <xf numFmtId="4" fontId="14" fillId="0" borderId="49" xfId="12" applyNumberFormat="1" applyFont="1" applyBorder="1" applyAlignment="1">
      <alignment horizontal="center" vertical="center"/>
    </xf>
    <xf numFmtId="0" fontId="14" fillId="0" borderId="50" xfId="12" applyFont="1" applyBorder="1" applyAlignment="1">
      <alignment horizontal="center" vertical="center"/>
    </xf>
    <xf numFmtId="4" fontId="14" fillId="0" borderId="51" xfId="12" applyNumberFormat="1" applyFont="1" applyBorder="1" applyAlignment="1">
      <alignment horizontal="center" vertical="center"/>
    </xf>
    <xf numFmtId="14" fontId="7" fillId="0" borderId="0" xfId="0" applyNumberFormat="1" applyFont="1"/>
    <xf numFmtId="14" fontId="5" fillId="0" borderId="2" xfId="1" applyNumberFormat="1" applyFont="1" applyFill="1" applyBorder="1" applyAlignment="1">
      <alignment horizontal="center" vertical="center" wrapText="1"/>
    </xf>
    <xf numFmtId="14" fontId="16" fillId="0" borderId="2" xfId="1" applyNumberFormat="1" applyFont="1" applyFill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0" fillId="0" borderId="0" xfId="0" applyNumberFormat="1"/>
    <xf numFmtId="0" fontId="12" fillId="0" borderId="35" xfId="12" applyFont="1" applyBorder="1" applyAlignment="1">
      <alignment horizontal="center" vertical="center" wrapText="1"/>
    </xf>
    <xf numFmtId="0" fontId="12" fillId="0" borderId="39" xfId="12" applyFont="1" applyBorder="1" applyAlignment="1">
      <alignment horizontal="center" vertical="center" wrapText="1"/>
    </xf>
    <xf numFmtId="0" fontId="12" fillId="0" borderId="0" xfId="12" applyFont="1" applyAlignment="1">
      <alignment horizontal="center" vertical="center" wrapText="1"/>
    </xf>
    <xf numFmtId="0" fontId="11" fillId="0" borderId="35" xfId="12" applyFont="1" applyBorder="1" applyAlignment="1">
      <alignment vertical="center"/>
    </xf>
    <xf numFmtId="0" fontId="12" fillId="0" borderId="52" xfId="12" applyFont="1" applyBorder="1" applyAlignment="1">
      <alignment vertical="center"/>
    </xf>
    <xf numFmtId="14" fontId="12" fillId="0" borderId="14" xfId="12" applyNumberFormat="1" applyFont="1" applyBorder="1" applyAlignment="1">
      <alignment horizontal="left" vertical="center"/>
    </xf>
    <xf numFmtId="14" fontId="12" fillId="0" borderId="53" xfId="12" applyNumberFormat="1" applyFont="1" applyBorder="1" applyAlignment="1">
      <alignment horizontal="left" vertical="center"/>
    </xf>
    <xf numFmtId="0" fontId="5" fillId="0" borderId="9" xfId="3" applyFont="1" applyFill="1" applyBorder="1" applyAlignment="1">
      <alignment horizontal="center" vertical="center" wrapText="1"/>
    </xf>
    <xf numFmtId="4" fontId="16" fillId="0" borderId="9" xfId="3" applyNumberFormat="1" applyFont="1" applyFill="1" applyBorder="1" applyAlignment="1">
      <alignment horizontal="center" vertical="center"/>
    </xf>
    <xf numFmtId="0" fontId="7" fillId="0" borderId="9" xfId="4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4" fontId="7" fillId="0" borderId="9" xfId="3" applyNumberFormat="1" applyFont="1" applyFill="1" applyBorder="1" applyAlignment="1">
      <alignment horizontal="center" vertical="center"/>
    </xf>
    <xf numFmtId="0" fontId="16" fillId="0" borderId="9" xfId="4" applyFont="1" applyFill="1" applyBorder="1" applyAlignment="1">
      <alignment horizontal="center" vertical="center" wrapText="1"/>
    </xf>
    <xf numFmtId="0" fontId="20" fillId="0" borderId="3" xfId="12" applyFont="1" applyBorder="1" applyAlignment="1">
      <alignment horizontal="center" vertical="center"/>
    </xf>
    <xf numFmtId="0" fontId="7" fillId="0" borderId="9" xfId="4" applyFont="1" applyFill="1" applyBorder="1" applyAlignment="1">
      <alignment horizontal="center" vertical="center" wrapText="1"/>
    </xf>
    <xf numFmtId="0" fontId="7" fillId="6" borderId="0" xfId="0" applyFont="1" applyFill="1"/>
    <xf numFmtId="0" fontId="10" fillId="0" borderId="21" xfId="0" applyFont="1" applyBorder="1" applyAlignment="1">
      <alignment horizontal="center"/>
    </xf>
    <xf numFmtId="4" fontId="10" fillId="0" borderId="1" xfId="0" applyNumberFormat="1" applyFont="1" applyBorder="1" applyAlignment="1">
      <alignment horizontal="right"/>
    </xf>
    <xf numFmtId="0" fontId="21" fillId="0" borderId="2" xfId="2" applyFont="1" applyFill="1" applyBorder="1" applyAlignment="1">
      <alignment horizontal="center" vertical="center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NumberFormat="1" applyFont="1" applyFill="1" applyBorder="1" applyAlignment="1">
      <alignment horizontal="center" vertical="center"/>
    </xf>
    <xf numFmtId="166" fontId="21" fillId="0" borderId="2" xfId="1" applyNumberFormat="1" applyFont="1" applyFill="1" applyBorder="1" applyAlignment="1">
      <alignment horizontal="center" vertical="center"/>
    </xf>
    <xf numFmtId="9" fontId="21" fillId="0" borderId="2" xfId="6" applyFont="1" applyFill="1" applyBorder="1" applyAlignment="1">
      <alignment horizontal="center" vertical="center"/>
    </xf>
    <xf numFmtId="2" fontId="21" fillId="0" borderId="2" xfId="1" applyNumberFormat="1" applyFont="1" applyFill="1" applyBorder="1" applyAlignment="1">
      <alignment horizontal="center" vertical="center"/>
    </xf>
    <xf numFmtId="4" fontId="21" fillId="0" borderId="2" xfId="3" applyNumberFormat="1" applyFont="1" applyFill="1" applyBorder="1" applyAlignment="1">
      <alignment horizontal="center" vertical="center"/>
    </xf>
    <xf numFmtId="4" fontId="21" fillId="0" borderId="9" xfId="3" applyNumberFormat="1" applyFont="1" applyFill="1" applyBorder="1" applyAlignment="1">
      <alignment horizontal="center" vertical="center"/>
    </xf>
    <xf numFmtId="0" fontId="21" fillId="0" borderId="9" xfId="4" applyFont="1" applyFill="1" applyBorder="1" applyAlignment="1">
      <alignment horizontal="center" vertical="center"/>
    </xf>
    <xf numFmtId="49" fontId="21" fillId="0" borderId="8" xfId="2" applyNumberFormat="1" applyFont="1" applyFill="1" applyBorder="1" applyAlignment="1">
      <alignment horizontal="center" vertical="center"/>
    </xf>
    <xf numFmtId="0" fontId="21" fillId="6" borderId="2" xfId="2" applyFont="1" applyFill="1" applyBorder="1" applyAlignment="1">
      <alignment horizontal="center" vertical="center"/>
    </xf>
    <xf numFmtId="0" fontId="7" fillId="7" borderId="2" xfId="2" applyFont="1" applyFill="1" applyBorder="1" applyAlignment="1">
      <alignment horizontal="center" vertical="center"/>
    </xf>
    <xf numFmtId="0" fontId="7" fillId="9" borderId="2" xfId="2" applyFont="1" applyFill="1" applyBorder="1" applyAlignment="1">
      <alignment horizontal="center" vertical="center"/>
    </xf>
    <xf numFmtId="0" fontId="21" fillId="9" borderId="2" xfId="2" applyFont="1" applyFill="1" applyBorder="1" applyAlignment="1">
      <alignment horizontal="center" vertical="center"/>
    </xf>
    <xf numFmtId="14" fontId="16" fillId="9" borderId="2" xfId="1" applyNumberFormat="1" applyFont="1" applyFill="1" applyBorder="1" applyAlignment="1">
      <alignment horizontal="center" vertical="center"/>
    </xf>
    <xf numFmtId="4" fontId="16" fillId="9" borderId="2" xfId="3" applyNumberFormat="1" applyFont="1" applyFill="1" applyBorder="1" applyAlignment="1">
      <alignment horizontal="center" vertical="center"/>
    </xf>
    <xf numFmtId="9" fontId="16" fillId="9" borderId="2" xfId="6" applyFont="1" applyFill="1" applyBorder="1" applyAlignment="1">
      <alignment horizontal="center" vertical="center"/>
    </xf>
    <xf numFmtId="4" fontId="7" fillId="9" borderId="2" xfId="3" applyNumberFormat="1" applyFont="1" applyFill="1" applyBorder="1" applyAlignment="1">
      <alignment horizontal="center" vertical="center"/>
    </xf>
    <xf numFmtId="0" fontId="7" fillId="9" borderId="0" xfId="0" applyFont="1" applyFill="1"/>
    <xf numFmtId="0" fontId="0" fillId="8" borderId="18" xfId="0" applyFill="1" applyBorder="1"/>
    <xf numFmtId="0" fontId="0" fillId="8" borderId="19" xfId="0" applyFill="1" applyBorder="1" applyAlignment="1">
      <alignment horizontal="center" vertical="center"/>
    </xf>
    <xf numFmtId="4" fontId="0" fillId="8" borderId="19" xfId="0" applyNumberFormat="1" applyFill="1" applyBorder="1" applyAlignment="1">
      <alignment horizontal="right"/>
    </xf>
    <xf numFmtId="0" fontId="13" fillId="6" borderId="40" xfId="13" applyFont="1" applyFill="1" applyBorder="1" applyAlignment="1">
      <alignment horizontal="center" vertical="center" wrapText="1"/>
    </xf>
    <xf numFmtId="4" fontId="13" fillId="6" borderId="54" xfId="13" applyNumberFormat="1" applyFont="1" applyFill="1" applyBorder="1" applyAlignment="1">
      <alignment horizontal="center" vertical="center" wrapText="1"/>
    </xf>
    <xf numFmtId="4" fontId="13" fillId="6" borderId="42" xfId="13" applyNumberFormat="1" applyFont="1" applyFill="1" applyBorder="1" applyAlignment="1">
      <alignment horizontal="center" vertical="center" wrapText="1"/>
    </xf>
    <xf numFmtId="9" fontId="7" fillId="0" borderId="0" xfId="6" applyFont="1"/>
    <xf numFmtId="9" fontId="5" fillId="0" borderId="0" xfId="6" applyFont="1"/>
    <xf numFmtId="43" fontId="1" fillId="0" borderId="0" xfId="13" applyNumberFormat="1"/>
    <xf numFmtId="43" fontId="7" fillId="0" borderId="0" xfId="15" applyFont="1"/>
    <xf numFmtId="43" fontId="8" fillId="0" borderId="0" xfId="15" applyFont="1" applyAlignment="1">
      <alignment horizontal="center" vertical="center" wrapText="1"/>
    </xf>
    <xf numFmtId="43" fontId="7" fillId="9" borderId="0" xfId="15" applyFont="1" applyFill="1"/>
    <xf numFmtId="43" fontId="7" fillId="6" borderId="0" xfId="15" applyFont="1" applyFill="1"/>
    <xf numFmtId="43" fontId="7" fillId="0" borderId="0" xfId="0" applyNumberFormat="1" applyFont="1"/>
    <xf numFmtId="9" fontId="8" fillId="0" borderId="0" xfId="6" applyFont="1" applyAlignment="1">
      <alignment horizontal="center" vertical="center" wrapText="1"/>
    </xf>
    <xf numFmtId="9" fontId="7" fillId="0" borderId="11" xfId="0" applyNumberFormat="1" applyFont="1" applyBorder="1" applyAlignment="1">
      <alignment horizontal="center" vertical="center"/>
    </xf>
    <xf numFmtId="9" fontId="5" fillId="0" borderId="4" xfId="6" applyFont="1" applyFill="1" applyBorder="1" applyAlignment="1">
      <alignment horizontal="center" vertical="center" wrapText="1"/>
    </xf>
    <xf numFmtId="0" fontId="21" fillId="0" borderId="9" xfId="4" applyFont="1" applyFill="1" applyBorder="1" applyAlignment="1">
      <alignment horizontal="center" vertical="center" wrapText="1"/>
    </xf>
    <xf numFmtId="0" fontId="0" fillId="0" borderId="3" xfId="13" applyFont="1" applyBorder="1" applyAlignment="1">
      <alignment horizontal="center"/>
    </xf>
    <xf numFmtId="0" fontId="1" fillId="0" borderId="3" xfId="13" applyBorder="1" applyAlignment="1">
      <alignment horizontal="center"/>
    </xf>
    <xf numFmtId="0" fontId="12" fillId="0" borderId="15" xfId="12" applyFont="1" applyBorder="1" applyAlignment="1">
      <alignment horizontal="center" vertical="center"/>
    </xf>
    <xf numFmtId="0" fontId="12" fillId="0" borderId="16" xfId="12" applyFont="1" applyBorder="1" applyAlignment="1">
      <alignment horizontal="center" vertical="center"/>
    </xf>
    <xf numFmtId="0" fontId="12" fillId="0" borderId="15" xfId="12" applyFont="1" applyBorder="1" applyAlignment="1">
      <alignment horizontal="left" vertical="center"/>
    </xf>
    <xf numFmtId="0" fontId="12" fillId="0" borderId="16" xfId="12" applyFont="1" applyBorder="1" applyAlignment="1">
      <alignment horizontal="left" vertical="center"/>
    </xf>
    <xf numFmtId="0" fontId="12" fillId="0" borderId="17" xfId="12" applyFont="1" applyBorder="1" applyAlignment="1">
      <alignment horizontal="left" vertical="center"/>
    </xf>
    <xf numFmtId="0" fontId="12" fillId="0" borderId="35" xfId="12" applyFont="1" applyBorder="1" applyAlignment="1">
      <alignment horizontal="right"/>
    </xf>
    <xf numFmtId="0" fontId="12" fillId="0" borderId="0" xfId="12" applyFont="1" applyAlignment="1">
      <alignment horizontal="right"/>
    </xf>
    <xf numFmtId="0" fontId="12" fillId="0" borderId="39" xfId="12" applyFont="1" applyBorder="1" applyAlignment="1">
      <alignment horizontal="right"/>
    </xf>
    <xf numFmtId="0" fontId="12" fillId="0" borderId="35" xfId="12" applyFont="1" applyBorder="1" applyAlignment="1">
      <alignment horizontal="center"/>
    </xf>
    <xf numFmtId="0" fontId="12" fillId="0" borderId="0" xfId="12" applyFont="1" applyAlignment="1">
      <alignment horizontal="center"/>
    </xf>
    <xf numFmtId="0" fontId="12" fillId="0" borderId="39" xfId="12" applyFont="1" applyBorder="1" applyAlignment="1">
      <alignment horizontal="center"/>
    </xf>
    <xf numFmtId="0" fontId="12" fillId="0" borderId="30" xfId="12" applyFont="1" applyBorder="1" applyAlignment="1">
      <alignment horizontal="center" vertical="center" wrapText="1"/>
    </xf>
    <xf numFmtId="0" fontId="12" fillId="0" borderId="31" xfId="12" applyFont="1" applyBorder="1" applyAlignment="1">
      <alignment horizontal="center" vertical="center" wrapText="1"/>
    </xf>
    <xf numFmtId="0" fontId="12" fillId="0" borderId="30" xfId="12" applyFont="1" applyBorder="1" applyAlignment="1">
      <alignment horizontal="left" vertical="center" wrapText="1"/>
    </xf>
    <xf numFmtId="0" fontId="12" fillId="0" borderId="31" xfId="12" applyFont="1" applyBorder="1" applyAlignment="1">
      <alignment horizontal="left" vertical="center"/>
    </xf>
    <xf numFmtId="0" fontId="12" fillId="0" borderId="32" xfId="12" applyFont="1" applyBorder="1" applyAlignment="1">
      <alignment horizontal="left" vertical="center"/>
    </xf>
    <xf numFmtId="0" fontId="12" fillId="0" borderId="15" xfId="12" applyFont="1" applyBorder="1" applyAlignment="1">
      <alignment horizontal="center" vertical="center" wrapText="1"/>
    </xf>
    <xf numFmtId="0" fontId="12" fillId="0" borderId="16" xfId="12" applyFont="1" applyBorder="1" applyAlignment="1">
      <alignment horizontal="center" vertical="center" wrapText="1"/>
    </xf>
    <xf numFmtId="0" fontId="12" fillId="0" borderId="17" xfId="12" applyFont="1" applyBorder="1" applyAlignment="1">
      <alignment horizontal="center" vertical="center" wrapText="1"/>
    </xf>
    <xf numFmtId="0" fontId="12" fillId="0" borderId="40" xfId="12" applyFont="1" applyBorder="1" applyAlignment="1">
      <alignment horizontal="center" vertical="center" wrapText="1"/>
    </xf>
    <xf numFmtId="0" fontId="12" fillId="0" borderId="41" xfId="12" applyFont="1" applyBorder="1" applyAlignment="1">
      <alignment horizontal="center" vertical="center" wrapText="1"/>
    </xf>
    <xf numFmtId="0" fontId="12" fillId="6" borderId="30" xfId="12" applyFont="1" applyFill="1" applyBorder="1" applyAlignment="1">
      <alignment horizontal="center" vertical="center"/>
    </xf>
    <xf numFmtId="0" fontId="12" fillId="6" borderId="31" xfId="12" applyFont="1" applyFill="1" applyBorder="1" applyAlignment="1">
      <alignment horizontal="center" vertical="center"/>
    </xf>
    <xf numFmtId="0" fontId="12" fillId="0" borderId="35" xfId="12" applyFont="1" applyBorder="1" applyAlignment="1">
      <alignment horizontal="center" vertical="center"/>
    </xf>
    <xf numFmtId="0" fontId="12" fillId="0" borderId="0" xfId="12" applyFont="1" applyAlignment="1">
      <alignment horizontal="center" vertical="center"/>
    </xf>
    <xf numFmtId="0" fontId="12" fillId="0" borderId="39" xfId="12" applyFont="1" applyBorder="1" applyAlignment="1">
      <alignment horizontal="center" vertical="center"/>
    </xf>
    <xf numFmtId="0" fontId="12" fillId="0" borderId="35" xfId="12" applyFont="1" applyBorder="1" applyAlignment="1">
      <alignment horizontal="center" vertical="center" wrapText="1"/>
    </xf>
    <xf numFmtId="0" fontId="12" fillId="0" borderId="0" xfId="12" applyFont="1" applyAlignment="1">
      <alignment horizontal="center" vertical="center" wrapText="1"/>
    </xf>
    <xf numFmtId="0" fontId="12" fillId="0" borderId="39" xfId="12" applyFont="1" applyBorder="1" applyAlignment="1">
      <alignment horizontal="center" vertical="center" wrapText="1"/>
    </xf>
    <xf numFmtId="0" fontId="18" fillId="0" borderId="30" xfId="12" applyFont="1" applyBorder="1" applyAlignment="1">
      <alignment horizontal="center" vertical="center"/>
    </xf>
    <xf numFmtId="0" fontId="18" fillId="0" borderId="31" xfId="12" applyFont="1" applyBorder="1" applyAlignment="1">
      <alignment horizontal="center" vertical="center"/>
    </xf>
    <xf numFmtId="0" fontId="18" fillId="0" borderId="32" xfId="12" applyFont="1" applyBorder="1" applyAlignment="1">
      <alignment horizontal="center" vertical="center"/>
    </xf>
    <xf numFmtId="0" fontId="12" fillId="0" borderId="35" xfId="12" applyFont="1" applyBorder="1"/>
    <xf numFmtId="0" fontId="12" fillId="0" borderId="0" xfId="12" applyFont="1"/>
    <xf numFmtId="0" fontId="12" fillId="0" borderId="29" xfId="12" applyFont="1" applyBorder="1" applyAlignment="1">
      <alignment horizontal="left"/>
    </xf>
    <xf numFmtId="0" fontId="12" fillId="0" borderId="39" xfId="12" applyFont="1" applyBorder="1" applyAlignment="1">
      <alignment horizontal="left"/>
    </xf>
    <xf numFmtId="0" fontId="11" fillId="0" borderId="30" xfId="12" applyFont="1" applyBorder="1" applyAlignment="1">
      <alignment horizontal="left"/>
    </xf>
    <xf numFmtId="0" fontId="11" fillId="0" borderId="31" xfId="12" applyFont="1" applyBorder="1" applyAlignment="1">
      <alignment horizontal="left"/>
    </xf>
    <xf numFmtId="0" fontId="11" fillId="0" borderId="32" xfId="12" applyFont="1" applyBorder="1" applyAlignment="1">
      <alignment horizontal="left"/>
    </xf>
    <xf numFmtId="0" fontId="19" fillId="0" borderId="30" xfId="12" applyFont="1" applyBorder="1" applyAlignment="1">
      <alignment horizontal="center" vertical="center"/>
    </xf>
    <xf numFmtId="0" fontId="19" fillId="0" borderId="31" xfId="12" applyFont="1" applyBorder="1" applyAlignment="1">
      <alignment horizontal="center" vertical="center"/>
    </xf>
    <xf numFmtId="0" fontId="19" fillId="0" borderId="32" xfId="12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43" fontId="12" fillId="9" borderId="35" xfId="14" applyFont="1" applyFill="1" applyBorder="1" applyAlignment="1">
      <alignment horizontal="center" vertical="center"/>
    </xf>
    <xf numFmtId="43" fontId="12" fillId="9" borderId="44" xfId="14" applyFont="1" applyFill="1" applyBorder="1" applyAlignment="1">
      <alignment vertical="center"/>
    </xf>
    <xf numFmtId="43" fontId="12" fillId="9" borderId="43" xfId="12" applyNumberFormat="1" applyFont="1" applyFill="1" applyBorder="1" applyAlignment="1">
      <alignment vertical="center" wrapText="1"/>
    </xf>
  </cellXfs>
  <cellStyles count="16">
    <cellStyle name="20% - Accent4" xfId="2" builtinId="42"/>
    <cellStyle name="40% - Accent3" xfId="1" builtinId="39"/>
    <cellStyle name="40% - Accent5" xfId="3" builtinId="47"/>
    <cellStyle name="40% - Accent6" xfId="4" builtinId="51"/>
    <cellStyle name="Comma" xfId="15" builtinId="3"/>
    <cellStyle name="Comma 2" xfId="5" xr:uid="{00000000-0005-0000-0000-000004000000}"/>
    <cellStyle name="Comma 2 2" xfId="8" xr:uid="{00000000-0005-0000-0000-000005000000}"/>
    <cellStyle name="Comma 2 3" xfId="14" xr:uid="{00000000-0005-0000-0000-000006000000}"/>
    <cellStyle name="Comma 3" xfId="9" xr:uid="{00000000-0005-0000-0000-000007000000}"/>
    <cellStyle name="Comma 4" xfId="7" xr:uid="{00000000-0005-0000-0000-000008000000}"/>
    <cellStyle name="Normal" xfId="0" builtinId="0"/>
    <cellStyle name="Normal 2" xfId="10" xr:uid="{00000000-0005-0000-0000-00000A000000}"/>
    <cellStyle name="Normal 2 2" xfId="12" xr:uid="{00000000-0005-0000-0000-00000B000000}"/>
    <cellStyle name="Normal 3" xfId="13" xr:uid="{00000000-0005-0000-0000-00000C000000}"/>
    <cellStyle name="Normal 6" xfId="11" xr:uid="{00000000-0005-0000-0000-00000D000000}"/>
    <cellStyle name="Percent" xfId="6" builtinId="5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top style="thin">
          <color theme="3" tint="0.39997558519241921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[$-F800]dddd\,\ mmmm\ dd\,\ yy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alignment horizontal="righ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F800]dddd\,\ mmmm\ dd\,\ 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/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/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border outline="0">
        <top style="thin">
          <color theme="3" tint="-0.249977111117893"/>
        </top>
      </border>
    </dxf>
    <dxf>
      <font>
        <strike val="0"/>
        <outline val="0"/>
        <shadow val="0"/>
        <u val="none"/>
        <vertAlign val="baseline"/>
        <color auto="1"/>
      </font>
    </dxf>
    <dxf>
      <border outline="0">
        <left style="thin">
          <color theme="3" tint="-0.249977111117893"/>
        </left>
        <right style="thin">
          <color theme="3" tint="-0.249977111117893"/>
        </right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3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/>
        <bottom/>
      </border>
    </dxf>
  </dxfs>
  <tableStyles count="0" defaultTableStyle="TableStyleMedium9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459442</xdr:colOff>
      <xdr:row>1</xdr:row>
      <xdr:rowOff>128067</xdr:rowOff>
    </xdr:from>
    <xdr:to>
      <xdr:col>30</xdr:col>
      <xdr:colOff>1198230</xdr:colOff>
      <xdr:row>6</xdr:row>
      <xdr:rowOff>123960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3236" y="307361"/>
          <a:ext cx="1915405" cy="10492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5.20\TAS_Projects\Users\Danreb%20Pastorin\Desktop\May'17\Ajman%20City%20Centre_May'2017%20Invo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suae-my.sharepoint.com/personal/lgabriel_tasuae_com/Documents/Desktop/Other%20Files/July'2019/LOR%20EXPO2020%20Dayworks%20July'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suae-my.sharepoint.com/personal/lgabriel_tasuae_com/Documents/Desktop/Other%20Files/Payment%20Application%20Form%20K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E11.Rev1"/>
      <sheetName val="Dayworks - May'17"/>
      <sheetName val="Frontsheet"/>
      <sheetName val="Quotation"/>
      <sheetName val="schedule"/>
      <sheetName val="Diff Crash deck"/>
      <sheetName val="SOR Items"/>
      <sheetName val="LMTCV"/>
      <sheetName val="Summary"/>
      <sheetName val="Masterkey"/>
      <sheetName val="Rates"/>
      <sheetName val="Ajman City Centre_May'2017 In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Dayworks"/>
      <sheetName val="Summary"/>
      <sheetName val="Masterkey"/>
      <sheetName val="LOR EXPO2020 Dayworks July'2019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g Details Checking"/>
      <sheetName val="OHC no HOC"/>
      <sheetName val="Scientechnic"/>
      <sheetName val="ACC"/>
      <sheetName val="jumeirah villa"/>
      <sheetName val="Jadaf"/>
      <sheetName val="leader sports (2)"/>
      <sheetName val="leader sports"/>
      <sheetName val="leader sports Manpower Supply"/>
      <sheetName val="DIFC"/>
      <sheetName val="MAF VILLA"/>
      <sheetName val="Jadaf (2)"/>
      <sheetName val="OH Paper"/>
      <sheetName val="E11"/>
      <sheetName val="CR#4"/>
      <sheetName val="ERP"/>
      <sheetName val="Quotation"/>
      <sheetName val="schedule"/>
      <sheetName val="Diff Crash deck"/>
      <sheetName val="SOR Items"/>
      <sheetName val="LMTCV"/>
      <sheetName val="Summary"/>
      <sheetName val="Masterkey"/>
      <sheetName val="Rates"/>
      <sheetName val="Payment Application Form KCE"/>
      <sheetName val="Aquaventu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AE498" totalsRowCount="1" headerRowDxfId="121" dataDxfId="119" totalsRowDxfId="117" headerRowBorderDxfId="120" tableBorderDxfId="118" totalsRowBorderDxfId="116" headerRowCellStyle="40% - Accent5" dataCellStyle="40% - Accent5">
  <autoFilter ref="A9:AE497" xr:uid="{00000000-0009-0000-0100-000001000000}"/>
  <tableColumns count="31">
    <tableColumn id="1" xr3:uid="{00000000-0010-0000-0000-000001000000}" name="Billing Reference" totalsRowLabel="Total" dataDxfId="115" totalsRowDxfId="114" dataCellStyle="20% - Accent4"/>
    <tableColumn id="17" xr3:uid="{3BFE6B37-D398-4E64-9F1E-A43AB98608D8}" name="Location" dataDxfId="113" totalsRowDxfId="112" dataCellStyle="20% - Accent4"/>
    <tableColumn id="2" xr3:uid="{00000000-0010-0000-0000-000002000000}" name="Tag No." dataDxfId="111" totalsRowDxfId="110" dataCellStyle="20% - Accent4"/>
    <tableColumn id="3" xr3:uid="{00000000-0010-0000-0000-000003000000}" name="HOC" totalsRowFunction="count" dataDxfId="109" totalsRowDxfId="108" dataCellStyle="20% - Accent4"/>
    <tableColumn id="4" xr3:uid="{00000000-0010-0000-0000-000004000000}" name="OHC" totalsRowFunction="count" dataDxfId="107" totalsRowDxfId="106" dataCellStyle="20% - Accent4"/>
    <tableColumn id="6" xr3:uid="{00000000-0010-0000-0000-000006000000}" name="Description" dataDxfId="105" totalsRowDxfId="104" dataCellStyle="20% - Accent4"/>
    <tableColumn id="14" xr3:uid="{89D346EA-51BD-4437-ADE1-726CB91CC5B2}" name="Founding Level" dataDxfId="103" totalsRowDxfId="102" dataCellStyle="20% - Accent4"/>
    <tableColumn id="7" xr3:uid="{00000000-0010-0000-0000-000007000000}" name="Scaffold Type" dataDxfId="101" totalsRowDxfId="100" dataCellStyle="20% - Accent4"/>
    <tableColumn id="8" xr3:uid="{00000000-0010-0000-0000-000008000000}" name="Number" dataDxfId="99" totalsRowDxfId="98" dataCellStyle="20% - Accent4"/>
    <tableColumn id="9" xr3:uid="{00000000-0010-0000-0000-000009000000}" name="Length" dataDxfId="97" totalsRowDxfId="96" dataCellStyle="20% - Accent4"/>
    <tableColumn id="10" xr3:uid="{00000000-0010-0000-0000-00000A000000}" name="Width" dataDxfId="95" totalsRowDxfId="94" dataCellStyle="20% - Accent4"/>
    <tableColumn id="11" xr3:uid="{00000000-0010-0000-0000-00000B000000}" name="Height" dataDxfId="93" totalsRowDxfId="92" dataCellStyle="20% - Accent4"/>
    <tableColumn id="12" xr3:uid="{00000000-0010-0000-0000-00000C000000}" name="Board  Lift" dataDxfId="91" totalsRowDxfId="90" dataCellStyle="20% - Accent4"/>
    <tableColumn id="16" xr3:uid="{00000000-0010-0000-0000-000010000000}" name="Unit of Measure" dataDxfId="89" totalsRowDxfId="88" dataCellStyle="20% - Accent4"/>
    <tableColumn id="15" xr3:uid="{00000000-0010-0000-0000-00000F000000}" name="Quantity" dataDxfId="87" totalsRowDxfId="86" dataCellStyle="20% - Accent4">
      <calculatedColumnFormula>ROUND(IF(N10="m3",I10*J10*K10*L10,IF(N10="m2-LxH",I10*J10*L10,IF(N10="m2-LxW",I10*J10*K10,IF(N10="rm",I10*L10,IF(N10="lm",I10*J10,IF(N10="unit",I10,"NA")))))),2)</calculatedColumnFormula>
    </tableColumn>
    <tableColumn id="18" xr3:uid="{00000000-0010-0000-0000-000012000000}" name="HOC Date" dataDxfId="85" totalsRowDxfId="84" dataCellStyle="40% - Accent3"/>
    <tableColumn id="19" xr3:uid="{00000000-0010-0000-0000-000013000000}" name="OHC Date" dataDxfId="83" totalsRowDxfId="82" dataCellStyle="40% - Accent3"/>
    <tableColumn id="20" xr3:uid="{00000000-0010-0000-0000-000014000000}" name="Erection %" dataDxfId="81" totalsRowDxfId="80" dataCellStyle="Percent"/>
    <tableColumn id="22" xr3:uid="{00000000-0010-0000-0000-000016000000}" name="Hire %" dataDxfId="79" totalsRowDxfId="78" dataCellStyle="Percent"/>
    <tableColumn id="21" xr3:uid="{00000000-0010-0000-0000-000015000000}" name="Dismantle %" dataDxfId="77" totalsRowDxfId="76" dataCellStyle="Percent"/>
    <tableColumn id="24" xr3:uid="{00000000-0010-0000-0000-000018000000}" name="Hire Weeks" dataDxfId="75" totalsRowDxfId="74" dataCellStyle="40% - Accent3">
      <calculatedColumnFormula>IF(ISBLANK(Table1[[#This Row],[OHC Date]]),$B$7-Table1[[#This Row],[HOC Date]]+1,Table1[[#This Row],[OHC Date]]-Table1[[#This Row],[HOC Date]]+1)/7</calculatedColumnFormula>
    </tableColumn>
    <tableColumn id="25" xr3:uid="{00000000-0010-0000-0000-000019000000}" name="E&amp;D Rate per unit" dataDxfId="73" totalsRowDxfId="72" dataCellStyle="40% - Accent5"/>
    <tableColumn id="26" xr3:uid="{00000000-0010-0000-0000-00001A000000}" name="Hire Rate per week" dataDxfId="71" totalsRowDxfId="70" dataCellStyle="40% - Accent5"/>
    <tableColumn id="28" xr3:uid="{00000000-0010-0000-0000-00001C000000}" name="Erect Charges" totalsRowFunction="sum" dataDxfId="69" totalsRowDxfId="68" dataCellStyle="40% - Accent5">
      <calculatedColumnFormula>ROUND(0.7*Table1[[#This Row],[E&amp;D Rate per unit]]*R10*Table1[[#This Row],[Quantity]],2)</calculatedColumnFormula>
    </tableColumn>
    <tableColumn id="30" xr3:uid="{00000000-0010-0000-0000-00001E000000}" name="Hire Charges" totalsRowFunction="sum" dataDxfId="67" totalsRowDxfId="66" dataCellStyle="40% - Accent5">
      <calculatedColumnFormula>ROUND(O10*U10*W10*S10,2)</calculatedColumnFormula>
    </tableColumn>
    <tableColumn id="29" xr3:uid="{00000000-0010-0000-0000-00001D000000}" name="Dismantle Charges" totalsRowFunction="sum" dataDxfId="65" totalsRowDxfId="64" dataCellStyle="40% - Accent5">
      <calculatedColumnFormula>ROUND(0.3*T10*Table1[[#This Row],[E&amp;D Rate per unit]]*Table1[[#This Row],[Quantity]],2)</calculatedColumnFormula>
    </tableColumn>
    <tableColumn id="27" xr3:uid="{903A49DC-9BEB-4542-8B60-E73A636A3D1A}" name="Until WA Approved Only Approved this %" dataDxfId="63" totalsRowDxfId="62" dataCellStyle="Percent"/>
    <tableColumn id="33" xr3:uid="{00000000-0010-0000-0000-000021000000}" name="Total Amount" totalsRowFunction="sum" dataDxfId="61" totalsRowDxfId="60" dataCellStyle="40% - Accent5">
      <calculatedColumnFormula>ROUND(X10+Z10+Y10,2)</calculatedColumnFormula>
    </tableColumn>
    <tableColumn id="5" xr3:uid="{6A22415C-3242-4E4A-90A0-17BB2F71EF32}" name="Previous Amount" totalsRowFunction="sum" dataDxfId="59" totalsRowDxfId="58" dataCellStyle="40% - Accent5"/>
    <tableColumn id="13" xr3:uid="{9D149D36-4A49-4A54-8D1A-884C86FB6D29}" name="Net Amount" totalsRowFunction="sum" dataDxfId="57" totalsRowDxfId="56" dataCellStyle="40% - Accent5">
      <calculatedColumnFormula>Table1[[#This Row],[Total Amount]]-Table1[[#This Row],[Previous Amount]]</calculatedColumnFormula>
    </tableColumn>
    <tableColumn id="36" xr3:uid="{00000000-0010-0000-0000-000024000000}" name="Remarks" dataDxfId="55" totalsRowDxfId="54" dataCellStyle="40% - Accent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A71828-8CF2-4F39-BBB9-A9B56F351B60}" name="Table37" displayName="Table37" ref="A8:F17" totalsRowCount="1" headerRowDxfId="53" headerRowBorderDxfId="52" tableBorderDxfId="51" totalsRowBorderDxfId="50">
  <autoFilter ref="A8:F16" xr:uid="{87A71828-8CF2-4F39-BBB9-A9B56F351B60}"/>
  <tableColumns count="6">
    <tableColumn id="1" xr3:uid="{9DFD6B60-EFCC-44DC-9526-28177157DC4D}" name="DTS" totalsRowLabel="Total" dataDxfId="49" totalsRowDxfId="48"/>
    <tableColumn id="2" xr3:uid="{3214119C-8E47-4625-A5C7-3C0351EF2569}" name="Date" dataDxfId="47" totalsRowDxfId="46"/>
    <tableColumn id="3" xr3:uid="{52AAA9B6-8D47-40F3-A57E-8AFC83DFBE1B}" name="Hrs" totalsRowFunction="sum" dataDxfId="45" totalsRowDxfId="44"/>
    <tableColumn id="5" xr3:uid="{8D44D0A9-1928-4382-9EDA-077FC764060C}" name="Total" totalsRowFunction="sum" dataDxfId="43" totalsRowDxfId="42">
      <calculatedColumnFormula>20.5*C9</calculatedColumnFormula>
    </tableColumn>
    <tableColumn id="4" xr3:uid="{31497590-7BB3-4E8A-A111-EC6053A900E8}" name="Previous" totalsRowLabel="1,271.00" dataDxfId="41" totalsRowDxfId="40"/>
    <tableColumn id="7" xr3:uid="{4BC987A9-6C9A-4A27-96DE-C408F67F5E1A}" name="Net Amount" totalsRowFunction="sum" dataDxfId="39" totalsRowDxfId="38">
      <calculatedColumnFormula>Table37[[#This Row],[Total]]-Table37[[#This Row],[Previous]]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:G12" totalsRowCount="1" headerRowDxfId="37" dataDxfId="35" totalsRowDxfId="33" headerRowBorderDxfId="36" tableBorderDxfId="34" totalsRowBorderDxfId="32">
  <autoFilter ref="A8:G11" xr:uid="{00000000-0009-0000-0100-000002000000}"/>
  <tableColumns count="7">
    <tableColumn id="1" xr3:uid="{00000000-0010-0000-0100-000001000000}" name="DTS" totalsRowLabel="Total" dataDxfId="31" totalsRowDxfId="30"/>
    <tableColumn id="2" xr3:uid="{00000000-0010-0000-0100-000002000000}" name="Date" dataDxfId="29" totalsRowDxfId="28"/>
    <tableColumn id="3" xr3:uid="{00000000-0010-0000-0100-000003000000}" name="Scaffolder" dataDxfId="27" totalsRowDxfId="26"/>
    <tableColumn id="4" xr3:uid="{00000000-0010-0000-0100-000004000000}" name="Foreman" dataDxfId="25" totalsRowDxfId="24"/>
    <tableColumn id="7" xr3:uid="{00000000-0010-0000-0100-000007000000}" name="Cumulative" totalsRowFunction="sum" dataDxfId="23" totalsRowDxfId="22"/>
    <tableColumn id="6" xr3:uid="{00000000-0010-0000-0100-000006000000}" name="Previous" totalsRowFunction="sum" dataDxfId="21" totalsRowDxfId="20"/>
    <tableColumn id="5" xr3:uid="{00000000-0010-0000-0100-000005000000}" name="Net" totalsRowFunction="count" dataDxfId="19" totalsRowDxfId="18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2:J12" totalsRowShown="0">
  <autoFilter ref="A2:J12" xr:uid="{00000000-0009-0000-0100-000004000000}"/>
  <tableColumns count="10">
    <tableColumn id="1" xr3:uid="{00000000-0010-0000-0200-000001000000}" name="Reference"/>
    <tableColumn id="2" xr3:uid="{00000000-0010-0000-0200-000002000000}" name="Description"/>
    <tableColumn id="3" xr3:uid="{00000000-0010-0000-0200-000003000000}" name="Number"/>
    <tableColumn id="4" xr3:uid="{00000000-0010-0000-0200-000004000000}" name="L"/>
    <tableColumn id="5" xr3:uid="{00000000-0010-0000-0200-000005000000}" name="W"/>
    <tableColumn id="6" xr3:uid="{00000000-0010-0000-0200-000006000000}" name="H"/>
    <tableColumn id="7" xr3:uid="{00000000-0010-0000-0200-000007000000}" name="BL"/>
    <tableColumn id="8" xr3:uid="{00000000-0010-0000-0200-000008000000}" name="Item Price"/>
    <tableColumn id="9" xr3:uid="{00000000-0010-0000-0200-000009000000}" name="Period (Wks)"/>
    <tableColumn id="10" xr3:uid="{00000000-0010-0000-0200-00000A000000}" name="Extra Hire per Week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8:F17" totalsRowCount="1" headerRowDxfId="17" dataDxfId="15" totalsRowDxfId="13" headerRowBorderDxfId="16" tableBorderDxfId="14" totalsRowBorderDxfId="12">
  <autoFilter ref="A8:F16" xr:uid="{00000000-0009-0000-0100-000003000000}"/>
  <tableColumns count="6">
    <tableColumn id="1" xr3:uid="{00000000-0010-0000-0300-000001000000}" name="Application No." totalsRowLabel="Total" dataDxfId="11" totalsRowDxfId="10"/>
    <tableColumn id="2" xr3:uid="{00000000-0010-0000-0300-000002000000}" name="Application Date" dataDxfId="9" totalsRowDxfId="8"/>
    <tableColumn id="3" xr3:uid="{00000000-0010-0000-0300-000003000000}" name="Works Carried Out" totalsRowFunction="sum" dataDxfId="7" totalsRowDxfId="6"/>
    <tableColumn id="5" xr3:uid="{00000000-0010-0000-0300-000005000000}" name="Day Works" totalsRowFunction="sum" dataDxfId="5" totalsRowDxfId="4"/>
    <tableColumn id="6" xr3:uid="{00000000-0010-0000-0300-000006000000}" name="Total" totalsRowFunction="sum" dataDxfId="3" totalsRowDxfId="2">
      <calculatedColumnFormula>Table3[[#This Row],[Works Carried Out]]+Table3[[#This Row],[Day Works]]</calculatedColumnFormula>
    </tableColumn>
    <tableColumn id="7" xr3:uid="{00000000-0010-0000-0300-000007000000}" name="Remarks" totalsRowFunction="count" dataDxfId="1" totalsRow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8"/>
  <sheetViews>
    <sheetView tabSelected="1" topLeftCell="A10" zoomScaleNormal="100" workbookViewId="0">
      <selection activeCell="H27" sqref="H27:J27"/>
    </sheetView>
  </sheetViews>
  <sheetFormatPr defaultColWidth="9.1796875" defaultRowHeight="14.5" x14ac:dyDescent="0.35"/>
  <cols>
    <col min="1" max="3" width="9.1796875" style="58"/>
    <col min="4" max="4" width="11.453125" style="58" customWidth="1"/>
    <col min="5" max="10" width="17.26953125" style="58" customWidth="1"/>
    <col min="11" max="11" width="22" style="58" customWidth="1"/>
    <col min="12" max="12" width="11.08984375" style="58" bestFit="1" customWidth="1"/>
    <col min="13" max="13" width="0" style="58" hidden="1" customWidth="1"/>
    <col min="14" max="16384" width="9.1796875" style="58"/>
  </cols>
  <sheetData>
    <row r="1" spans="1:13" ht="30.75" customHeight="1" thickBot="1" x14ac:dyDescent="0.4">
      <c r="A1" s="214" t="s">
        <v>174</v>
      </c>
      <c r="B1" s="215"/>
      <c r="C1" s="215"/>
      <c r="D1" s="215"/>
      <c r="E1" s="215"/>
      <c r="F1" s="215"/>
      <c r="G1" s="216"/>
    </row>
    <row r="2" spans="1:13" ht="30.75" customHeight="1" thickBot="1" x14ac:dyDescent="0.4">
      <c r="A2" s="224" t="s">
        <v>553</v>
      </c>
      <c r="B2" s="225"/>
      <c r="C2" s="225"/>
      <c r="D2" s="225"/>
      <c r="E2" s="225"/>
      <c r="F2" s="225"/>
      <c r="G2" s="226"/>
    </row>
    <row r="3" spans="1:13" x14ac:dyDescent="0.35">
      <c r="A3" s="131" t="s">
        <v>58</v>
      </c>
      <c r="B3" s="62"/>
      <c r="C3" s="62"/>
      <c r="D3" s="62"/>
      <c r="E3" s="132" t="s">
        <v>31</v>
      </c>
      <c r="F3" s="133">
        <v>44925</v>
      </c>
      <c r="G3" s="134"/>
      <c r="M3" s="58" t="s">
        <v>98</v>
      </c>
    </row>
    <row r="4" spans="1:13" x14ac:dyDescent="0.35">
      <c r="A4" s="61" t="s">
        <v>59</v>
      </c>
      <c r="B4" s="62"/>
      <c r="C4" s="62"/>
      <c r="D4" s="62"/>
      <c r="E4" s="59" t="s">
        <v>60</v>
      </c>
      <c r="F4" s="60">
        <v>44920</v>
      </c>
      <c r="G4" s="63"/>
      <c r="M4" s="58" t="s">
        <v>99</v>
      </c>
    </row>
    <row r="5" spans="1:13" x14ac:dyDescent="0.35">
      <c r="A5" s="61" t="s">
        <v>61</v>
      </c>
      <c r="B5" s="62"/>
      <c r="C5" s="62"/>
      <c r="D5" s="62"/>
      <c r="E5" s="59" t="s">
        <v>62</v>
      </c>
      <c r="F5" s="64" t="s">
        <v>63</v>
      </c>
      <c r="G5" s="65"/>
    </row>
    <row r="6" spans="1:13" x14ac:dyDescent="0.35">
      <c r="A6" s="217" t="s">
        <v>64</v>
      </c>
      <c r="B6" s="218"/>
      <c r="C6" s="218"/>
      <c r="D6" s="218"/>
      <c r="E6" s="66" t="s">
        <v>65</v>
      </c>
      <c r="F6" s="67" t="s">
        <v>66</v>
      </c>
      <c r="G6" s="68"/>
    </row>
    <row r="7" spans="1:13" x14ac:dyDescent="0.35">
      <c r="A7" s="217" t="s">
        <v>67</v>
      </c>
      <c r="B7" s="218"/>
      <c r="C7" s="218"/>
      <c r="D7" s="218"/>
      <c r="E7" s="69"/>
      <c r="F7" s="70"/>
      <c r="G7" s="71"/>
    </row>
    <row r="8" spans="1:13" ht="15" thickBot="1" x14ac:dyDescent="0.4">
      <c r="A8" s="72" t="s">
        <v>68</v>
      </c>
      <c r="B8" s="73"/>
      <c r="C8" s="73"/>
      <c r="D8" s="73"/>
      <c r="E8" s="74" t="s">
        <v>69</v>
      </c>
      <c r="F8" s="219" t="s">
        <v>70</v>
      </c>
      <c r="G8" s="220"/>
    </row>
    <row r="9" spans="1:13" ht="15" thickBot="1" x14ac:dyDescent="0.4">
      <c r="A9" s="221" t="s">
        <v>171</v>
      </c>
      <c r="B9" s="222"/>
      <c r="C9" s="222"/>
      <c r="D9" s="222"/>
      <c r="E9" s="222"/>
      <c r="F9" s="222"/>
      <c r="G9" s="223"/>
    </row>
    <row r="10" spans="1:13" ht="15.75" customHeight="1" x14ac:dyDescent="0.35">
      <c r="A10" s="201" t="s">
        <v>172</v>
      </c>
      <c r="B10" s="202"/>
      <c r="C10" s="202"/>
      <c r="D10" s="202"/>
      <c r="E10" s="202"/>
      <c r="F10" s="202"/>
      <c r="G10" s="203"/>
    </row>
    <row r="11" spans="1:13" ht="15.75" customHeight="1" thickBot="1" x14ac:dyDescent="0.4">
      <c r="A11" s="204"/>
      <c r="B11" s="205"/>
      <c r="C11" s="205"/>
      <c r="D11" s="205"/>
      <c r="E11" s="205"/>
      <c r="F11" s="205"/>
      <c r="G11" s="205"/>
      <c r="H11" s="183" t="s">
        <v>678</v>
      </c>
      <c r="I11" s="184"/>
      <c r="J11" s="184"/>
    </row>
    <row r="12" spans="1:13" ht="28.5" thickBot="1" x14ac:dyDescent="0.4">
      <c r="A12" s="206" t="s">
        <v>6</v>
      </c>
      <c r="B12" s="207"/>
      <c r="C12" s="207"/>
      <c r="D12" s="207"/>
      <c r="E12" s="75" t="s">
        <v>71</v>
      </c>
      <c r="F12" s="76" t="s">
        <v>72</v>
      </c>
      <c r="G12" s="77" t="s">
        <v>73</v>
      </c>
      <c r="H12" s="168" t="s">
        <v>71</v>
      </c>
      <c r="I12" s="169" t="s">
        <v>72</v>
      </c>
      <c r="J12" s="170" t="s">
        <v>73</v>
      </c>
    </row>
    <row r="13" spans="1:13" x14ac:dyDescent="0.35">
      <c r="A13" s="208"/>
      <c r="B13" s="209"/>
      <c r="C13" s="209"/>
      <c r="D13" s="209"/>
      <c r="E13" s="78"/>
      <c r="F13" s="78"/>
      <c r="G13" s="79"/>
      <c r="H13" s="78"/>
      <c r="I13" s="78"/>
      <c r="J13" s="79"/>
    </row>
    <row r="14" spans="1:13" x14ac:dyDescent="0.35">
      <c r="A14" s="208" t="s">
        <v>173</v>
      </c>
      <c r="B14" s="209"/>
      <c r="C14" s="209"/>
      <c r="D14" s="210"/>
      <c r="E14" s="79"/>
      <c r="F14" s="79"/>
      <c r="G14" s="79"/>
      <c r="H14" s="79"/>
      <c r="I14" s="79"/>
      <c r="J14" s="79"/>
    </row>
    <row r="15" spans="1:13" x14ac:dyDescent="0.35">
      <c r="A15" s="80"/>
      <c r="B15" s="81"/>
      <c r="C15" s="81"/>
      <c r="D15" s="81"/>
      <c r="E15" s="79"/>
      <c r="F15" s="79"/>
      <c r="G15" s="79"/>
      <c r="H15" s="79"/>
      <c r="I15" s="79"/>
      <c r="J15" s="79"/>
    </row>
    <row r="16" spans="1:13" ht="21.75" customHeight="1" x14ac:dyDescent="0.35">
      <c r="A16" s="211" t="s">
        <v>74</v>
      </c>
      <c r="B16" s="212"/>
      <c r="C16" s="212"/>
      <c r="D16" s="213"/>
      <c r="E16" s="82">
        <v>188189.03</v>
      </c>
      <c r="F16" s="79">
        <v>218786.89</v>
      </c>
      <c r="G16" s="79">
        <f>E16+F16</f>
        <v>406975.92000000004</v>
      </c>
      <c r="H16" s="238">
        <v>188189.03</v>
      </c>
      <c r="I16" s="239">
        <f>SUM(Evaluation!AD12:AD69)</f>
        <v>216776.41999999993</v>
      </c>
      <c r="J16" s="239">
        <f>H16+I16</f>
        <v>404965.44999999995</v>
      </c>
    </row>
    <row r="17" spans="1:12" ht="21.75" customHeight="1" x14ac:dyDescent="0.35">
      <c r="A17" s="211" t="s">
        <v>82</v>
      </c>
      <c r="B17" s="212"/>
      <c r="C17" s="212"/>
      <c r="D17" s="213"/>
      <c r="E17" s="82">
        <v>411568.56000000006</v>
      </c>
      <c r="F17" s="79">
        <v>206348.08</v>
      </c>
      <c r="G17" s="79">
        <f>E17+F17</f>
        <v>617916.64</v>
      </c>
      <c r="H17" s="238">
        <v>411568.56000000006</v>
      </c>
      <c r="I17" s="239">
        <f>SUM(Evaluation!AD10:AD11,Evaluation!AD70:AD497)</f>
        <v>183489.34154002924</v>
      </c>
      <c r="J17" s="239">
        <f>H17+I17</f>
        <v>595057.90154002933</v>
      </c>
    </row>
    <row r="18" spans="1:12" ht="21.75" customHeight="1" x14ac:dyDescent="0.35">
      <c r="A18" s="211" t="s">
        <v>80</v>
      </c>
      <c r="B18" s="212"/>
      <c r="C18" s="212"/>
      <c r="D18" s="213"/>
      <c r="E18" s="82">
        <v>2870</v>
      </c>
      <c r="F18" s="79">
        <v>307.5</v>
      </c>
      <c r="G18" s="79">
        <f>E18+F18</f>
        <v>3177.5</v>
      </c>
      <c r="H18" s="238">
        <v>2870</v>
      </c>
      <c r="I18" s="239">
        <f>Table37[[#Totals],[Net Amount]]</f>
        <v>307.5</v>
      </c>
      <c r="J18" s="239">
        <f>H18+I18</f>
        <v>3177.5</v>
      </c>
    </row>
    <row r="19" spans="1:12" ht="21.75" customHeight="1" x14ac:dyDescent="0.35">
      <c r="A19" s="128"/>
      <c r="B19" s="130"/>
      <c r="C19" s="130"/>
      <c r="D19" s="129"/>
      <c r="E19" s="82"/>
      <c r="F19" s="79"/>
      <c r="G19" s="79"/>
      <c r="H19" s="82"/>
      <c r="I19" s="79"/>
      <c r="J19" s="79"/>
    </row>
    <row r="20" spans="1:12" ht="21.75" customHeight="1" x14ac:dyDescent="0.35">
      <c r="A20" s="128"/>
      <c r="B20" s="130"/>
      <c r="C20" s="130"/>
      <c r="D20" s="129"/>
      <c r="E20" s="82"/>
      <c r="F20" s="79"/>
      <c r="G20" s="79"/>
      <c r="H20" s="82"/>
      <c r="I20" s="79"/>
      <c r="J20" s="79"/>
    </row>
    <row r="21" spans="1:12" ht="21.75" customHeight="1" x14ac:dyDescent="0.35">
      <c r="A21" s="128"/>
      <c r="B21" s="130"/>
      <c r="C21" s="130"/>
      <c r="D21" s="129"/>
      <c r="E21" s="82"/>
      <c r="F21" s="79"/>
      <c r="G21" s="79"/>
      <c r="H21" s="82"/>
      <c r="I21" s="79"/>
      <c r="J21" s="79"/>
    </row>
    <row r="22" spans="1:12" ht="21.75" customHeight="1" x14ac:dyDescent="0.35">
      <c r="A22" s="128"/>
      <c r="B22" s="130"/>
      <c r="C22" s="130"/>
      <c r="D22" s="129"/>
      <c r="E22" s="82"/>
      <c r="F22" s="79"/>
      <c r="G22" s="79"/>
      <c r="H22" s="82"/>
      <c r="I22" s="79"/>
      <c r="J22" s="79"/>
    </row>
    <row r="23" spans="1:12" x14ac:dyDescent="0.35">
      <c r="A23" s="190"/>
      <c r="B23" s="191"/>
      <c r="C23" s="191"/>
      <c r="D23" s="192"/>
      <c r="E23" s="83"/>
      <c r="F23" s="79"/>
      <c r="G23" s="79"/>
      <c r="H23" s="83"/>
      <c r="I23" s="79"/>
      <c r="J23" s="79"/>
    </row>
    <row r="24" spans="1:12" ht="16.899999999999999" customHeight="1" x14ac:dyDescent="0.35">
      <c r="A24" s="190"/>
      <c r="B24" s="191"/>
      <c r="C24" s="191"/>
      <c r="D24" s="192"/>
      <c r="E24" s="79"/>
      <c r="F24" s="83"/>
      <c r="G24" s="79"/>
      <c r="H24" s="79"/>
      <c r="I24" s="83"/>
      <c r="J24" s="79"/>
    </row>
    <row r="25" spans="1:12" x14ac:dyDescent="0.35">
      <c r="A25" s="190"/>
      <c r="B25" s="191"/>
      <c r="C25" s="191"/>
      <c r="D25" s="192"/>
      <c r="E25" s="79"/>
      <c r="F25" s="83"/>
      <c r="G25" s="79"/>
      <c r="H25" s="79"/>
      <c r="I25" s="83"/>
      <c r="J25" s="79"/>
    </row>
    <row r="26" spans="1:12" ht="15" thickBot="1" x14ac:dyDescent="0.4">
      <c r="A26" s="193"/>
      <c r="B26" s="194"/>
      <c r="C26" s="194"/>
      <c r="D26" s="195"/>
      <c r="E26" s="79"/>
      <c r="F26" s="83"/>
      <c r="G26" s="79"/>
      <c r="H26" s="79"/>
      <c r="I26" s="83"/>
      <c r="J26" s="79"/>
    </row>
    <row r="27" spans="1:12" ht="34.9" customHeight="1" thickBot="1" x14ac:dyDescent="0.4">
      <c r="A27" s="196" t="s">
        <v>34</v>
      </c>
      <c r="B27" s="197"/>
      <c r="C27" s="197"/>
      <c r="D27" s="197"/>
      <c r="E27" s="88">
        <f t="shared" ref="E27:J27" si="0">SUM(E16:E26)</f>
        <v>602627.59000000008</v>
      </c>
      <c r="F27" s="88">
        <f t="shared" si="0"/>
        <v>425442.47</v>
      </c>
      <c r="G27" s="88">
        <f t="shared" si="0"/>
        <v>1028070.06</v>
      </c>
      <c r="H27" s="240">
        <f t="shared" si="0"/>
        <v>602627.59000000008</v>
      </c>
      <c r="I27" s="240">
        <f t="shared" si="0"/>
        <v>400573.2615400292</v>
      </c>
      <c r="J27" s="240">
        <f t="shared" si="0"/>
        <v>1003200.8515400293</v>
      </c>
      <c r="K27" s="173"/>
      <c r="L27" s="173"/>
    </row>
    <row r="28" spans="1:12" ht="34.9" customHeight="1" thickBot="1" x14ac:dyDescent="0.4">
      <c r="A28" s="198" t="s">
        <v>677</v>
      </c>
      <c r="B28" s="199"/>
      <c r="C28" s="199"/>
      <c r="D28" s="199"/>
      <c r="E28" s="199"/>
      <c r="F28" s="199"/>
      <c r="G28" s="200"/>
    </row>
    <row r="29" spans="1:12" x14ac:dyDescent="0.35">
      <c r="A29" s="185" t="s">
        <v>75</v>
      </c>
      <c r="B29" s="186"/>
      <c r="C29" s="186"/>
      <c r="D29" s="186"/>
      <c r="E29" s="187" t="s">
        <v>76</v>
      </c>
      <c r="F29" s="188"/>
      <c r="G29" s="189"/>
    </row>
    <row r="30" spans="1:12" x14ac:dyDescent="0.35">
      <c r="A30" s="80"/>
      <c r="B30" s="81"/>
      <c r="C30" s="81"/>
      <c r="D30" s="81"/>
      <c r="E30" s="89"/>
      <c r="F30" s="90"/>
      <c r="G30" s="71"/>
    </row>
    <row r="31" spans="1:12" x14ac:dyDescent="0.35">
      <c r="A31" s="80"/>
      <c r="B31" s="81"/>
      <c r="C31" s="81"/>
      <c r="D31" s="81"/>
      <c r="E31" s="89"/>
      <c r="F31" s="90"/>
      <c r="G31" s="71"/>
    </row>
    <row r="32" spans="1:12" x14ac:dyDescent="0.35">
      <c r="A32" s="80"/>
      <c r="B32" s="81"/>
      <c r="C32" s="81"/>
      <c r="D32" s="81"/>
      <c r="E32" s="89"/>
      <c r="F32" s="90"/>
      <c r="G32" s="71"/>
    </row>
    <row r="33" spans="1:7" x14ac:dyDescent="0.35">
      <c r="A33" s="80"/>
      <c r="B33" s="81"/>
      <c r="C33" s="81"/>
      <c r="D33" s="81"/>
      <c r="E33" s="89"/>
      <c r="F33" s="90"/>
      <c r="G33" s="71"/>
    </row>
    <row r="34" spans="1:7" x14ac:dyDescent="0.35">
      <c r="A34" s="80"/>
      <c r="B34" s="81"/>
      <c r="C34" s="81"/>
      <c r="D34" s="81"/>
      <c r="E34" s="89"/>
      <c r="F34" s="90"/>
      <c r="G34" s="71"/>
    </row>
    <row r="35" spans="1:7" x14ac:dyDescent="0.35">
      <c r="A35" s="80"/>
      <c r="B35" s="81"/>
      <c r="C35" s="81"/>
      <c r="D35" s="81"/>
      <c r="E35" s="89"/>
      <c r="F35" s="90"/>
      <c r="G35" s="71"/>
    </row>
    <row r="36" spans="1:7" x14ac:dyDescent="0.35">
      <c r="A36" s="72"/>
      <c r="B36" s="73"/>
      <c r="C36" s="73"/>
      <c r="D36" s="73"/>
      <c r="E36" s="72"/>
      <c r="F36" s="73"/>
      <c r="G36" s="84"/>
    </row>
    <row r="37" spans="1:7" ht="15" thickBot="1" x14ac:dyDescent="0.4">
      <c r="A37" s="85"/>
      <c r="B37" s="86"/>
      <c r="C37" s="86"/>
      <c r="D37" s="86"/>
      <c r="E37" s="85" t="s">
        <v>77</v>
      </c>
      <c r="F37" s="86"/>
      <c r="G37" s="87"/>
    </row>
    <row r="38" spans="1:7" x14ac:dyDescent="0.35">
      <c r="A38" s="73" t="s">
        <v>78</v>
      </c>
      <c r="B38" s="73"/>
      <c r="C38" s="73"/>
      <c r="D38" s="73"/>
      <c r="E38" s="73"/>
      <c r="F38" s="73"/>
      <c r="G38" s="73"/>
    </row>
  </sheetData>
  <mergeCells count="22">
    <mergeCell ref="A1:G1"/>
    <mergeCell ref="A6:D6"/>
    <mergeCell ref="A7:D7"/>
    <mergeCell ref="F8:G8"/>
    <mergeCell ref="A9:G9"/>
    <mergeCell ref="A2:G2"/>
    <mergeCell ref="H11:J11"/>
    <mergeCell ref="A29:D29"/>
    <mergeCell ref="E29:G29"/>
    <mergeCell ref="A25:D25"/>
    <mergeCell ref="A26:D26"/>
    <mergeCell ref="A27:D27"/>
    <mergeCell ref="A28:G28"/>
    <mergeCell ref="A24:D24"/>
    <mergeCell ref="A10:G11"/>
    <mergeCell ref="A12:D12"/>
    <mergeCell ref="A13:D13"/>
    <mergeCell ref="A14:D14"/>
    <mergeCell ref="A16:D16"/>
    <mergeCell ref="A23:D23"/>
    <mergeCell ref="A17:D17"/>
    <mergeCell ref="A18:D18"/>
  </mergeCells>
  <printOptions horizontalCentered="1" verticalCentered="1"/>
  <pageMargins left="0.70866141732283505" right="0.70866141732283505" top="1.04270833333333" bottom="0.74803149606299202" header="0.31496062992126" footer="0.31496062992126"/>
  <pageSetup paperSize="9" scale="96" orientation="portrait" verticalDpi="4294967293" r:id="rId1"/>
  <headerFooter>
    <oddHeader>&amp;R&amp;G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12"/>
  <sheetViews>
    <sheetView view="pageBreakPreview" topLeftCell="Q1" zoomScale="70" zoomScaleNormal="85" zoomScaleSheetLayoutView="70" workbookViewId="0">
      <selection activeCell="Y15" sqref="Y15"/>
    </sheetView>
  </sheetViews>
  <sheetFormatPr defaultColWidth="9.1796875" defaultRowHeight="14.5" x14ac:dyDescent="0.35"/>
  <cols>
    <col min="1" max="1" width="30.54296875" style="8" customWidth="1"/>
    <col min="2" max="2" width="22.81640625" style="8" customWidth="1"/>
    <col min="3" max="3" width="14" style="8" customWidth="1"/>
    <col min="4" max="4" width="12.81640625" style="8" customWidth="1"/>
    <col min="5" max="5" width="10.7265625" style="8" bestFit="1" customWidth="1"/>
    <col min="6" max="6" width="36.26953125" style="13" bestFit="1" customWidth="1"/>
    <col min="7" max="7" width="15.1796875" style="13" bestFit="1" customWidth="1"/>
    <col min="8" max="8" width="33.26953125" style="8" bestFit="1" customWidth="1"/>
    <col min="9" max="9" width="14.1796875" style="8" bestFit="1" customWidth="1"/>
    <col min="10" max="10" width="13.1796875" style="8" bestFit="1" customWidth="1"/>
    <col min="11" max="11" width="12.1796875" style="8" bestFit="1" customWidth="1"/>
    <col min="12" max="12" width="12.54296875" style="8" bestFit="1" customWidth="1"/>
    <col min="13" max="13" width="12.26953125" style="8" bestFit="1" customWidth="1"/>
    <col min="14" max="14" width="15" style="8" bestFit="1" customWidth="1"/>
    <col min="15" max="15" width="18.81640625" style="8" customWidth="1"/>
    <col min="16" max="16" width="11.81640625" style="127" bestFit="1" customWidth="1"/>
    <col min="17" max="17" width="15.7265625" style="123" bestFit="1" customWidth="1"/>
    <col min="18" max="18" width="14.453125" style="8" customWidth="1"/>
    <col min="19" max="19" width="12.453125" style="8" customWidth="1"/>
    <col min="20" max="20" width="16.1796875" style="8" customWidth="1"/>
    <col min="21" max="21" width="13.26953125" style="8" customWidth="1"/>
    <col min="22" max="22" width="19.26953125" customWidth="1"/>
    <col min="23" max="23" width="19.26953125" style="8" customWidth="1"/>
    <col min="24" max="24" width="20.26953125" style="8" customWidth="1"/>
    <col min="25" max="25" width="19.1796875" style="8" customWidth="1"/>
    <col min="26" max="26" width="16.1796875" style="8" customWidth="1"/>
    <col min="27" max="27" width="16.1796875" style="171" customWidth="1"/>
    <col min="28" max="28" width="19.26953125" style="8" customWidth="1"/>
    <col min="29" max="29" width="15" style="8" customWidth="1"/>
    <col min="30" max="30" width="17.54296875" style="8" customWidth="1"/>
    <col min="31" max="31" width="24.81640625" style="8" bestFit="1" customWidth="1"/>
    <col min="32" max="32" width="16.54296875" style="8" customWidth="1"/>
    <col min="33" max="33" width="17.81640625" style="174" bestFit="1" customWidth="1"/>
    <col min="34" max="34" width="12.26953125" style="8" customWidth="1"/>
    <col min="35" max="35" width="9.1796875" style="171"/>
    <col min="36" max="16384" width="9.1796875" style="8"/>
  </cols>
  <sheetData>
    <row r="1" spans="1:35" ht="14" x14ac:dyDescent="0.3">
      <c r="P1" s="123"/>
      <c r="V1" s="8"/>
    </row>
    <row r="2" spans="1:35" ht="25" x14ac:dyDescent="0.5">
      <c r="A2" s="227" t="s">
        <v>19</v>
      </c>
      <c r="B2" s="227"/>
      <c r="C2" s="227"/>
      <c r="D2" s="227"/>
      <c r="E2" s="227"/>
      <c r="F2" s="8"/>
      <c r="G2" s="8"/>
      <c r="P2" s="123"/>
      <c r="V2" s="8"/>
    </row>
    <row r="3" spans="1:35" ht="14" x14ac:dyDescent="0.3">
      <c r="A3" s="228" t="s">
        <v>57</v>
      </c>
      <c r="B3" s="228"/>
      <c r="C3" s="228"/>
      <c r="D3" s="228"/>
      <c r="E3" s="228"/>
      <c r="F3" s="8"/>
      <c r="G3" s="8"/>
      <c r="P3" s="123"/>
      <c r="V3" s="8"/>
    </row>
    <row r="4" spans="1:35" ht="14" x14ac:dyDescent="0.3">
      <c r="A4" s="9" t="s">
        <v>20</v>
      </c>
      <c r="B4" s="9">
        <v>4</v>
      </c>
      <c r="F4" s="8"/>
      <c r="G4" s="8"/>
      <c r="P4" s="123"/>
      <c r="V4" s="8"/>
    </row>
    <row r="5" spans="1:35" ht="14" x14ac:dyDescent="0.3">
      <c r="A5" s="9" t="s">
        <v>16</v>
      </c>
      <c r="B5" s="9" t="s">
        <v>88</v>
      </c>
      <c r="F5" s="8"/>
      <c r="G5" s="8"/>
      <c r="P5" s="123"/>
      <c r="V5" s="8"/>
    </row>
    <row r="6" spans="1:35" ht="14" x14ac:dyDescent="0.3">
      <c r="A6" s="9" t="s">
        <v>55</v>
      </c>
      <c r="B6" s="9" t="s">
        <v>87</v>
      </c>
      <c r="F6" s="8"/>
      <c r="G6" s="8"/>
      <c r="I6" s="9"/>
      <c r="P6" s="123"/>
      <c r="V6" s="8"/>
    </row>
    <row r="7" spans="1:35" ht="14" x14ac:dyDescent="0.3">
      <c r="A7" s="9" t="s">
        <v>89</v>
      </c>
      <c r="B7" s="10">
        <v>44920</v>
      </c>
      <c r="D7" s="9"/>
      <c r="E7" s="9"/>
      <c r="F7" s="8"/>
      <c r="G7" s="8"/>
      <c r="H7" s="11"/>
      <c r="I7" s="12"/>
      <c r="P7" s="123"/>
      <c r="V7" s="8"/>
    </row>
    <row r="8" spans="1:35" ht="14" x14ac:dyDescent="0.3">
      <c r="A8" s="9"/>
      <c r="B8" s="9"/>
      <c r="C8" s="10"/>
      <c r="D8" s="9"/>
      <c r="E8" s="9"/>
      <c r="F8" s="8"/>
      <c r="G8" s="8"/>
      <c r="H8" s="11"/>
      <c r="I8" s="12"/>
      <c r="P8" s="123"/>
      <c r="V8" s="8"/>
    </row>
    <row r="9" spans="1:35" s="15" customFormat="1" ht="61.5" customHeight="1" x14ac:dyDescent="0.35">
      <c r="A9" s="7" t="s">
        <v>13</v>
      </c>
      <c r="B9" s="7" t="s">
        <v>90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84</v>
      </c>
      <c r="H9" s="3" t="s">
        <v>18</v>
      </c>
      <c r="I9" s="3" t="s">
        <v>22</v>
      </c>
      <c r="J9" s="3" t="s">
        <v>0</v>
      </c>
      <c r="K9" s="3" t="s">
        <v>1</v>
      </c>
      <c r="L9" s="3" t="s">
        <v>2</v>
      </c>
      <c r="M9" s="3" t="s">
        <v>7</v>
      </c>
      <c r="N9" s="3" t="s">
        <v>9</v>
      </c>
      <c r="O9" s="3" t="s">
        <v>8</v>
      </c>
      <c r="P9" s="124" t="s">
        <v>10</v>
      </c>
      <c r="Q9" s="124" t="s">
        <v>11</v>
      </c>
      <c r="R9" s="4" t="s">
        <v>28</v>
      </c>
      <c r="S9" s="4" t="s">
        <v>29</v>
      </c>
      <c r="T9" s="4" t="s">
        <v>27</v>
      </c>
      <c r="U9" s="4" t="s">
        <v>101</v>
      </c>
      <c r="V9" s="5" t="s">
        <v>12</v>
      </c>
      <c r="W9" s="5" t="s">
        <v>38</v>
      </c>
      <c r="X9" s="5" t="s">
        <v>23</v>
      </c>
      <c r="Y9" s="5" t="s">
        <v>25</v>
      </c>
      <c r="Z9" s="5" t="s">
        <v>24</v>
      </c>
      <c r="AA9" s="181" t="s">
        <v>679</v>
      </c>
      <c r="AB9" s="6" t="s">
        <v>26</v>
      </c>
      <c r="AC9" s="135" t="s">
        <v>175</v>
      </c>
      <c r="AD9" s="135" t="s">
        <v>176</v>
      </c>
      <c r="AE9" s="14" t="s">
        <v>14</v>
      </c>
      <c r="AG9" s="175" t="s">
        <v>26</v>
      </c>
      <c r="AI9" s="179"/>
    </row>
    <row r="10" spans="1:35" ht="30" customHeight="1" x14ac:dyDescent="0.3">
      <c r="A10" s="91" t="s">
        <v>96</v>
      </c>
      <c r="B10" s="91" t="s">
        <v>98</v>
      </c>
      <c r="C10" s="16">
        <v>1</v>
      </c>
      <c r="D10" s="16">
        <v>74602</v>
      </c>
      <c r="E10" s="16"/>
      <c r="F10" s="17" t="s">
        <v>83</v>
      </c>
      <c r="G10" s="17" t="s">
        <v>86</v>
      </c>
      <c r="H10" s="17" t="s">
        <v>100</v>
      </c>
      <c r="I10" s="16">
        <v>1</v>
      </c>
      <c r="J10" s="16"/>
      <c r="K10" s="16"/>
      <c r="L10" s="16"/>
      <c r="M10" s="16"/>
      <c r="N10" s="92" t="s">
        <v>56</v>
      </c>
      <c r="O10" s="16">
        <f>ROUND(IF(N10="m3",I10*J10*K10*L10,IF(N10="m2-LxH",I10*J10*L10,IF(N10="m2-LxW",I10*J10*K10,IF(N10="rm",I10*L10,IF(N10="lm",I10*J10,IF(N10="unit",I10,"NA")))))),2)</f>
        <v>1</v>
      </c>
      <c r="P10" s="18">
        <v>44830</v>
      </c>
      <c r="Q10" s="18"/>
      <c r="R10" s="19">
        <v>1</v>
      </c>
      <c r="S10" s="19">
        <v>1</v>
      </c>
      <c r="T10" s="19">
        <v>0</v>
      </c>
      <c r="U10" s="20">
        <f>IF(ISBLANK(Table1[[#This Row],[OHC Date]]),$B$7-Table1[[#This Row],[HOC Date]]+1,Table1[[#This Row],[OHC Date]]-Table1[[#This Row],[HOC Date]]+1)/7</f>
        <v>13</v>
      </c>
      <c r="V10" s="21">
        <v>50703.26</v>
      </c>
      <c r="W10" s="21">
        <v>2807</v>
      </c>
      <c r="X10" s="21">
        <f>ROUND(0.7*Table1[[#This Row],[E&amp;D Rate per unit]]*R10*Table1[[#This Row],[Quantity]],2)</f>
        <v>35492.28</v>
      </c>
      <c r="Y10" s="21">
        <f t="shared" ref="Y10:Y39" si="0">ROUND(O10*U10*W10*S10,2)</f>
        <v>36491</v>
      </c>
      <c r="Z10" s="21">
        <f>ROUND(0.3*T10*Table1[[#This Row],[E&amp;D Rate per unit]]*Table1[[#This Row],[Quantity]],2)</f>
        <v>0</v>
      </c>
      <c r="AA10" s="19">
        <v>1</v>
      </c>
      <c r="AB10" s="21">
        <f t="shared" ref="AB10" si="1">ROUND(X10+Z10+Y10,2)</f>
        <v>71983.28</v>
      </c>
      <c r="AC10" s="21">
        <v>59953.279999999999</v>
      </c>
      <c r="AD10" s="21">
        <f>Table1[[#This Row],[Total Amount]]-Table1[[#This Row],[Previous Amount]]</f>
        <v>12030</v>
      </c>
      <c r="AE10" s="16" t="s">
        <v>85</v>
      </c>
      <c r="AG10" s="174">
        <v>71983.28</v>
      </c>
      <c r="AH10" s="178">
        <f>AG10-Table1[[#This Row],[Total Amount]]</f>
        <v>0</v>
      </c>
      <c r="AI10" s="171">
        <f>AH10/AG10</f>
        <v>0</v>
      </c>
    </row>
    <row r="11" spans="1:35" ht="30" customHeight="1" x14ac:dyDescent="0.3">
      <c r="A11" s="91" t="s">
        <v>92</v>
      </c>
      <c r="B11" s="91" t="s">
        <v>99</v>
      </c>
      <c r="C11" s="16"/>
      <c r="D11" s="16"/>
      <c r="E11" s="16"/>
      <c r="F11" s="17" t="s">
        <v>102</v>
      </c>
      <c r="G11" s="17" t="s">
        <v>103</v>
      </c>
      <c r="H11" s="16" t="s">
        <v>103</v>
      </c>
      <c r="I11" s="16">
        <v>1</v>
      </c>
      <c r="J11" s="16"/>
      <c r="K11" s="16"/>
      <c r="L11" s="16"/>
      <c r="M11" s="16"/>
      <c r="N11" s="92" t="s">
        <v>56</v>
      </c>
      <c r="O11" s="16">
        <f>ROUND(IF(N11="m3",I11*J11*K11*L11,IF(N11="m2-LxH",I11*J11*L11,IF(N11="m2-LxW",I11*J11*K11,IF(N11="rm",I11*L11,IF(N11="lm",I11*J11,IF(N11="unit",I11,"NA")))))),2)</f>
        <v>1</v>
      </c>
      <c r="P11" s="18">
        <v>44819</v>
      </c>
      <c r="Q11" s="18">
        <v>44835</v>
      </c>
      <c r="R11" s="19">
        <v>0</v>
      </c>
      <c r="S11" s="19">
        <v>1</v>
      </c>
      <c r="T11" s="19">
        <v>0</v>
      </c>
      <c r="U11" s="20">
        <f>IF(ISBLANK(Table1[[#This Row],[OHC Date]]),$B$7-Table1[[#This Row],[HOC Date]]+1,Table1[[#This Row],[OHC Date]]-Table1[[#This Row],[HOC Date]]+1)/7</f>
        <v>2.4285714285714284</v>
      </c>
      <c r="V11" s="21">
        <v>0</v>
      </c>
      <c r="W11" s="21">
        <v>200</v>
      </c>
      <c r="X11" s="21">
        <f>ROUND(0.7*Table1[[#This Row],[E&amp;D Rate per unit]]*R11*Table1[[#This Row],[Quantity]],2)</f>
        <v>0</v>
      </c>
      <c r="Y11" s="21">
        <f t="shared" si="0"/>
        <v>485.71</v>
      </c>
      <c r="Z11" s="21">
        <f>ROUND(0.3*T11*Table1[[#This Row],[E&amp;D Rate per unit]]*Table1[[#This Row],[Quantity]],2)</f>
        <v>0</v>
      </c>
      <c r="AA11" s="19">
        <v>1</v>
      </c>
      <c r="AB11" s="21">
        <f>ROUND(X11+Z11+Y11,2)*Table1[[#This Row],[Until WA Approved Only Approved this %]]</f>
        <v>485.71</v>
      </c>
      <c r="AC11" s="21">
        <v>485.71</v>
      </c>
      <c r="AD11" s="21">
        <f>Table1[[#This Row],[Total Amount]]-Table1[[#This Row],[Previous Amount]]</f>
        <v>0</v>
      </c>
      <c r="AE11" s="16" t="s">
        <v>104</v>
      </c>
      <c r="AG11" s="174">
        <v>485.71</v>
      </c>
      <c r="AH11" s="178">
        <f>AG11-Table1[[#This Row],[Total Amount]]</f>
        <v>0</v>
      </c>
      <c r="AI11" s="171">
        <f t="shared" ref="AI11:AI74" si="2">AH11/AG11</f>
        <v>0</v>
      </c>
    </row>
    <row r="12" spans="1:35" ht="30" customHeight="1" x14ac:dyDescent="0.3">
      <c r="A12" s="108" t="s">
        <v>159</v>
      </c>
      <c r="B12" s="91" t="s">
        <v>99</v>
      </c>
      <c r="C12" s="109"/>
      <c r="D12" s="109"/>
      <c r="E12" s="109"/>
      <c r="F12" s="110" t="s">
        <v>160</v>
      </c>
      <c r="G12" s="17"/>
      <c r="H12" s="109"/>
      <c r="I12" s="109">
        <v>1</v>
      </c>
      <c r="J12" s="16"/>
      <c r="K12" s="16"/>
      <c r="L12" s="16"/>
      <c r="M12" s="16"/>
      <c r="N12" s="111" t="s">
        <v>56</v>
      </c>
      <c r="O12" s="16">
        <f>ROUND(IF(N12="m3",I12*J12*K12*L12,IF(N12="m2-LxH",I12*J12*L12,IF(N12="m2-LxW",I12*J12*K12,IF(N12="rm",I12*L12,IF(N12="lm",I12*J12,IF(N12="unit",I12,"NA")))))),2)</f>
        <v>1</v>
      </c>
      <c r="P12" s="18">
        <v>44824</v>
      </c>
      <c r="Q12" s="125">
        <v>44890</v>
      </c>
      <c r="R12" s="112">
        <v>0.95</v>
      </c>
      <c r="S12" s="112">
        <v>0.95</v>
      </c>
      <c r="T12" s="112">
        <v>0</v>
      </c>
      <c r="U12" s="113">
        <f>IF(ISBLANK(Table1[[#This Row],[OHC Date]]),$B$7-Table1[[#This Row],[HOC Date]]+1,Table1[[#This Row],[OHC Date]]-Table1[[#This Row],[HOC Date]]+1)/7</f>
        <v>9.5714285714285712</v>
      </c>
      <c r="V12" s="114">
        <v>191160</v>
      </c>
      <c r="W12" s="114">
        <v>6716</v>
      </c>
      <c r="X12" s="114">
        <v>0</v>
      </c>
      <c r="Y12" s="21">
        <v>0</v>
      </c>
      <c r="Z12" s="114">
        <f>ROUND(0.3*T12*Table1[[#This Row],[E&amp;D Rate per unit]]*Table1[[#This Row],[Quantity]],2)</f>
        <v>0</v>
      </c>
      <c r="AA12" s="112"/>
      <c r="AB12" s="114">
        <v>0</v>
      </c>
      <c r="AC12" s="136">
        <v>188189.03</v>
      </c>
      <c r="AD12" s="136">
        <f>Table1[[#This Row],[Total Amount]]-Table1[[#This Row],[Previous Amount]]</f>
        <v>-188189.03</v>
      </c>
      <c r="AE12" s="115"/>
      <c r="AG12" s="174">
        <v>0</v>
      </c>
      <c r="AH12" s="178">
        <f>AG12-Table1[[#This Row],[Total Amount]]</f>
        <v>0</v>
      </c>
    </row>
    <row r="13" spans="1:35" ht="30" customHeight="1" x14ac:dyDescent="0.3">
      <c r="A13" s="108" t="s">
        <v>159</v>
      </c>
      <c r="B13" s="91" t="s">
        <v>99</v>
      </c>
      <c r="C13" s="109"/>
      <c r="D13" s="109"/>
      <c r="E13" s="109"/>
      <c r="F13" s="110" t="s">
        <v>160</v>
      </c>
      <c r="G13" s="17"/>
      <c r="H13" s="109"/>
      <c r="I13" s="109">
        <v>1</v>
      </c>
      <c r="J13" s="16"/>
      <c r="K13" s="16"/>
      <c r="L13" s="16"/>
      <c r="M13" s="16"/>
      <c r="N13" s="111" t="s">
        <v>56</v>
      </c>
      <c r="O13" s="16">
        <f>ROUND(IF(N13="m3",I13*J13*K13*L13,IF(N13="m2-LxH",I13*J13*L13,IF(N13="m2-LxW",I13*J13*K13,IF(N13="rm",I13*L13,IF(N13="lm",I13*J13,IF(N13="unit",I13,"NA")))))),2)</f>
        <v>1</v>
      </c>
      <c r="P13" s="18">
        <v>44824</v>
      </c>
      <c r="Q13" s="125"/>
      <c r="R13" s="112">
        <v>1</v>
      </c>
      <c r="S13" s="112">
        <v>0</v>
      </c>
      <c r="T13" s="112">
        <v>0</v>
      </c>
      <c r="U13" s="113">
        <f>IF(ISBLANK(Table1[[#This Row],[OHC Date]]),$B$7-Table1[[#This Row],[HOC Date]]+1,Table1[[#This Row],[OHC Date]]-Table1[[#This Row],[HOC Date]]+1)/7</f>
        <v>13.857142857142858</v>
      </c>
      <c r="V13" s="161">
        <f>256937.147396667-298.07-412.71</f>
        <v>256226.36739666699</v>
      </c>
      <c r="W13" s="114"/>
      <c r="X13" s="114">
        <f>ROUND(0.7*Table1[[#This Row],[E&amp;D Rate per unit]]*R13*Table1[[#This Row],[Quantity]],2)</f>
        <v>179358.46</v>
      </c>
      <c r="Y13" s="21">
        <f t="shared" si="0"/>
        <v>0</v>
      </c>
      <c r="Z13" s="114">
        <f>ROUND(0.3*T13*Table1[[#This Row],[E&amp;D Rate per unit]]*Table1[[#This Row],[Quantity]],2)</f>
        <v>0</v>
      </c>
      <c r="AA13" s="19">
        <v>1</v>
      </c>
      <c r="AB13" s="21">
        <f>ROUND(X13+Z13+Y13,2)*Table1[[#This Row],[Until WA Approved Only Approved this %]]</f>
        <v>179358.46</v>
      </c>
      <c r="AC13" s="136"/>
      <c r="AD13" s="136">
        <f>Table1[[#This Row],[Total Amount]]-Table1[[#This Row],[Previous Amount]]</f>
        <v>179358.46</v>
      </c>
      <c r="AE13" s="137" t="s">
        <v>676</v>
      </c>
      <c r="AG13" s="174">
        <v>179856</v>
      </c>
      <c r="AH13" s="178">
        <f>AG13-Table1[[#This Row],[Total Amount]]</f>
        <v>497.54000000000815</v>
      </c>
      <c r="AI13" s="171">
        <f t="shared" si="2"/>
        <v>2.7663241704475143E-3</v>
      </c>
    </row>
    <row r="14" spans="1:35" ht="30" customHeight="1" x14ac:dyDescent="0.3">
      <c r="A14" s="108" t="s">
        <v>159</v>
      </c>
      <c r="B14" s="91" t="s">
        <v>99</v>
      </c>
      <c r="C14" s="109"/>
      <c r="D14" s="109"/>
      <c r="E14" s="109"/>
      <c r="F14" s="17" t="s">
        <v>635</v>
      </c>
      <c r="G14" s="17"/>
      <c r="H14" s="109"/>
      <c r="I14" s="109">
        <v>1</v>
      </c>
      <c r="J14" s="16"/>
      <c r="K14" s="16"/>
      <c r="L14" s="16"/>
      <c r="M14" s="16"/>
      <c r="N14" s="111" t="s">
        <v>56</v>
      </c>
      <c r="O14" s="16">
        <v>1</v>
      </c>
      <c r="P14" s="18">
        <v>44824</v>
      </c>
      <c r="Q14" s="125"/>
      <c r="R14" s="112">
        <v>1</v>
      </c>
      <c r="S14" s="112">
        <v>0</v>
      </c>
      <c r="T14" s="112">
        <v>0</v>
      </c>
      <c r="U14" s="113">
        <f>IF(ISBLANK(Table1[[#This Row],[OHC Date]]),$B$7-Table1[[#This Row],[HOC Date]]+1,Table1[[#This Row],[OHC Date]]-Table1[[#This Row],[HOC Date]]+1)/7</f>
        <v>13.857142857142858</v>
      </c>
      <c r="V14" s="114">
        <v>80440</v>
      </c>
      <c r="W14" s="114"/>
      <c r="X14" s="114">
        <f>ROUND(0.7*Table1[[#This Row],[E&amp;D Rate per unit]]*R14*Table1[[#This Row],[Quantity]],2)</f>
        <v>56308</v>
      </c>
      <c r="Y14" s="21">
        <f t="shared" si="0"/>
        <v>0</v>
      </c>
      <c r="Z14" s="114">
        <f>ROUND(0.3*T14*Table1[[#This Row],[E&amp;D Rate per unit]]*Table1[[#This Row],[Quantity]],2)</f>
        <v>0</v>
      </c>
      <c r="AA14" s="112">
        <v>1</v>
      </c>
      <c r="AB14" s="21">
        <f>ROUND(X14+Z14+Y14,2)*Table1[[#This Row],[Until WA Approved Only Approved this %]]</f>
        <v>56308</v>
      </c>
      <c r="AC14" s="136"/>
      <c r="AD14" s="136">
        <f>Table1[[#This Row],[Total Amount]]-Table1[[#This Row],[Previous Amount]]</f>
        <v>56308</v>
      </c>
      <c r="AE14" s="137" t="s">
        <v>676</v>
      </c>
      <c r="AG14" s="174">
        <v>56308</v>
      </c>
      <c r="AH14" s="178">
        <f>AG14-Table1[[#This Row],[Total Amount]]</f>
        <v>0</v>
      </c>
      <c r="AI14" s="171">
        <f t="shared" si="2"/>
        <v>0</v>
      </c>
    </row>
    <row r="15" spans="1:35" ht="30" customHeight="1" x14ac:dyDescent="0.3">
      <c r="A15" s="91" t="s">
        <v>159</v>
      </c>
      <c r="B15" s="91" t="s">
        <v>99</v>
      </c>
      <c r="C15" s="109">
        <v>1</v>
      </c>
      <c r="D15" s="109">
        <v>74652</v>
      </c>
      <c r="E15" s="109"/>
      <c r="F15" s="17" t="s">
        <v>636</v>
      </c>
      <c r="G15" s="17" t="s">
        <v>638</v>
      </c>
      <c r="H15" s="16" t="s">
        <v>637</v>
      </c>
      <c r="I15" s="109">
        <v>1</v>
      </c>
      <c r="J15" s="16">
        <v>34.200000000000003</v>
      </c>
      <c r="K15" s="16">
        <v>1.3</v>
      </c>
      <c r="L15" s="16">
        <v>5</v>
      </c>
      <c r="M15" s="16">
        <v>1</v>
      </c>
      <c r="N15" s="111" t="s">
        <v>208</v>
      </c>
      <c r="O15" s="16">
        <f>ROUND(IF(N15="m3",I15*J15*K15*L15,IF(N15="m2-LxH",I15*J15*L15,IF(N15="m2-LxW",I15*J15*K15,IF(N15="rm",I15*L15,IF(N15="lm",I15*J15,IF(N15="unit",I15,"NA")))))),2)</f>
        <v>171</v>
      </c>
      <c r="P15" s="18">
        <v>44824</v>
      </c>
      <c r="Q15" s="125"/>
      <c r="R15" s="112">
        <v>0</v>
      </c>
      <c r="S15" s="112">
        <v>1</v>
      </c>
      <c r="T15" s="112">
        <v>0</v>
      </c>
      <c r="U15" s="113">
        <f>IF(ISBLANK(Table1[[#This Row],[OHC Date]]),$B$7-Table1[[#This Row],[HOC Date]]+1,Table1[[#This Row],[OHC Date]]-Table1[[#This Row],[HOC Date]]+1)/7</f>
        <v>13.857142857142858</v>
      </c>
      <c r="V15" s="114">
        <v>0</v>
      </c>
      <c r="W15" s="114">
        <v>0.49</v>
      </c>
      <c r="X15" s="114">
        <f>ROUND(0.7*Table1[[#This Row],[E&amp;D Rate per unit]]*R15*Table1[[#This Row],[Quantity]],2)</f>
        <v>0</v>
      </c>
      <c r="Y15" s="21">
        <f t="shared" si="0"/>
        <v>1161.0899999999999</v>
      </c>
      <c r="Z15" s="114">
        <f>ROUND(0.3*T15*Table1[[#This Row],[E&amp;D Rate per unit]]*Table1[[#This Row],[Quantity]],2)</f>
        <v>0</v>
      </c>
      <c r="AA15" s="19">
        <v>1</v>
      </c>
      <c r="AB15" s="21">
        <f>ROUND(X15+Z15+Y15,2)*Table1[[#This Row],[Until WA Approved Only Approved this %]]</f>
        <v>1161.0899999999999</v>
      </c>
      <c r="AC15" s="136"/>
      <c r="AD15" s="136">
        <f>Table1[[#This Row],[Total Amount]]-Table1[[#This Row],[Previous Amount]]</f>
        <v>1161.0899999999999</v>
      </c>
      <c r="AE15" s="137" t="s">
        <v>676</v>
      </c>
      <c r="AG15" s="174">
        <v>1161.0899999999999</v>
      </c>
      <c r="AH15" s="178">
        <f>AG15-Table1[[#This Row],[Total Amount]]</f>
        <v>0</v>
      </c>
      <c r="AI15" s="171">
        <f t="shared" si="2"/>
        <v>0</v>
      </c>
    </row>
    <row r="16" spans="1:35" ht="30" customHeight="1" x14ac:dyDescent="0.3">
      <c r="A16" s="91" t="s">
        <v>159</v>
      </c>
      <c r="B16" s="91" t="s">
        <v>99</v>
      </c>
      <c r="C16" s="109">
        <v>1</v>
      </c>
      <c r="D16" s="109">
        <v>74652</v>
      </c>
      <c r="E16" s="109"/>
      <c r="F16" s="17" t="s">
        <v>636</v>
      </c>
      <c r="G16" s="17" t="s">
        <v>638</v>
      </c>
      <c r="H16" s="16" t="s">
        <v>637</v>
      </c>
      <c r="I16" s="109">
        <v>1</v>
      </c>
      <c r="J16" s="16">
        <v>25.2</v>
      </c>
      <c r="K16" s="16">
        <v>1.8</v>
      </c>
      <c r="L16" s="16">
        <v>10.5</v>
      </c>
      <c r="M16" s="16">
        <v>5</v>
      </c>
      <c r="N16" s="111" t="s">
        <v>208</v>
      </c>
      <c r="O16" s="16">
        <f>ROUND(IF(N16="m3",I16*J16*K16*L16,IF(N16="m2-LxH",I16*J16*L16,IF(N16="m2-LxW",I16*J16*K16,IF(N16="rm",I16*L16,IF(N16="lm",I16*J16,IF(N16="unit",I16,"NA")))))),2)</f>
        <v>264.60000000000002</v>
      </c>
      <c r="P16" s="18">
        <v>44824</v>
      </c>
      <c r="Q16" s="125"/>
      <c r="R16" s="112">
        <v>0</v>
      </c>
      <c r="S16" s="112">
        <v>1</v>
      </c>
      <c r="T16" s="112">
        <v>0</v>
      </c>
      <c r="U16" s="113">
        <f>IF(ISBLANK(Table1[[#This Row],[OHC Date]]),$B$7-Table1[[#This Row],[HOC Date]]+1,Table1[[#This Row],[OHC Date]]-Table1[[#This Row],[HOC Date]]+1)/7</f>
        <v>13.857142857142858</v>
      </c>
      <c r="V16" s="114">
        <v>0</v>
      </c>
      <c r="W16" s="114">
        <v>0.77</v>
      </c>
      <c r="X16" s="114">
        <f>ROUND(0.7*Table1[[#This Row],[E&amp;D Rate per unit]]*R16*Table1[[#This Row],[Quantity]],2)</f>
        <v>0</v>
      </c>
      <c r="Y16" s="21">
        <f t="shared" si="0"/>
        <v>2823.28</v>
      </c>
      <c r="Z16" s="114">
        <f>ROUND(0.3*T16*Table1[[#This Row],[E&amp;D Rate per unit]]*Table1[[#This Row],[Quantity]],2)</f>
        <v>0</v>
      </c>
      <c r="AA16" s="19">
        <v>1</v>
      </c>
      <c r="AB16" s="21">
        <f>ROUND(X16+Z16+Y16,2)*Table1[[#This Row],[Until WA Approved Only Approved this %]]</f>
        <v>2823.28</v>
      </c>
      <c r="AC16" s="136"/>
      <c r="AD16" s="136">
        <f>Table1[[#This Row],[Total Amount]]-Table1[[#This Row],[Previous Amount]]</f>
        <v>2823.28</v>
      </c>
      <c r="AE16" s="137" t="s">
        <v>676</v>
      </c>
      <c r="AG16" s="174">
        <v>2823.28</v>
      </c>
      <c r="AH16" s="178">
        <f>AG16-Table1[[#This Row],[Total Amount]]</f>
        <v>0</v>
      </c>
      <c r="AI16" s="171">
        <f t="shared" si="2"/>
        <v>0</v>
      </c>
    </row>
    <row r="17" spans="1:35" ht="30" customHeight="1" x14ac:dyDescent="0.3">
      <c r="A17" s="91" t="s">
        <v>159</v>
      </c>
      <c r="B17" s="91" t="s">
        <v>99</v>
      </c>
      <c r="C17" s="109">
        <v>1</v>
      </c>
      <c r="D17" s="109">
        <v>74652</v>
      </c>
      <c r="E17" s="109"/>
      <c r="F17" s="17" t="s">
        <v>636</v>
      </c>
      <c r="G17" s="17" t="s">
        <v>638</v>
      </c>
      <c r="H17" s="16" t="s">
        <v>637</v>
      </c>
      <c r="I17" s="109">
        <v>4</v>
      </c>
      <c r="J17" s="16">
        <v>25.2</v>
      </c>
      <c r="K17" s="16">
        <v>1.8</v>
      </c>
      <c r="L17" s="16">
        <v>1</v>
      </c>
      <c r="M17" s="16">
        <v>4</v>
      </c>
      <c r="N17" s="111" t="s">
        <v>162</v>
      </c>
      <c r="O17" s="16">
        <f t="shared" ref="O17" si="3">ROUND(IF(N17="m3",I17*J17*K17*L17,IF(N17="m2-LxH",I17*J17*L17,IF(N17="m2-LxW",I17*J17*K17,IF(N17="rm",I17*L17,IF(N17="lm",I17*J17,IF(N17="unit",I17,"NA")))))),2)</f>
        <v>181.44</v>
      </c>
      <c r="P17" s="18">
        <v>44824</v>
      </c>
      <c r="Q17" s="125"/>
      <c r="R17" s="112">
        <v>0</v>
      </c>
      <c r="S17" s="112">
        <v>1</v>
      </c>
      <c r="T17" s="112">
        <v>0</v>
      </c>
      <c r="U17" s="113">
        <f>IF(ISBLANK(Table1[[#This Row],[OHC Date]]),$B$7-Table1[[#This Row],[HOC Date]]+1,Table1[[#This Row],[OHC Date]]-Table1[[#This Row],[HOC Date]]+1)/7</f>
        <v>13.857142857142858</v>
      </c>
      <c r="V17" s="114">
        <v>0</v>
      </c>
      <c r="W17" s="114">
        <v>0.7</v>
      </c>
      <c r="X17" s="114">
        <f>ROUND(0.7*Table1[[#This Row],[E&amp;D Rate per unit]]*R17*Table1[[#This Row],[Quantity]],2)</f>
        <v>0</v>
      </c>
      <c r="Y17" s="21">
        <f t="shared" si="0"/>
        <v>1759.97</v>
      </c>
      <c r="Z17" s="114">
        <f>ROUND(0.3*T17*Table1[[#This Row],[E&amp;D Rate per unit]]*Table1[[#This Row],[Quantity]],2)</f>
        <v>0</v>
      </c>
      <c r="AA17" s="19">
        <v>1</v>
      </c>
      <c r="AB17" s="21">
        <f>ROUND(X17+Z17+Y17,2)*Table1[[#This Row],[Until WA Approved Only Approved this %]]</f>
        <v>1759.97</v>
      </c>
      <c r="AC17" s="136"/>
      <c r="AD17" s="136">
        <f>Table1[[#This Row],[Total Amount]]-Table1[[#This Row],[Previous Amount]]</f>
        <v>1759.97</v>
      </c>
      <c r="AE17" s="137" t="s">
        <v>676</v>
      </c>
      <c r="AG17" s="174">
        <v>1759.97</v>
      </c>
      <c r="AH17" s="178">
        <f>AG17-Table1[[#This Row],[Total Amount]]</f>
        <v>0</v>
      </c>
      <c r="AI17" s="171">
        <f t="shared" si="2"/>
        <v>0</v>
      </c>
    </row>
    <row r="18" spans="1:35" ht="30" customHeight="1" x14ac:dyDescent="0.3">
      <c r="A18" s="91" t="s">
        <v>159</v>
      </c>
      <c r="B18" s="91" t="s">
        <v>99</v>
      </c>
      <c r="C18" s="109">
        <v>1</v>
      </c>
      <c r="D18" s="109">
        <v>74652</v>
      </c>
      <c r="E18" s="109"/>
      <c r="F18" s="17" t="s">
        <v>636</v>
      </c>
      <c r="G18" s="17" t="s">
        <v>638</v>
      </c>
      <c r="H18" s="16" t="s">
        <v>637</v>
      </c>
      <c r="I18" s="109">
        <v>1</v>
      </c>
      <c r="J18" s="16">
        <v>7.2</v>
      </c>
      <c r="K18" s="16">
        <v>1.8</v>
      </c>
      <c r="L18" s="16">
        <v>15.5</v>
      </c>
      <c r="M18" s="16">
        <v>1</v>
      </c>
      <c r="N18" s="111" t="s">
        <v>208</v>
      </c>
      <c r="O18" s="16">
        <f t="shared" ref="O18:O47" si="4">ROUND(IF(N18="m3",I18*J18*K18*L18,IF(N18="m2-LxH",I18*J18*L18,IF(N18="m2-LxW",I18*J18*K18,IF(N18="rm",I18*L18,IF(N18="lm",I18*J18,IF(N18="unit",I18,"NA")))))),2)</f>
        <v>111.6</v>
      </c>
      <c r="P18" s="18">
        <v>44824</v>
      </c>
      <c r="Q18" s="125"/>
      <c r="R18" s="112">
        <v>0</v>
      </c>
      <c r="S18" s="112">
        <v>1</v>
      </c>
      <c r="T18" s="112">
        <v>0</v>
      </c>
      <c r="U18" s="113">
        <f>IF(ISBLANK(Table1[[#This Row],[OHC Date]]),$B$7-Table1[[#This Row],[HOC Date]]+1,Table1[[#This Row],[OHC Date]]-Table1[[#This Row],[HOC Date]]+1)/7</f>
        <v>13.857142857142858</v>
      </c>
      <c r="V18" s="114">
        <v>0</v>
      </c>
      <c r="W18" s="114">
        <v>0.77</v>
      </c>
      <c r="X18" s="114">
        <f>ROUND(0.7*Table1[[#This Row],[E&amp;D Rate per unit]]*R18*Table1[[#This Row],[Quantity]],2)</f>
        <v>0</v>
      </c>
      <c r="Y18" s="21">
        <f t="shared" si="0"/>
        <v>1190.77</v>
      </c>
      <c r="Z18" s="114">
        <f>ROUND(0.3*T18*Table1[[#This Row],[E&amp;D Rate per unit]]*Table1[[#This Row],[Quantity]],2)</f>
        <v>0</v>
      </c>
      <c r="AA18" s="19">
        <v>1</v>
      </c>
      <c r="AB18" s="21">
        <f>ROUND(X18+Z18+Y18,2)*Table1[[#This Row],[Until WA Approved Only Approved this %]]</f>
        <v>1190.77</v>
      </c>
      <c r="AC18" s="136"/>
      <c r="AD18" s="136">
        <f>Table1[[#This Row],[Total Amount]]-Table1[[#This Row],[Previous Amount]]</f>
        <v>1190.77</v>
      </c>
      <c r="AE18" s="137" t="s">
        <v>676</v>
      </c>
      <c r="AG18" s="174">
        <v>1190.77</v>
      </c>
      <c r="AH18" s="178">
        <f>AG18-Table1[[#This Row],[Total Amount]]</f>
        <v>0</v>
      </c>
      <c r="AI18" s="171">
        <f t="shared" si="2"/>
        <v>0</v>
      </c>
    </row>
    <row r="19" spans="1:35" ht="30" customHeight="1" x14ac:dyDescent="0.3">
      <c r="A19" s="91" t="s">
        <v>159</v>
      </c>
      <c r="B19" s="91" t="s">
        <v>99</v>
      </c>
      <c r="C19" s="109">
        <v>1</v>
      </c>
      <c r="D19" s="109">
        <v>74652</v>
      </c>
      <c r="E19" s="109"/>
      <c r="F19" s="17" t="s">
        <v>636</v>
      </c>
      <c r="G19" s="17" t="s">
        <v>638</v>
      </c>
      <c r="H19" s="16" t="s">
        <v>637</v>
      </c>
      <c r="I19" s="109">
        <v>1</v>
      </c>
      <c r="J19" s="16">
        <v>14.4</v>
      </c>
      <c r="K19" s="16">
        <v>1.8</v>
      </c>
      <c r="L19" s="16">
        <v>4.2</v>
      </c>
      <c r="M19" s="16">
        <v>1</v>
      </c>
      <c r="N19" s="111" t="s">
        <v>208</v>
      </c>
      <c r="O19" s="16">
        <f t="shared" si="4"/>
        <v>60.48</v>
      </c>
      <c r="P19" s="18">
        <v>44824</v>
      </c>
      <c r="Q19" s="125"/>
      <c r="R19" s="112">
        <v>0</v>
      </c>
      <c r="S19" s="112">
        <v>1</v>
      </c>
      <c r="T19" s="112">
        <v>0</v>
      </c>
      <c r="U19" s="113">
        <f>IF(ISBLANK(Table1[[#This Row],[OHC Date]]),$B$7-Table1[[#This Row],[HOC Date]]+1,Table1[[#This Row],[OHC Date]]-Table1[[#This Row],[HOC Date]]+1)/7</f>
        <v>13.857142857142858</v>
      </c>
      <c r="V19" s="114">
        <v>0</v>
      </c>
      <c r="W19" s="114">
        <v>0.77</v>
      </c>
      <c r="X19" s="114">
        <f>ROUND(0.7*Table1[[#This Row],[E&amp;D Rate per unit]]*R19*Table1[[#This Row],[Quantity]],2)</f>
        <v>0</v>
      </c>
      <c r="Y19" s="21">
        <f t="shared" si="0"/>
        <v>645.32000000000005</v>
      </c>
      <c r="Z19" s="114">
        <f>ROUND(0.3*T19*Table1[[#This Row],[E&amp;D Rate per unit]]*Table1[[#This Row],[Quantity]],2)</f>
        <v>0</v>
      </c>
      <c r="AA19" s="19">
        <v>1</v>
      </c>
      <c r="AB19" s="21">
        <f>ROUND(X19+Z19+Y19,2)*Table1[[#This Row],[Until WA Approved Only Approved this %]]</f>
        <v>645.32000000000005</v>
      </c>
      <c r="AC19" s="136"/>
      <c r="AD19" s="136">
        <f>Table1[[#This Row],[Total Amount]]-Table1[[#This Row],[Previous Amount]]</f>
        <v>645.32000000000005</v>
      </c>
      <c r="AE19" s="137" t="s">
        <v>676</v>
      </c>
      <c r="AG19" s="174">
        <v>645.32000000000005</v>
      </c>
      <c r="AH19" s="178">
        <f>AG19-Table1[[#This Row],[Total Amount]]</f>
        <v>0</v>
      </c>
      <c r="AI19" s="171">
        <f t="shared" si="2"/>
        <v>0</v>
      </c>
    </row>
    <row r="20" spans="1:35" ht="30" customHeight="1" x14ac:dyDescent="0.3">
      <c r="A20" s="91" t="s">
        <v>159</v>
      </c>
      <c r="B20" s="91" t="s">
        <v>99</v>
      </c>
      <c r="C20" s="109">
        <v>1</v>
      </c>
      <c r="D20" s="109">
        <v>74652</v>
      </c>
      <c r="E20" s="109"/>
      <c r="F20" s="17" t="s">
        <v>636</v>
      </c>
      <c r="G20" s="17" t="s">
        <v>638</v>
      </c>
      <c r="H20" s="16" t="s">
        <v>637</v>
      </c>
      <c r="I20" s="109">
        <v>1</v>
      </c>
      <c r="J20" s="16">
        <v>14.4</v>
      </c>
      <c r="K20" s="16">
        <v>1.8</v>
      </c>
      <c r="L20" s="16">
        <v>6</v>
      </c>
      <c r="M20" s="16">
        <v>2</v>
      </c>
      <c r="N20" s="111" t="s">
        <v>208</v>
      </c>
      <c r="O20" s="16">
        <f t="shared" si="4"/>
        <v>86.4</v>
      </c>
      <c r="P20" s="18">
        <v>44824</v>
      </c>
      <c r="Q20" s="125"/>
      <c r="R20" s="112">
        <v>0</v>
      </c>
      <c r="S20" s="112">
        <v>1</v>
      </c>
      <c r="T20" s="112">
        <v>0</v>
      </c>
      <c r="U20" s="113">
        <f>IF(ISBLANK(Table1[[#This Row],[OHC Date]]),$B$7-Table1[[#This Row],[HOC Date]]+1,Table1[[#This Row],[OHC Date]]-Table1[[#This Row],[HOC Date]]+1)/7</f>
        <v>13.857142857142858</v>
      </c>
      <c r="V20" s="114">
        <v>0</v>
      </c>
      <c r="W20" s="114">
        <v>0.77</v>
      </c>
      <c r="X20" s="114">
        <f>ROUND(0.7*Table1[[#This Row],[E&amp;D Rate per unit]]*R20*Table1[[#This Row],[Quantity]],2)</f>
        <v>0</v>
      </c>
      <c r="Y20" s="21">
        <f t="shared" si="0"/>
        <v>921.89</v>
      </c>
      <c r="Z20" s="114">
        <f>ROUND(0.3*T20*Table1[[#This Row],[E&amp;D Rate per unit]]*Table1[[#This Row],[Quantity]],2)</f>
        <v>0</v>
      </c>
      <c r="AA20" s="19">
        <v>1</v>
      </c>
      <c r="AB20" s="21">
        <f>ROUND(X20+Z20+Y20,2)*Table1[[#This Row],[Until WA Approved Only Approved this %]]</f>
        <v>921.89</v>
      </c>
      <c r="AC20" s="136"/>
      <c r="AD20" s="136">
        <f>Table1[[#This Row],[Total Amount]]-Table1[[#This Row],[Previous Amount]]</f>
        <v>921.89</v>
      </c>
      <c r="AE20" s="137" t="s">
        <v>676</v>
      </c>
      <c r="AG20" s="174">
        <v>921.89</v>
      </c>
      <c r="AH20" s="178">
        <f>AG20-Table1[[#This Row],[Total Amount]]</f>
        <v>0</v>
      </c>
      <c r="AI20" s="171">
        <f t="shared" si="2"/>
        <v>0</v>
      </c>
    </row>
    <row r="21" spans="1:35" ht="30" customHeight="1" x14ac:dyDescent="0.3">
      <c r="A21" s="91" t="s">
        <v>159</v>
      </c>
      <c r="B21" s="91" t="s">
        <v>99</v>
      </c>
      <c r="C21" s="109">
        <v>1</v>
      </c>
      <c r="D21" s="109">
        <v>74652</v>
      </c>
      <c r="E21" s="109"/>
      <c r="F21" s="17" t="s">
        <v>636</v>
      </c>
      <c r="G21" s="17" t="s">
        <v>638</v>
      </c>
      <c r="H21" s="16" t="s">
        <v>637</v>
      </c>
      <c r="I21" s="109">
        <v>1</v>
      </c>
      <c r="J21" s="16">
        <v>14.4</v>
      </c>
      <c r="K21" s="16">
        <v>1.8</v>
      </c>
      <c r="L21" s="16">
        <v>1</v>
      </c>
      <c r="M21" s="16">
        <v>1</v>
      </c>
      <c r="N21" s="111" t="s">
        <v>162</v>
      </c>
      <c r="O21" s="16">
        <f t="shared" si="4"/>
        <v>25.92</v>
      </c>
      <c r="P21" s="18">
        <v>44824</v>
      </c>
      <c r="Q21" s="125"/>
      <c r="R21" s="112">
        <v>0</v>
      </c>
      <c r="S21" s="112">
        <v>1</v>
      </c>
      <c r="T21" s="112">
        <v>0</v>
      </c>
      <c r="U21" s="113">
        <f>IF(ISBLANK(Table1[[#This Row],[OHC Date]]),$B$7-Table1[[#This Row],[HOC Date]]+1,Table1[[#This Row],[OHC Date]]-Table1[[#This Row],[HOC Date]]+1)/7</f>
        <v>13.857142857142858</v>
      </c>
      <c r="V21" s="114">
        <v>0</v>
      </c>
      <c r="W21" s="114">
        <v>0.7</v>
      </c>
      <c r="X21" s="114">
        <f>ROUND(0.7*Table1[[#This Row],[E&amp;D Rate per unit]]*R21*Table1[[#This Row],[Quantity]],2)</f>
        <v>0</v>
      </c>
      <c r="Y21" s="21">
        <f t="shared" si="0"/>
        <v>251.42</v>
      </c>
      <c r="Z21" s="114">
        <f>ROUND(0.3*T21*Table1[[#This Row],[E&amp;D Rate per unit]]*Table1[[#This Row],[Quantity]],2)</f>
        <v>0</v>
      </c>
      <c r="AA21" s="19">
        <v>1</v>
      </c>
      <c r="AB21" s="21">
        <f>ROUND(X21+Z21+Y21,2)*Table1[[#This Row],[Until WA Approved Only Approved this %]]</f>
        <v>251.42</v>
      </c>
      <c r="AC21" s="136"/>
      <c r="AD21" s="136">
        <f>Table1[[#This Row],[Total Amount]]-Table1[[#This Row],[Previous Amount]]</f>
        <v>251.42</v>
      </c>
      <c r="AE21" s="137" t="s">
        <v>676</v>
      </c>
      <c r="AG21" s="174">
        <v>251.42</v>
      </c>
      <c r="AH21" s="178">
        <f>AG21-Table1[[#This Row],[Total Amount]]</f>
        <v>0</v>
      </c>
      <c r="AI21" s="171">
        <f t="shared" si="2"/>
        <v>0</v>
      </c>
    </row>
    <row r="22" spans="1:35" ht="30" customHeight="1" x14ac:dyDescent="0.3">
      <c r="A22" s="91" t="s">
        <v>159</v>
      </c>
      <c r="B22" s="91" t="s">
        <v>99</v>
      </c>
      <c r="C22" s="16" t="s">
        <v>639</v>
      </c>
      <c r="D22" s="109">
        <v>74656</v>
      </c>
      <c r="E22" s="109"/>
      <c r="F22" s="17" t="s">
        <v>636</v>
      </c>
      <c r="G22" s="17" t="s">
        <v>638</v>
      </c>
      <c r="H22" s="16" t="s">
        <v>637</v>
      </c>
      <c r="I22" s="109">
        <v>1</v>
      </c>
      <c r="J22" s="16">
        <v>9</v>
      </c>
      <c r="K22" s="16">
        <v>1.8</v>
      </c>
      <c r="L22" s="16">
        <v>10.5</v>
      </c>
      <c r="M22" s="16">
        <v>1</v>
      </c>
      <c r="N22" s="111" t="s">
        <v>208</v>
      </c>
      <c r="O22" s="16">
        <f t="shared" si="4"/>
        <v>94.5</v>
      </c>
      <c r="P22" s="18">
        <v>44825</v>
      </c>
      <c r="Q22" s="125"/>
      <c r="R22" s="112">
        <v>0</v>
      </c>
      <c r="S22" s="112">
        <v>1</v>
      </c>
      <c r="T22" s="112">
        <v>0</v>
      </c>
      <c r="U22" s="113">
        <f>IF(ISBLANK(Table1[[#This Row],[OHC Date]]),$B$7-Table1[[#This Row],[HOC Date]]+1,Table1[[#This Row],[OHC Date]]-Table1[[#This Row],[HOC Date]]+1)/7</f>
        <v>13.714285714285714</v>
      </c>
      <c r="V22" s="114">
        <v>0</v>
      </c>
      <c r="W22" s="114">
        <v>0.77</v>
      </c>
      <c r="X22" s="114">
        <f>ROUND(0.7*Table1[[#This Row],[E&amp;D Rate per unit]]*R22*Table1[[#This Row],[Quantity]],2)</f>
        <v>0</v>
      </c>
      <c r="Y22" s="21">
        <f t="shared" si="0"/>
        <v>997.92</v>
      </c>
      <c r="Z22" s="114">
        <f>ROUND(0.3*T22*Table1[[#This Row],[E&amp;D Rate per unit]]*Table1[[#This Row],[Quantity]],2)</f>
        <v>0</v>
      </c>
      <c r="AA22" s="19">
        <v>1</v>
      </c>
      <c r="AB22" s="21">
        <f>ROUND(X22+Z22+Y22,2)*Table1[[#This Row],[Until WA Approved Only Approved this %]]</f>
        <v>997.92</v>
      </c>
      <c r="AC22" s="136"/>
      <c r="AD22" s="136">
        <f>Table1[[#This Row],[Total Amount]]-Table1[[#This Row],[Previous Amount]]</f>
        <v>997.92</v>
      </c>
      <c r="AE22" s="137" t="s">
        <v>676</v>
      </c>
      <c r="AG22" s="174">
        <v>997.92</v>
      </c>
      <c r="AH22" s="178">
        <f>AG22-Table1[[#This Row],[Total Amount]]</f>
        <v>0</v>
      </c>
      <c r="AI22" s="171">
        <f t="shared" si="2"/>
        <v>0</v>
      </c>
    </row>
    <row r="23" spans="1:35" ht="30" customHeight="1" x14ac:dyDescent="0.3">
      <c r="A23" s="91" t="s">
        <v>159</v>
      </c>
      <c r="B23" s="91" t="s">
        <v>99</v>
      </c>
      <c r="C23" s="16" t="s">
        <v>640</v>
      </c>
      <c r="D23" s="109">
        <v>74674</v>
      </c>
      <c r="E23" s="109"/>
      <c r="F23" s="17" t="s">
        <v>636</v>
      </c>
      <c r="G23" s="17" t="s">
        <v>638</v>
      </c>
      <c r="H23" s="16" t="s">
        <v>637</v>
      </c>
      <c r="I23" s="109">
        <v>1</v>
      </c>
      <c r="J23" s="16">
        <v>23.4</v>
      </c>
      <c r="K23" s="16">
        <v>2.75</v>
      </c>
      <c r="L23" s="16">
        <v>1</v>
      </c>
      <c r="M23" s="16">
        <v>1</v>
      </c>
      <c r="N23" s="111" t="s">
        <v>162</v>
      </c>
      <c r="O23" s="16">
        <f t="shared" si="4"/>
        <v>64.349999999999994</v>
      </c>
      <c r="P23" s="18">
        <v>44835</v>
      </c>
      <c r="Q23" s="125"/>
      <c r="R23" s="112">
        <v>0</v>
      </c>
      <c r="S23" s="112">
        <v>1</v>
      </c>
      <c r="T23" s="112">
        <v>0</v>
      </c>
      <c r="U23" s="113">
        <f>IF(ISBLANK(Table1[[#This Row],[OHC Date]]),$B$7-Table1[[#This Row],[HOC Date]]+1,Table1[[#This Row],[OHC Date]]-Table1[[#This Row],[HOC Date]]+1)/7</f>
        <v>12.285714285714286</v>
      </c>
      <c r="V23" s="114">
        <v>0</v>
      </c>
      <c r="W23" s="114">
        <v>6.72</v>
      </c>
      <c r="X23" s="114">
        <f>ROUND(0.7*Table1[[#This Row],[E&amp;D Rate per unit]]*R23*Table1[[#This Row],[Quantity]],2)</f>
        <v>0</v>
      </c>
      <c r="Y23" s="21">
        <f t="shared" si="0"/>
        <v>5312.74</v>
      </c>
      <c r="Z23" s="114">
        <f>ROUND(0.3*T23*Table1[[#This Row],[E&amp;D Rate per unit]]*Table1[[#This Row],[Quantity]],2)</f>
        <v>0</v>
      </c>
      <c r="AA23" s="19">
        <v>1</v>
      </c>
      <c r="AB23" s="21">
        <f>ROUND(X23+Z23+Y23,2)*Table1[[#This Row],[Until WA Approved Only Approved this %]]</f>
        <v>5312.74</v>
      </c>
      <c r="AC23" s="136"/>
      <c r="AD23" s="136">
        <f>Table1[[#This Row],[Total Amount]]-Table1[[#This Row],[Previous Amount]]</f>
        <v>5312.74</v>
      </c>
      <c r="AE23" s="137" t="s">
        <v>676</v>
      </c>
      <c r="AG23" s="174">
        <v>5312.74</v>
      </c>
      <c r="AH23" s="178">
        <f>AG23-Table1[[#This Row],[Total Amount]]</f>
        <v>0</v>
      </c>
      <c r="AI23" s="171">
        <f t="shared" si="2"/>
        <v>0</v>
      </c>
    </row>
    <row r="24" spans="1:35" ht="30" customHeight="1" x14ac:dyDescent="0.3">
      <c r="A24" s="91" t="s">
        <v>159</v>
      </c>
      <c r="B24" s="91" t="s">
        <v>99</v>
      </c>
      <c r="C24" s="16" t="s">
        <v>642</v>
      </c>
      <c r="D24" s="109">
        <v>79101</v>
      </c>
      <c r="E24" s="109"/>
      <c r="F24" s="17" t="s">
        <v>636</v>
      </c>
      <c r="G24" s="17" t="s">
        <v>638</v>
      </c>
      <c r="H24" s="16" t="s">
        <v>637</v>
      </c>
      <c r="I24" s="109">
        <v>1</v>
      </c>
      <c r="J24" s="16">
        <v>20</v>
      </c>
      <c r="K24" s="16">
        <v>2.75</v>
      </c>
      <c r="L24" s="16">
        <v>1</v>
      </c>
      <c r="M24" s="16">
        <v>1</v>
      </c>
      <c r="N24" s="111" t="s">
        <v>162</v>
      </c>
      <c r="O24" s="16">
        <f t="shared" si="4"/>
        <v>55</v>
      </c>
      <c r="P24" s="18">
        <v>44901</v>
      </c>
      <c r="Q24" s="125"/>
      <c r="R24" s="112">
        <v>0</v>
      </c>
      <c r="S24" s="112">
        <v>1</v>
      </c>
      <c r="T24" s="112">
        <v>0</v>
      </c>
      <c r="U24" s="113">
        <f>IF(ISBLANK(Table1[[#This Row],[OHC Date]]),$B$7-Table1[[#This Row],[HOC Date]]+1,Table1[[#This Row],[OHC Date]]-Table1[[#This Row],[HOC Date]]+1)/7</f>
        <v>2.8571428571428572</v>
      </c>
      <c r="V24" s="114">
        <v>0</v>
      </c>
      <c r="W24" s="114">
        <v>6.72</v>
      </c>
      <c r="X24" s="114">
        <f>ROUND(0.7*Table1[[#This Row],[E&amp;D Rate per unit]]*R24*Table1[[#This Row],[Quantity]],2)</f>
        <v>0</v>
      </c>
      <c r="Y24" s="21">
        <f t="shared" si="0"/>
        <v>1056</v>
      </c>
      <c r="Z24" s="114">
        <f>ROUND(0.3*T24*Table1[[#This Row],[E&amp;D Rate per unit]]*Table1[[#This Row],[Quantity]],2)</f>
        <v>0</v>
      </c>
      <c r="AA24" s="19">
        <v>1</v>
      </c>
      <c r="AB24" s="21">
        <f>ROUND(X24+Z24+Y24,2)*Table1[[#This Row],[Until WA Approved Only Approved this %]]</f>
        <v>1056</v>
      </c>
      <c r="AC24" s="136"/>
      <c r="AD24" s="136">
        <f>Table1[[#This Row],[Total Amount]]-Table1[[#This Row],[Previous Amount]]</f>
        <v>1056</v>
      </c>
      <c r="AE24" s="137" t="s">
        <v>676</v>
      </c>
      <c r="AG24" s="174">
        <v>1056</v>
      </c>
      <c r="AH24" s="178">
        <f>AG24-Table1[[#This Row],[Total Amount]]</f>
        <v>0</v>
      </c>
      <c r="AI24" s="171">
        <f t="shared" si="2"/>
        <v>0</v>
      </c>
    </row>
    <row r="25" spans="1:35" ht="30" customHeight="1" x14ac:dyDescent="0.3">
      <c r="A25" s="91" t="s">
        <v>159</v>
      </c>
      <c r="B25" s="91" t="s">
        <v>99</v>
      </c>
      <c r="C25" s="16" t="s">
        <v>641</v>
      </c>
      <c r="D25" s="109">
        <v>79146</v>
      </c>
      <c r="E25" s="109"/>
      <c r="F25" s="17" t="s">
        <v>636</v>
      </c>
      <c r="G25" s="17" t="s">
        <v>638</v>
      </c>
      <c r="H25" s="16" t="s">
        <v>637</v>
      </c>
      <c r="I25" s="109">
        <v>1</v>
      </c>
      <c r="J25" s="16">
        <v>6</v>
      </c>
      <c r="K25" s="16">
        <v>2.5</v>
      </c>
      <c r="L25" s="16">
        <v>1</v>
      </c>
      <c r="M25" s="16">
        <v>1</v>
      </c>
      <c r="N25" s="111" t="s">
        <v>162</v>
      </c>
      <c r="O25" s="16">
        <f t="shared" si="4"/>
        <v>15</v>
      </c>
      <c r="P25" s="18">
        <v>44910</v>
      </c>
      <c r="Q25" s="125"/>
      <c r="R25" s="112">
        <v>0</v>
      </c>
      <c r="S25" s="112">
        <v>1</v>
      </c>
      <c r="T25" s="112">
        <v>0</v>
      </c>
      <c r="U25" s="113">
        <f>IF(ISBLANK(Table1[[#This Row],[OHC Date]]),$B$7-Table1[[#This Row],[HOC Date]]+1,Table1[[#This Row],[OHC Date]]-Table1[[#This Row],[HOC Date]]+1)/7</f>
        <v>1.5714285714285714</v>
      </c>
      <c r="V25" s="114">
        <v>0</v>
      </c>
      <c r="W25" s="114">
        <v>6.72</v>
      </c>
      <c r="X25" s="114">
        <f>ROUND(0.7*Table1[[#This Row],[E&amp;D Rate per unit]]*R25*Table1[[#This Row],[Quantity]],2)</f>
        <v>0</v>
      </c>
      <c r="Y25" s="21">
        <f t="shared" si="0"/>
        <v>158.4</v>
      </c>
      <c r="Z25" s="114">
        <f>ROUND(0.3*T25*Table1[[#This Row],[E&amp;D Rate per unit]]*Table1[[#This Row],[Quantity]],2)</f>
        <v>0</v>
      </c>
      <c r="AA25" s="19">
        <v>1</v>
      </c>
      <c r="AB25" s="21">
        <f>ROUND(X25+Z25+Y25,2)*Table1[[#This Row],[Until WA Approved Only Approved this %]]</f>
        <v>158.4</v>
      </c>
      <c r="AC25" s="136"/>
      <c r="AD25" s="136">
        <f>Table1[[#This Row],[Total Amount]]-Table1[[#This Row],[Previous Amount]]</f>
        <v>158.4</v>
      </c>
      <c r="AE25" s="137" t="s">
        <v>676</v>
      </c>
      <c r="AG25" s="174">
        <v>158.4</v>
      </c>
      <c r="AH25" s="178">
        <f>AG25-Table1[[#This Row],[Total Amount]]</f>
        <v>0</v>
      </c>
      <c r="AI25" s="171">
        <f t="shared" si="2"/>
        <v>0</v>
      </c>
    </row>
    <row r="26" spans="1:35" s="164" customFormat="1" ht="30" customHeight="1" x14ac:dyDescent="0.3">
      <c r="A26" s="91" t="s">
        <v>159</v>
      </c>
      <c r="B26" s="91" t="s">
        <v>99</v>
      </c>
      <c r="C26" s="109">
        <v>1</v>
      </c>
      <c r="D26" s="109">
        <v>74652</v>
      </c>
      <c r="E26" s="109"/>
      <c r="F26" s="17" t="s">
        <v>636</v>
      </c>
      <c r="G26" s="17" t="s">
        <v>638</v>
      </c>
      <c r="H26" s="16" t="s">
        <v>643</v>
      </c>
      <c r="I26" s="109">
        <v>1</v>
      </c>
      <c r="J26" s="16">
        <v>50.4</v>
      </c>
      <c r="K26" s="16">
        <v>1.3</v>
      </c>
      <c r="L26" s="16">
        <v>1</v>
      </c>
      <c r="M26" s="16"/>
      <c r="N26" s="111" t="s">
        <v>226</v>
      </c>
      <c r="O26" s="16">
        <f t="shared" si="4"/>
        <v>65.52</v>
      </c>
      <c r="P26" s="18">
        <v>44824</v>
      </c>
      <c r="Q26" s="125"/>
      <c r="R26" s="112">
        <v>0</v>
      </c>
      <c r="S26" s="112">
        <v>1</v>
      </c>
      <c r="T26" s="112">
        <v>0</v>
      </c>
      <c r="U26" s="113">
        <f>IF(ISBLANK(Table1[[#This Row],[OHC Date]]),$B$7-Table1[[#This Row],[HOC Date]]+1,Table1[[#This Row],[OHC Date]]-Table1[[#This Row],[HOC Date]]+1)/7</f>
        <v>13.857142857142858</v>
      </c>
      <c r="V26" s="114">
        <v>0</v>
      </c>
      <c r="W26" s="114">
        <v>10.15</v>
      </c>
      <c r="X26" s="114">
        <f>ROUND(0.7*Table1[[#This Row],[E&amp;D Rate per unit]]*R26*Table1[[#This Row],[Quantity]],2)</f>
        <v>0</v>
      </c>
      <c r="Y26" s="21">
        <f t="shared" si="0"/>
        <v>9215.39</v>
      </c>
      <c r="Z26" s="114">
        <f>ROUND(0.3*T26*Table1[[#This Row],[E&amp;D Rate per unit]]*Table1[[#This Row],[Quantity]],2)</f>
        <v>0</v>
      </c>
      <c r="AA26" s="112">
        <v>1</v>
      </c>
      <c r="AB26" s="21">
        <f>ROUND(X26+Z26+Y26,2)*Table1[[#This Row],[Until WA Approved Only Approved this %]]</f>
        <v>9215.39</v>
      </c>
      <c r="AC26" s="136"/>
      <c r="AD26" s="136">
        <f>Table1[[#This Row],[Total Amount]]-Table1[[#This Row],[Previous Amount]]</f>
        <v>9215.39</v>
      </c>
      <c r="AE26" s="137" t="s">
        <v>676</v>
      </c>
      <c r="AG26" s="176">
        <v>9215.39</v>
      </c>
      <c r="AH26" s="178">
        <f>AG26-Table1[[#This Row],[Total Amount]]</f>
        <v>0</v>
      </c>
      <c r="AI26" s="171">
        <f t="shared" si="2"/>
        <v>0</v>
      </c>
    </row>
    <row r="27" spans="1:35" s="164" customFormat="1" ht="30" customHeight="1" x14ac:dyDescent="0.3">
      <c r="A27" s="91" t="s">
        <v>159</v>
      </c>
      <c r="B27" s="91" t="s">
        <v>99</v>
      </c>
      <c r="C27" s="109">
        <v>1</v>
      </c>
      <c r="D27" s="109">
        <v>74652</v>
      </c>
      <c r="E27" s="109"/>
      <c r="F27" s="17" t="s">
        <v>636</v>
      </c>
      <c r="G27" s="17" t="s">
        <v>638</v>
      </c>
      <c r="H27" s="16" t="s">
        <v>644</v>
      </c>
      <c r="I27" s="109">
        <v>1</v>
      </c>
      <c r="J27" s="16">
        <v>224</v>
      </c>
      <c r="K27" s="16">
        <v>1</v>
      </c>
      <c r="L27" s="16">
        <v>1</v>
      </c>
      <c r="M27" s="16"/>
      <c r="N27" s="111" t="s">
        <v>285</v>
      </c>
      <c r="O27" s="16">
        <f t="shared" si="4"/>
        <v>224</v>
      </c>
      <c r="P27" s="18">
        <v>44824</v>
      </c>
      <c r="Q27" s="125"/>
      <c r="R27" s="112">
        <v>0</v>
      </c>
      <c r="S27" s="112">
        <v>1</v>
      </c>
      <c r="T27" s="112">
        <v>0</v>
      </c>
      <c r="U27" s="113">
        <f>IF(ISBLANK(Table1[[#This Row],[OHC Date]]),$B$7-Table1[[#This Row],[HOC Date]]+1,Table1[[#This Row],[OHC Date]]-Table1[[#This Row],[HOC Date]]+1)/7</f>
        <v>13.857142857142858</v>
      </c>
      <c r="V27" s="114">
        <v>0</v>
      </c>
      <c r="W27" s="114">
        <v>17.149999999999999</v>
      </c>
      <c r="X27" s="114">
        <f>ROUND(0.7*Table1[[#This Row],[E&amp;D Rate per unit]]*R27*Table1[[#This Row],[Quantity]],2)</f>
        <v>0</v>
      </c>
      <c r="Y27" s="21">
        <f t="shared" si="0"/>
        <v>53233.599999999999</v>
      </c>
      <c r="Z27" s="114">
        <f>ROUND(0.3*T27*Table1[[#This Row],[E&amp;D Rate per unit]]*Table1[[#This Row],[Quantity]],2)</f>
        <v>0</v>
      </c>
      <c r="AA27" s="112">
        <v>1</v>
      </c>
      <c r="AB27" s="21">
        <f>ROUND(X27+Z27+Y27,2)*Table1[[#This Row],[Until WA Approved Only Approved this %]]</f>
        <v>53233.599999999999</v>
      </c>
      <c r="AC27" s="136"/>
      <c r="AD27" s="136">
        <f>Table1[[#This Row],[Total Amount]]-Table1[[#This Row],[Previous Amount]]</f>
        <v>53233.599999999999</v>
      </c>
      <c r="AE27" s="137" t="s">
        <v>676</v>
      </c>
      <c r="AG27" s="176">
        <v>53233.599999999999</v>
      </c>
      <c r="AH27" s="178">
        <f>AG27-Table1[[#This Row],[Total Amount]]</f>
        <v>0</v>
      </c>
      <c r="AI27" s="171">
        <f t="shared" si="2"/>
        <v>0</v>
      </c>
    </row>
    <row r="28" spans="1:35" ht="30" customHeight="1" x14ac:dyDescent="0.3">
      <c r="A28" s="91" t="s">
        <v>159</v>
      </c>
      <c r="B28" s="91" t="s">
        <v>99</v>
      </c>
      <c r="C28" s="16" t="s">
        <v>271</v>
      </c>
      <c r="D28" s="109">
        <v>79109</v>
      </c>
      <c r="E28" s="109"/>
      <c r="F28" s="17" t="s">
        <v>636</v>
      </c>
      <c r="G28" s="17" t="s">
        <v>645</v>
      </c>
      <c r="H28" s="16" t="s">
        <v>646</v>
      </c>
      <c r="I28" s="109">
        <v>1</v>
      </c>
      <c r="J28" s="16">
        <v>20</v>
      </c>
      <c r="K28" s="16">
        <v>2.75</v>
      </c>
      <c r="L28" s="16">
        <v>1</v>
      </c>
      <c r="M28" s="16">
        <v>1</v>
      </c>
      <c r="N28" s="111" t="s">
        <v>162</v>
      </c>
      <c r="O28" s="16">
        <f t="shared" si="4"/>
        <v>55</v>
      </c>
      <c r="P28" s="18">
        <v>44902</v>
      </c>
      <c r="Q28" s="125"/>
      <c r="R28" s="112">
        <v>0</v>
      </c>
      <c r="S28" s="112">
        <v>1</v>
      </c>
      <c r="T28" s="112">
        <v>0</v>
      </c>
      <c r="U28" s="113">
        <f>IF(ISBLANK(Table1[[#This Row],[OHC Date]]),$B$7-Table1[[#This Row],[HOC Date]]+1,Table1[[#This Row],[OHC Date]]-Table1[[#This Row],[HOC Date]]+1)/7</f>
        <v>2.7142857142857144</v>
      </c>
      <c r="V28" s="114">
        <v>0</v>
      </c>
      <c r="W28" s="114">
        <v>6.72</v>
      </c>
      <c r="X28" s="114">
        <f>ROUND(0.7*Table1[[#This Row],[E&amp;D Rate per unit]]*R28*Table1[[#This Row],[Quantity]],2)</f>
        <v>0</v>
      </c>
      <c r="Y28" s="21">
        <f t="shared" si="0"/>
        <v>1003.2</v>
      </c>
      <c r="Z28" s="114">
        <f>ROUND(0.3*T28*Table1[[#This Row],[E&amp;D Rate per unit]]*Table1[[#This Row],[Quantity]],2)</f>
        <v>0</v>
      </c>
      <c r="AA28" s="19">
        <v>1</v>
      </c>
      <c r="AB28" s="21">
        <f>ROUND(X28+Z28+Y28,2)*Table1[[#This Row],[Until WA Approved Only Approved this %]]</f>
        <v>1003.2</v>
      </c>
      <c r="AC28" s="136"/>
      <c r="AD28" s="136">
        <f>Table1[[#This Row],[Total Amount]]-Table1[[#This Row],[Previous Amount]]</f>
        <v>1003.2</v>
      </c>
      <c r="AE28" s="137" t="s">
        <v>676</v>
      </c>
      <c r="AG28" s="174">
        <v>1003.2</v>
      </c>
      <c r="AH28" s="178">
        <f>AG28-Table1[[#This Row],[Total Amount]]</f>
        <v>0</v>
      </c>
      <c r="AI28" s="171">
        <f t="shared" si="2"/>
        <v>0</v>
      </c>
    </row>
    <row r="29" spans="1:35" ht="30" customHeight="1" x14ac:dyDescent="0.3">
      <c r="A29" s="91" t="s">
        <v>159</v>
      </c>
      <c r="B29" s="91" t="s">
        <v>99</v>
      </c>
      <c r="C29" s="16" t="s">
        <v>647</v>
      </c>
      <c r="D29" s="109">
        <v>79158</v>
      </c>
      <c r="E29" s="109"/>
      <c r="F29" s="17" t="s">
        <v>636</v>
      </c>
      <c r="G29" s="17">
        <v>31</v>
      </c>
      <c r="H29" s="16" t="s">
        <v>646</v>
      </c>
      <c r="I29" s="109">
        <v>1</v>
      </c>
      <c r="J29" s="16">
        <v>5</v>
      </c>
      <c r="K29" s="16">
        <v>2.75</v>
      </c>
      <c r="L29" s="16">
        <v>1</v>
      </c>
      <c r="M29" s="16">
        <v>1</v>
      </c>
      <c r="N29" s="111" t="s">
        <v>162</v>
      </c>
      <c r="O29" s="16">
        <f t="shared" si="4"/>
        <v>13.75</v>
      </c>
      <c r="P29" s="18">
        <v>44911</v>
      </c>
      <c r="Q29" s="125"/>
      <c r="R29" s="112">
        <v>0</v>
      </c>
      <c r="S29" s="112">
        <v>1</v>
      </c>
      <c r="T29" s="112">
        <v>0</v>
      </c>
      <c r="U29" s="113">
        <f>IF(ISBLANK(Table1[[#This Row],[OHC Date]]),$B$7-Table1[[#This Row],[HOC Date]]+1,Table1[[#This Row],[OHC Date]]-Table1[[#This Row],[HOC Date]]+1)/7</f>
        <v>1.4285714285714286</v>
      </c>
      <c r="V29" s="114">
        <v>0</v>
      </c>
      <c r="W29" s="114">
        <v>6.72</v>
      </c>
      <c r="X29" s="114">
        <f>ROUND(0.7*Table1[[#This Row],[E&amp;D Rate per unit]]*R29*Table1[[#This Row],[Quantity]],2)</f>
        <v>0</v>
      </c>
      <c r="Y29" s="21">
        <f t="shared" si="0"/>
        <v>132</v>
      </c>
      <c r="Z29" s="114">
        <f>ROUND(0.3*T29*Table1[[#This Row],[E&amp;D Rate per unit]]*Table1[[#This Row],[Quantity]],2)</f>
        <v>0</v>
      </c>
      <c r="AA29" s="19">
        <v>1</v>
      </c>
      <c r="AB29" s="21">
        <f>ROUND(X29+Z29+Y29,2)*Table1[[#This Row],[Until WA Approved Only Approved this %]]</f>
        <v>132</v>
      </c>
      <c r="AC29" s="136"/>
      <c r="AD29" s="136">
        <f>Table1[[#This Row],[Total Amount]]-Table1[[#This Row],[Previous Amount]]</f>
        <v>132</v>
      </c>
      <c r="AE29" s="137" t="s">
        <v>676</v>
      </c>
      <c r="AG29" s="174">
        <v>132</v>
      </c>
      <c r="AH29" s="178">
        <f>AG29-Table1[[#This Row],[Total Amount]]</f>
        <v>0</v>
      </c>
      <c r="AI29" s="171">
        <f t="shared" si="2"/>
        <v>0</v>
      </c>
    </row>
    <row r="30" spans="1:35" ht="30" customHeight="1" x14ac:dyDescent="0.3">
      <c r="A30" s="91" t="s">
        <v>159</v>
      </c>
      <c r="B30" s="91" t="s">
        <v>99</v>
      </c>
      <c r="C30" s="16" t="s">
        <v>648</v>
      </c>
      <c r="D30" s="109">
        <v>79143</v>
      </c>
      <c r="E30" s="109"/>
      <c r="F30" s="17" t="s">
        <v>636</v>
      </c>
      <c r="G30" s="17">
        <v>31</v>
      </c>
      <c r="H30" s="16" t="s">
        <v>646</v>
      </c>
      <c r="I30" s="109">
        <v>1</v>
      </c>
      <c r="J30" s="16">
        <v>12</v>
      </c>
      <c r="K30" s="16">
        <v>2.75</v>
      </c>
      <c r="L30" s="16">
        <v>1</v>
      </c>
      <c r="M30" s="16">
        <v>1</v>
      </c>
      <c r="N30" s="111" t="s">
        <v>162</v>
      </c>
      <c r="O30" s="16">
        <f t="shared" si="4"/>
        <v>33</v>
      </c>
      <c r="P30" s="18">
        <v>44909</v>
      </c>
      <c r="Q30" s="125"/>
      <c r="R30" s="112">
        <v>0</v>
      </c>
      <c r="S30" s="112">
        <v>1</v>
      </c>
      <c r="T30" s="112">
        <v>0</v>
      </c>
      <c r="U30" s="113">
        <f>IF(ISBLANK(Table1[[#This Row],[OHC Date]]),$B$7-Table1[[#This Row],[HOC Date]]+1,Table1[[#This Row],[OHC Date]]-Table1[[#This Row],[HOC Date]]+1)/7</f>
        <v>1.7142857142857142</v>
      </c>
      <c r="V30" s="114">
        <v>0</v>
      </c>
      <c r="W30" s="114">
        <v>6.72</v>
      </c>
      <c r="X30" s="114">
        <f>ROUND(0.7*Table1[[#This Row],[E&amp;D Rate per unit]]*R30*Table1[[#This Row],[Quantity]],2)</f>
        <v>0</v>
      </c>
      <c r="Y30" s="21">
        <f t="shared" si="0"/>
        <v>380.16</v>
      </c>
      <c r="Z30" s="114">
        <f>ROUND(0.3*T30*Table1[[#This Row],[E&amp;D Rate per unit]]*Table1[[#This Row],[Quantity]],2)</f>
        <v>0</v>
      </c>
      <c r="AA30" s="19">
        <v>1</v>
      </c>
      <c r="AB30" s="21">
        <f>ROUND(X30+Z30+Y30,2)*Table1[[#This Row],[Until WA Approved Only Approved this %]]</f>
        <v>380.16</v>
      </c>
      <c r="AC30" s="136"/>
      <c r="AD30" s="136">
        <f>Table1[[#This Row],[Total Amount]]-Table1[[#This Row],[Previous Amount]]</f>
        <v>380.16</v>
      </c>
      <c r="AE30" s="137" t="s">
        <v>676</v>
      </c>
      <c r="AG30" s="174">
        <v>380.16</v>
      </c>
      <c r="AH30" s="178">
        <f>AG30-Table1[[#This Row],[Total Amount]]</f>
        <v>0</v>
      </c>
      <c r="AI30" s="171">
        <f t="shared" si="2"/>
        <v>0</v>
      </c>
    </row>
    <row r="31" spans="1:35" ht="30" customHeight="1" x14ac:dyDescent="0.3">
      <c r="A31" s="91" t="s">
        <v>159</v>
      </c>
      <c r="B31" s="91" t="s">
        <v>99</v>
      </c>
      <c r="C31" s="16" t="s">
        <v>271</v>
      </c>
      <c r="D31" s="109">
        <v>79109</v>
      </c>
      <c r="E31" s="109"/>
      <c r="F31" s="17" t="s">
        <v>636</v>
      </c>
      <c r="G31" s="17" t="s">
        <v>645</v>
      </c>
      <c r="H31" s="16" t="s">
        <v>646</v>
      </c>
      <c r="I31" s="109">
        <v>1</v>
      </c>
      <c r="J31" s="16">
        <v>12</v>
      </c>
      <c r="K31" s="16">
        <v>5</v>
      </c>
      <c r="L31" s="16">
        <v>1</v>
      </c>
      <c r="M31" s="16">
        <v>1</v>
      </c>
      <c r="N31" s="111" t="s">
        <v>162</v>
      </c>
      <c r="O31" s="16">
        <f t="shared" si="4"/>
        <v>60</v>
      </c>
      <c r="P31" s="18">
        <v>44902</v>
      </c>
      <c r="Q31" s="125"/>
      <c r="R31" s="112">
        <v>0</v>
      </c>
      <c r="S31" s="112">
        <v>1</v>
      </c>
      <c r="T31" s="112">
        <v>0</v>
      </c>
      <c r="U31" s="113">
        <f>IF(ISBLANK(Table1[[#This Row],[OHC Date]]),$B$7-Table1[[#This Row],[HOC Date]]+1,Table1[[#This Row],[OHC Date]]-Table1[[#This Row],[HOC Date]]+1)/7</f>
        <v>2.7142857142857144</v>
      </c>
      <c r="V31" s="114">
        <v>0</v>
      </c>
      <c r="W31" s="114">
        <v>12.25</v>
      </c>
      <c r="X31" s="114">
        <f>ROUND(0.7*Table1[[#This Row],[E&amp;D Rate per unit]]*R31*Table1[[#This Row],[Quantity]],2)</f>
        <v>0</v>
      </c>
      <c r="Y31" s="21">
        <f t="shared" si="0"/>
        <v>1995</v>
      </c>
      <c r="Z31" s="114">
        <f>ROUND(0.3*T31*Table1[[#This Row],[E&amp;D Rate per unit]]*Table1[[#This Row],[Quantity]],2)</f>
        <v>0</v>
      </c>
      <c r="AA31" s="19">
        <v>1</v>
      </c>
      <c r="AB31" s="21">
        <f>ROUND(X31+Z31+Y31,2)*Table1[[#This Row],[Until WA Approved Only Approved this %]]</f>
        <v>1995</v>
      </c>
      <c r="AC31" s="136"/>
      <c r="AD31" s="136">
        <f>Table1[[#This Row],[Total Amount]]-Table1[[#This Row],[Previous Amount]]</f>
        <v>1995</v>
      </c>
      <c r="AE31" s="137" t="s">
        <v>676</v>
      </c>
      <c r="AG31" s="174">
        <v>1995</v>
      </c>
      <c r="AH31" s="178">
        <f>AG31-Table1[[#This Row],[Total Amount]]</f>
        <v>0</v>
      </c>
      <c r="AI31" s="171">
        <f t="shared" si="2"/>
        <v>0</v>
      </c>
    </row>
    <row r="32" spans="1:35" ht="30" customHeight="1" x14ac:dyDescent="0.3">
      <c r="A32" s="91" t="s">
        <v>159</v>
      </c>
      <c r="B32" s="91" t="s">
        <v>99</v>
      </c>
      <c r="C32" s="16" t="s">
        <v>648</v>
      </c>
      <c r="D32" s="109">
        <v>79143</v>
      </c>
      <c r="E32" s="109"/>
      <c r="F32" s="17" t="s">
        <v>636</v>
      </c>
      <c r="G32" s="17">
        <v>31</v>
      </c>
      <c r="H32" s="16" t="s">
        <v>646</v>
      </c>
      <c r="I32" s="109">
        <v>1</v>
      </c>
      <c r="J32" s="158">
        <v>12</v>
      </c>
      <c r="K32" s="158">
        <v>2.75</v>
      </c>
      <c r="L32" s="16">
        <v>1</v>
      </c>
      <c r="M32" s="16">
        <v>1</v>
      </c>
      <c r="N32" s="111" t="s">
        <v>162</v>
      </c>
      <c r="O32" s="16">
        <f t="shared" si="4"/>
        <v>33</v>
      </c>
      <c r="P32" s="18">
        <v>44909</v>
      </c>
      <c r="Q32" s="125"/>
      <c r="R32" s="112">
        <v>0</v>
      </c>
      <c r="S32" s="112">
        <v>1</v>
      </c>
      <c r="T32" s="112">
        <v>0</v>
      </c>
      <c r="U32" s="113">
        <f>IF(ISBLANK(Table1[[#This Row],[OHC Date]]),$B$7-Table1[[#This Row],[HOC Date]]+1,Table1[[#This Row],[OHC Date]]-Table1[[#This Row],[HOC Date]]+1)/7</f>
        <v>1.7142857142857142</v>
      </c>
      <c r="V32" s="114">
        <v>0</v>
      </c>
      <c r="W32" s="114">
        <v>8.61</v>
      </c>
      <c r="X32" s="114">
        <f>ROUND(0.7*Table1[[#This Row],[E&amp;D Rate per unit]]*R32*Table1[[#This Row],[Quantity]],2)</f>
        <v>0</v>
      </c>
      <c r="Y32" s="21">
        <f t="shared" si="0"/>
        <v>487.08</v>
      </c>
      <c r="Z32" s="114">
        <f>ROUND(0.3*T32*Table1[[#This Row],[E&amp;D Rate per unit]]*Table1[[#This Row],[Quantity]],2)</f>
        <v>0</v>
      </c>
      <c r="AA32" s="19">
        <v>1</v>
      </c>
      <c r="AB32" s="21">
        <f>ROUND(X32+Z32+Y32,2)*Table1[[#This Row],[Until WA Approved Only Approved this %]]</f>
        <v>487.08</v>
      </c>
      <c r="AC32" s="136"/>
      <c r="AD32" s="136">
        <f>Table1[[#This Row],[Total Amount]]-Table1[[#This Row],[Previous Amount]]</f>
        <v>487.08</v>
      </c>
      <c r="AE32" s="137" t="s">
        <v>676</v>
      </c>
      <c r="AG32" s="174">
        <v>568.26</v>
      </c>
      <c r="AH32" s="178">
        <f>AG32-Table1[[#This Row],[Total Amount]]</f>
        <v>81.180000000000007</v>
      </c>
      <c r="AI32" s="171">
        <f t="shared" si="2"/>
        <v>0.14285714285714288</v>
      </c>
    </row>
    <row r="33" spans="1:35" ht="30" customHeight="1" x14ac:dyDescent="0.3">
      <c r="A33" s="91" t="s">
        <v>159</v>
      </c>
      <c r="B33" s="91" t="s">
        <v>99</v>
      </c>
      <c r="C33" s="16"/>
      <c r="D33" s="109"/>
      <c r="E33" s="109"/>
      <c r="F33" s="17" t="s">
        <v>636</v>
      </c>
      <c r="G33" s="17">
        <v>31</v>
      </c>
      <c r="H33" s="16" t="s">
        <v>649</v>
      </c>
      <c r="I33" s="109">
        <v>1</v>
      </c>
      <c r="J33" s="16">
        <v>52</v>
      </c>
      <c r="K33" s="16">
        <v>1</v>
      </c>
      <c r="L33" s="16">
        <v>1</v>
      </c>
      <c r="M33" s="16"/>
      <c r="N33" s="111" t="s">
        <v>208</v>
      </c>
      <c r="O33" s="16">
        <f t="shared" si="4"/>
        <v>52</v>
      </c>
      <c r="P33" s="18">
        <v>44909</v>
      </c>
      <c r="Q33" s="125"/>
      <c r="R33" s="112">
        <v>0</v>
      </c>
      <c r="S33" s="112">
        <v>1</v>
      </c>
      <c r="T33" s="112">
        <v>0</v>
      </c>
      <c r="U33" s="113">
        <f>IF(ISBLANK(Table1[[#This Row],[OHC Date]]),$B$7-Table1[[#This Row],[HOC Date]]+1,Table1[[#This Row],[OHC Date]]-Table1[[#This Row],[HOC Date]]+1)/7</f>
        <v>1.7142857142857142</v>
      </c>
      <c r="V33" s="114">
        <v>0</v>
      </c>
      <c r="W33" s="114">
        <v>0</v>
      </c>
      <c r="X33" s="114">
        <f>ROUND(0.7*Table1[[#This Row],[E&amp;D Rate per unit]]*R33*Table1[[#This Row],[Quantity]],2)</f>
        <v>0</v>
      </c>
      <c r="Y33" s="21">
        <f t="shared" si="0"/>
        <v>0</v>
      </c>
      <c r="Z33" s="114">
        <f>ROUND(0.3*T33*Table1[[#This Row],[E&amp;D Rate per unit]]*Table1[[#This Row],[Quantity]],2)</f>
        <v>0</v>
      </c>
      <c r="AA33" s="19">
        <v>1</v>
      </c>
      <c r="AB33" s="21">
        <f>ROUND(X33+Z33+Y33,2)*Table1[[#This Row],[Until WA Approved Only Approved this %]]</f>
        <v>0</v>
      </c>
      <c r="AC33" s="136"/>
      <c r="AD33" s="136">
        <f>Table1[[#This Row],[Total Amount]]-Table1[[#This Row],[Previous Amount]]</f>
        <v>0</v>
      </c>
      <c r="AE33" s="137" t="s">
        <v>676</v>
      </c>
      <c r="AG33" s="174">
        <v>0</v>
      </c>
      <c r="AH33" s="178">
        <f>AG33-Table1[[#This Row],[Total Amount]]</f>
        <v>0</v>
      </c>
    </row>
    <row r="34" spans="1:35" ht="30" customHeight="1" x14ac:dyDescent="0.3">
      <c r="A34" s="91" t="s">
        <v>159</v>
      </c>
      <c r="B34" s="91" t="s">
        <v>99</v>
      </c>
      <c r="C34" s="109">
        <v>8</v>
      </c>
      <c r="D34" s="109">
        <v>77651</v>
      </c>
      <c r="E34" s="109"/>
      <c r="F34" s="17" t="s">
        <v>636</v>
      </c>
      <c r="G34" s="17" t="s">
        <v>211</v>
      </c>
      <c r="H34" s="16" t="s">
        <v>650</v>
      </c>
      <c r="I34" s="109">
        <v>1</v>
      </c>
      <c r="J34" s="16">
        <v>6.8</v>
      </c>
      <c r="K34" s="16">
        <v>1.8</v>
      </c>
      <c r="L34" s="16">
        <v>4</v>
      </c>
      <c r="M34" s="16">
        <v>1</v>
      </c>
      <c r="N34" s="111" t="s">
        <v>208</v>
      </c>
      <c r="O34" s="16">
        <f t="shared" si="4"/>
        <v>27.2</v>
      </c>
      <c r="P34" s="18">
        <v>44844</v>
      </c>
      <c r="Q34" s="125"/>
      <c r="R34" s="112">
        <v>0</v>
      </c>
      <c r="S34" s="112">
        <v>1</v>
      </c>
      <c r="T34" s="112">
        <v>0</v>
      </c>
      <c r="U34" s="113">
        <f>IF(ISBLANK(Table1[[#This Row],[OHC Date]]),$B$7-Table1[[#This Row],[HOC Date]]+1,Table1[[#This Row],[OHC Date]]-Table1[[#This Row],[HOC Date]]+1)/7</f>
        <v>11</v>
      </c>
      <c r="V34" s="114">
        <v>0</v>
      </c>
      <c r="W34" s="114">
        <v>0.77</v>
      </c>
      <c r="X34" s="114">
        <f>ROUND(0.7*Table1[[#This Row],[E&amp;D Rate per unit]]*R34*Table1[[#This Row],[Quantity]],2)</f>
        <v>0</v>
      </c>
      <c r="Y34" s="21">
        <f t="shared" si="0"/>
        <v>230.38</v>
      </c>
      <c r="Z34" s="114">
        <f>ROUND(0.3*T34*Table1[[#This Row],[E&amp;D Rate per unit]]*Table1[[#This Row],[Quantity]],2)</f>
        <v>0</v>
      </c>
      <c r="AA34" s="19">
        <v>1</v>
      </c>
      <c r="AB34" s="21">
        <f>ROUND(X34+Z34+Y34,2)*Table1[[#This Row],[Until WA Approved Only Approved this %]]</f>
        <v>230.38</v>
      </c>
      <c r="AC34" s="136"/>
      <c r="AD34" s="136">
        <f>Table1[[#This Row],[Total Amount]]-Table1[[#This Row],[Previous Amount]]</f>
        <v>230.38</v>
      </c>
      <c r="AE34" s="137" t="s">
        <v>676</v>
      </c>
      <c r="AG34" s="174">
        <v>230.38</v>
      </c>
      <c r="AH34" s="178">
        <f>AG34-Table1[[#This Row],[Total Amount]]</f>
        <v>0</v>
      </c>
      <c r="AI34" s="171">
        <f t="shared" si="2"/>
        <v>0</v>
      </c>
    </row>
    <row r="35" spans="1:35" ht="30" customHeight="1" x14ac:dyDescent="0.3">
      <c r="A35" s="91" t="s">
        <v>159</v>
      </c>
      <c r="B35" s="91" t="s">
        <v>99</v>
      </c>
      <c r="C35" s="16" t="s">
        <v>270</v>
      </c>
      <c r="D35" s="109">
        <v>77651</v>
      </c>
      <c r="E35" s="109"/>
      <c r="F35" s="17" t="s">
        <v>636</v>
      </c>
      <c r="G35" s="17" t="s">
        <v>651</v>
      </c>
      <c r="H35" s="16" t="s">
        <v>650</v>
      </c>
      <c r="I35" s="109">
        <v>1</v>
      </c>
      <c r="J35" s="16">
        <v>23.4</v>
      </c>
      <c r="K35" s="16">
        <v>3.6</v>
      </c>
      <c r="L35" s="16">
        <v>24</v>
      </c>
      <c r="M35" s="16">
        <v>1</v>
      </c>
      <c r="N35" s="111" t="s">
        <v>226</v>
      </c>
      <c r="O35" s="16">
        <f t="shared" si="4"/>
        <v>2021.76</v>
      </c>
      <c r="P35" s="18">
        <v>44844</v>
      </c>
      <c r="Q35" s="125"/>
      <c r="R35" s="112">
        <v>0</v>
      </c>
      <c r="S35" s="112">
        <v>1</v>
      </c>
      <c r="T35" s="112">
        <v>0</v>
      </c>
      <c r="U35" s="113">
        <f>IF(ISBLANK(Table1[[#This Row],[OHC Date]]),$B$7-Table1[[#This Row],[HOC Date]]+1,Table1[[#This Row],[OHC Date]]-Table1[[#This Row],[HOC Date]]+1)/7</f>
        <v>11</v>
      </c>
      <c r="V35" s="114">
        <v>0</v>
      </c>
      <c r="W35" s="114">
        <v>0.49</v>
      </c>
      <c r="X35" s="114">
        <f>ROUND(0.7*Table1[[#This Row],[E&amp;D Rate per unit]]*R35*Table1[[#This Row],[Quantity]],2)</f>
        <v>0</v>
      </c>
      <c r="Y35" s="21">
        <f t="shared" si="0"/>
        <v>10897.29</v>
      </c>
      <c r="Z35" s="114">
        <f>ROUND(0.3*T35*Table1[[#This Row],[E&amp;D Rate per unit]]*Table1[[#This Row],[Quantity]],2)</f>
        <v>0</v>
      </c>
      <c r="AA35" s="19">
        <v>1</v>
      </c>
      <c r="AB35" s="21">
        <f>ROUND(X35+Z35+Y35,2)*Table1[[#This Row],[Until WA Approved Only Approved this %]]</f>
        <v>10897.29</v>
      </c>
      <c r="AC35" s="136"/>
      <c r="AD35" s="136">
        <f>Table1[[#This Row],[Total Amount]]-Table1[[#This Row],[Previous Amount]]</f>
        <v>10897.29</v>
      </c>
      <c r="AE35" s="137" t="s">
        <v>676</v>
      </c>
      <c r="AG35" s="174">
        <v>10897.29</v>
      </c>
      <c r="AH35" s="178">
        <f>AG35-Table1[[#This Row],[Total Amount]]</f>
        <v>0</v>
      </c>
      <c r="AI35" s="171">
        <f t="shared" si="2"/>
        <v>0</v>
      </c>
    </row>
    <row r="36" spans="1:35" ht="30" customHeight="1" x14ac:dyDescent="0.3">
      <c r="A36" s="91" t="s">
        <v>159</v>
      </c>
      <c r="B36" s="91" t="s">
        <v>99</v>
      </c>
      <c r="C36" s="16" t="s">
        <v>273</v>
      </c>
      <c r="D36" s="109">
        <v>77651</v>
      </c>
      <c r="E36" s="109"/>
      <c r="F36" s="17" t="s">
        <v>636</v>
      </c>
      <c r="G36" s="17" t="s">
        <v>211</v>
      </c>
      <c r="H36" s="16" t="s">
        <v>650</v>
      </c>
      <c r="I36" s="109">
        <v>1</v>
      </c>
      <c r="J36" s="16">
        <v>18.600000000000001</v>
      </c>
      <c r="K36" s="16">
        <v>0.6</v>
      </c>
      <c r="L36" s="16">
        <v>4</v>
      </c>
      <c r="M36" s="16">
        <v>1</v>
      </c>
      <c r="N36" s="111" t="s">
        <v>208</v>
      </c>
      <c r="O36" s="16">
        <f t="shared" si="4"/>
        <v>74.400000000000006</v>
      </c>
      <c r="P36" s="18">
        <v>44844</v>
      </c>
      <c r="Q36" s="125"/>
      <c r="R36" s="112">
        <v>0</v>
      </c>
      <c r="S36" s="112">
        <v>1</v>
      </c>
      <c r="T36" s="112">
        <v>0</v>
      </c>
      <c r="U36" s="113">
        <f>IF(ISBLANK(Table1[[#This Row],[OHC Date]]),$B$7-Table1[[#This Row],[HOC Date]]+1,Table1[[#This Row],[OHC Date]]-Table1[[#This Row],[HOC Date]]+1)/7</f>
        <v>11</v>
      </c>
      <c r="V36" s="114">
        <v>0</v>
      </c>
      <c r="W36" s="114">
        <v>0.49</v>
      </c>
      <c r="X36" s="114">
        <f>ROUND(0.7*Table1[[#This Row],[E&amp;D Rate per unit]]*R36*Table1[[#This Row],[Quantity]],2)</f>
        <v>0</v>
      </c>
      <c r="Y36" s="21">
        <f t="shared" si="0"/>
        <v>401.02</v>
      </c>
      <c r="Z36" s="114">
        <f>ROUND(0.3*T36*Table1[[#This Row],[E&amp;D Rate per unit]]*Table1[[#This Row],[Quantity]],2)</f>
        <v>0</v>
      </c>
      <c r="AA36" s="19">
        <v>1</v>
      </c>
      <c r="AB36" s="21">
        <f>ROUND(X36+Z36+Y36,2)*Table1[[#This Row],[Until WA Approved Only Approved this %]]</f>
        <v>401.02</v>
      </c>
      <c r="AC36" s="136"/>
      <c r="AD36" s="136">
        <f>Table1[[#This Row],[Total Amount]]-Table1[[#This Row],[Previous Amount]]</f>
        <v>401.02</v>
      </c>
      <c r="AE36" s="137" t="s">
        <v>676</v>
      </c>
      <c r="AG36" s="174">
        <v>401.02</v>
      </c>
      <c r="AH36" s="178">
        <f>AG36-Table1[[#This Row],[Total Amount]]</f>
        <v>0</v>
      </c>
      <c r="AI36" s="171">
        <f t="shared" si="2"/>
        <v>0</v>
      </c>
    </row>
    <row r="37" spans="1:35" ht="30" customHeight="1" x14ac:dyDescent="0.3">
      <c r="A37" s="91" t="s">
        <v>159</v>
      </c>
      <c r="B37" s="91" t="s">
        <v>99</v>
      </c>
      <c r="C37" s="16" t="s">
        <v>274</v>
      </c>
      <c r="D37" s="109">
        <v>77651</v>
      </c>
      <c r="E37" s="109"/>
      <c r="F37" s="17" t="s">
        <v>636</v>
      </c>
      <c r="G37" s="17" t="s">
        <v>211</v>
      </c>
      <c r="H37" s="16" t="s">
        <v>650</v>
      </c>
      <c r="I37" s="109">
        <v>1</v>
      </c>
      <c r="J37" s="16">
        <v>10.8</v>
      </c>
      <c r="K37" s="16">
        <v>0.6</v>
      </c>
      <c r="L37" s="16">
        <v>4</v>
      </c>
      <c r="M37" s="16">
        <v>1</v>
      </c>
      <c r="N37" s="111" t="s">
        <v>208</v>
      </c>
      <c r="O37" s="16">
        <f t="shared" si="4"/>
        <v>43.2</v>
      </c>
      <c r="P37" s="18">
        <v>44844</v>
      </c>
      <c r="Q37" s="125"/>
      <c r="R37" s="112">
        <v>0</v>
      </c>
      <c r="S37" s="112">
        <v>1</v>
      </c>
      <c r="T37" s="112">
        <v>0</v>
      </c>
      <c r="U37" s="113">
        <f>IF(ISBLANK(Table1[[#This Row],[OHC Date]]),$B$7-Table1[[#This Row],[HOC Date]]+1,Table1[[#This Row],[OHC Date]]-Table1[[#This Row],[HOC Date]]+1)/7</f>
        <v>11</v>
      </c>
      <c r="V37" s="114">
        <v>0</v>
      </c>
      <c r="W37" s="114">
        <v>0.49</v>
      </c>
      <c r="X37" s="114">
        <f>ROUND(0.7*Table1[[#This Row],[E&amp;D Rate per unit]]*R37*Table1[[#This Row],[Quantity]],2)</f>
        <v>0</v>
      </c>
      <c r="Y37" s="21">
        <f t="shared" si="0"/>
        <v>232.85</v>
      </c>
      <c r="Z37" s="114">
        <f>ROUND(0.3*T37*Table1[[#This Row],[E&amp;D Rate per unit]]*Table1[[#This Row],[Quantity]],2)</f>
        <v>0</v>
      </c>
      <c r="AA37" s="19">
        <v>1</v>
      </c>
      <c r="AB37" s="21">
        <f>ROUND(X37+Z37+Y37,2)*Table1[[#This Row],[Until WA Approved Only Approved this %]]</f>
        <v>232.85</v>
      </c>
      <c r="AC37" s="136"/>
      <c r="AD37" s="136">
        <f>Table1[[#This Row],[Total Amount]]-Table1[[#This Row],[Previous Amount]]</f>
        <v>232.85</v>
      </c>
      <c r="AE37" s="137" t="s">
        <v>676</v>
      </c>
      <c r="AG37" s="174">
        <v>232.85</v>
      </c>
      <c r="AH37" s="178">
        <f>AG37-Table1[[#This Row],[Total Amount]]</f>
        <v>0</v>
      </c>
      <c r="AI37" s="171">
        <f t="shared" si="2"/>
        <v>0</v>
      </c>
    </row>
    <row r="38" spans="1:35" ht="30" customHeight="1" x14ac:dyDescent="0.3">
      <c r="A38" s="91" t="s">
        <v>159</v>
      </c>
      <c r="B38" s="91" t="s">
        <v>99</v>
      </c>
      <c r="C38" s="16" t="s">
        <v>654</v>
      </c>
      <c r="D38" s="109">
        <v>77651</v>
      </c>
      <c r="E38" s="109"/>
      <c r="F38" s="17" t="s">
        <v>636</v>
      </c>
      <c r="G38" s="17" t="s">
        <v>211</v>
      </c>
      <c r="H38" s="16" t="s">
        <v>650</v>
      </c>
      <c r="I38" s="109">
        <v>1</v>
      </c>
      <c r="J38" s="16">
        <v>6.8</v>
      </c>
      <c r="K38" s="16">
        <v>0.9</v>
      </c>
      <c r="L38" s="16">
        <v>4</v>
      </c>
      <c r="M38" s="16">
        <v>1</v>
      </c>
      <c r="N38" s="111" t="s">
        <v>208</v>
      </c>
      <c r="O38" s="16">
        <f t="shared" si="4"/>
        <v>27.2</v>
      </c>
      <c r="P38" s="18">
        <v>44844</v>
      </c>
      <c r="Q38" s="125"/>
      <c r="R38" s="112">
        <v>0</v>
      </c>
      <c r="S38" s="112">
        <v>1</v>
      </c>
      <c r="T38" s="112">
        <v>0</v>
      </c>
      <c r="U38" s="113">
        <f>IF(ISBLANK(Table1[[#This Row],[OHC Date]]),$B$7-Table1[[#This Row],[HOC Date]]+1,Table1[[#This Row],[OHC Date]]-Table1[[#This Row],[HOC Date]]+1)/7</f>
        <v>11</v>
      </c>
      <c r="V38" s="114">
        <v>0</v>
      </c>
      <c r="W38" s="114">
        <v>0.49</v>
      </c>
      <c r="X38" s="114">
        <f>ROUND(0.7*Table1[[#This Row],[E&amp;D Rate per unit]]*R38*Table1[[#This Row],[Quantity]],2)</f>
        <v>0</v>
      </c>
      <c r="Y38" s="21">
        <f t="shared" si="0"/>
        <v>146.61000000000001</v>
      </c>
      <c r="Z38" s="114">
        <f>ROUND(0.3*T38*Table1[[#This Row],[E&amp;D Rate per unit]]*Table1[[#This Row],[Quantity]],2)</f>
        <v>0</v>
      </c>
      <c r="AA38" s="19">
        <v>1</v>
      </c>
      <c r="AB38" s="21">
        <f>ROUND(X38+Z38+Y38,2)*Table1[[#This Row],[Until WA Approved Only Approved this %]]</f>
        <v>146.61000000000001</v>
      </c>
      <c r="AC38" s="136"/>
      <c r="AD38" s="136">
        <f>Table1[[#This Row],[Total Amount]]-Table1[[#This Row],[Previous Amount]]</f>
        <v>146.61000000000001</v>
      </c>
      <c r="AE38" s="137" t="s">
        <v>676</v>
      </c>
      <c r="AG38" s="174">
        <v>146.61000000000001</v>
      </c>
      <c r="AH38" s="178">
        <f>AG38-Table1[[#This Row],[Total Amount]]</f>
        <v>0</v>
      </c>
      <c r="AI38" s="171">
        <f t="shared" si="2"/>
        <v>0</v>
      </c>
    </row>
    <row r="39" spans="1:35" ht="30" customHeight="1" x14ac:dyDescent="0.3">
      <c r="A39" s="91" t="s">
        <v>159</v>
      </c>
      <c r="B39" s="91" t="s">
        <v>99</v>
      </c>
      <c r="C39" s="16" t="s">
        <v>655</v>
      </c>
      <c r="D39" s="109">
        <v>77651</v>
      </c>
      <c r="E39" s="109"/>
      <c r="F39" s="17" t="s">
        <v>636</v>
      </c>
      <c r="G39" s="17" t="s">
        <v>651</v>
      </c>
      <c r="H39" s="16" t="s">
        <v>650</v>
      </c>
      <c r="I39" s="109">
        <v>6</v>
      </c>
      <c r="J39" s="16">
        <v>23.4</v>
      </c>
      <c r="K39" s="16">
        <v>0.5</v>
      </c>
      <c r="L39" s="16">
        <v>1</v>
      </c>
      <c r="M39" s="16">
        <v>6</v>
      </c>
      <c r="N39" s="111" t="s">
        <v>162</v>
      </c>
      <c r="O39" s="16">
        <f t="shared" si="4"/>
        <v>70.2</v>
      </c>
      <c r="P39" s="18">
        <v>44844</v>
      </c>
      <c r="Q39" s="125"/>
      <c r="R39" s="112">
        <v>0</v>
      </c>
      <c r="S39" s="112">
        <v>1</v>
      </c>
      <c r="T39" s="112">
        <v>0</v>
      </c>
      <c r="U39" s="113">
        <f>IF(ISBLANK(Table1[[#This Row],[OHC Date]]),$B$7-Table1[[#This Row],[HOC Date]]+1,Table1[[#This Row],[OHC Date]]-Table1[[#This Row],[HOC Date]]+1)/7</f>
        <v>11</v>
      </c>
      <c r="V39" s="114">
        <v>0</v>
      </c>
      <c r="W39" s="114">
        <v>1.05</v>
      </c>
      <c r="X39" s="114">
        <f>ROUND(0.7*Table1[[#This Row],[E&amp;D Rate per unit]]*R39*Table1[[#This Row],[Quantity]],2)</f>
        <v>0</v>
      </c>
      <c r="Y39" s="21">
        <f t="shared" si="0"/>
        <v>810.81</v>
      </c>
      <c r="Z39" s="114">
        <f>ROUND(0.3*T39*Table1[[#This Row],[E&amp;D Rate per unit]]*Table1[[#This Row],[Quantity]],2)</f>
        <v>0</v>
      </c>
      <c r="AA39" s="19">
        <v>1</v>
      </c>
      <c r="AB39" s="21">
        <f>ROUND(X39+Z39+Y39,2)*Table1[[#This Row],[Until WA Approved Only Approved this %]]</f>
        <v>810.81</v>
      </c>
      <c r="AC39" s="136"/>
      <c r="AD39" s="136">
        <f>Table1[[#This Row],[Total Amount]]-Table1[[#This Row],[Previous Amount]]</f>
        <v>810.81</v>
      </c>
      <c r="AE39" s="137" t="s">
        <v>676</v>
      </c>
      <c r="AG39" s="174">
        <v>810.81</v>
      </c>
      <c r="AH39" s="178">
        <f>AG39-Table1[[#This Row],[Total Amount]]</f>
        <v>0</v>
      </c>
      <c r="AI39" s="171">
        <f t="shared" si="2"/>
        <v>0</v>
      </c>
    </row>
    <row r="40" spans="1:35" ht="30" customHeight="1" x14ac:dyDescent="0.3">
      <c r="A40" s="91" t="s">
        <v>159</v>
      </c>
      <c r="B40" s="91" t="s">
        <v>99</v>
      </c>
      <c r="C40" s="16" t="s">
        <v>656</v>
      </c>
      <c r="D40" s="109">
        <v>77651</v>
      </c>
      <c r="E40" s="109"/>
      <c r="F40" s="17" t="s">
        <v>636</v>
      </c>
      <c r="G40" s="17" t="s">
        <v>651</v>
      </c>
      <c r="H40" s="16" t="s">
        <v>650</v>
      </c>
      <c r="I40" s="109">
        <v>5</v>
      </c>
      <c r="J40" s="16">
        <v>23.4</v>
      </c>
      <c r="K40" s="16">
        <v>1.8</v>
      </c>
      <c r="L40" s="16">
        <v>1</v>
      </c>
      <c r="M40" s="16">
        <v>5</v>
      </c>
      <c r="N40" s="111" t="s">
        <v>162</v>
      </c>
      <c r="O40" s="16">
        <f t="shared" si="4"/>
        <v>210.6</v>
      </c>
      <c r="P40" s="18">
        <v>44844</v>
      </c>
      <c r="Q40" s="125"/>
      <c r="R40" s="112">
        <v>0</v>
      </c>
      <c r="S40" s="112">
        <v>1</v>
      </c>
      <c r="T40" s="112">
        <v>0</v>
      </c>
      <c r="U40" s="113">
        <f>IF(ISBLANK(Table1[[#This Row],[OHC Date]]),$B$7-Table1[[#This Row],[HOC Date]]+1,Table1[[#This Row],[OHC Date]]-Table1[[#This Row],[HOC Date]]+1)/7</f>
        <v>11</v>
      </c>
      <c r="V40" s="114">
        <v>0</v>
      </c>
      <c r="W40" s="114">
        <v>0.7</v>
      </c>
      <c r="X40" s="114">
        <f>ROUND(0.7*Table1[[#This Row],[E&amp;D Rate per unit]]*R40*Table1[[#This Row],[Quantity]],2)</f>
        <v>0</v>
      </c>
      <c r="Y40" s="21">
        <f t="shared" ref="Y40:Y71" si="5">ROUND(O40*U40*W40*S40,2)</f>
        <v>1621.62</v>
      </c>
      <c r="Z40" s="114">
        <f>ROUND(0.3*T40*Table1[[#This Row],[E&amp;D Rate per unit]]*Table1[[#This Row],[Quantity]],2)</f>
        <v>0</v>
      </c>
      <c r="AA40" s="19">
        <v>1</v>
      </c>
      <c r="AB40" s="21">
        <f>ROUND(X40+Z40+Y40,2)*Table1[[#This Row],[Until WA Approved Only Approved this %]]</f>
        <v>1621.62</v>
      </c>
      <c r="AC40" s="136"/>
      <c r="AD40" s="136">
        <f>Table1[[#This Row],[Total Amount]]-Table1[[#This Row],[Previous Amount]]</f>
        <v>1621.62</v>
      </c>
      <c r="AE40" s="137" t="s">
        <v>676</v>
      </c>
      <c r="AG40" s="174">
        <v>1621.62</v>
      </c>
      <c r="AH40" s="178">
        <f>AG40-Table1[[#This Row],[Total Amount]]</f>
        <v>0</v>
      </c>
      <c r="AI40" s="171">
        <f t="shared" si="2"/>
        <v>0</v>
      </c>
    </row>
    <row r="41" spans="1:35" ht="30" customHeight="1" x14ac:dyDescent="0.3">
      <c r="A41" s="91" t="s">
        <v>159</v>
      </c>
      <c r="B41" s="91" t="s">
        <v>99</v>
      </c>
      <c r="C41" s="16" t="s">
        <v>657</v>
      </c>
      <c r="D41" s="109">
        <v>77651</v>
      </c>
      <c r="E41" s="109"/>
      <c r="F41" s="17" t="s">
        <v>636</v>
      </c>
      <c r="G41" s="17" t="s">
        <v>211</v>
      </c>
      <c r="H41" s="16" t="s">
        <v>650</v>
      </c>
      <c r="I41" s="109">
        <v>1</v>
      </c>
      <c r="J41" s="16">
        <v>22.5</v>
      </c>
      <c r="K41" s="16">
        <v>2.5</v>
      </c>
      <c r="L41" s="16">
        <v>9</v>
      </c>
      <c r="M41" s="16"/>
      <c r="N41" s="111" t="s">
        <v>226</v>
      </c>
      <c r="O41" s="16">
        <f t="shared" si="4"/>
        <v>506.25</v>
      </c>
      <c r="P41" s="18">
        <v>44844</v>
      </c>
      <c r="Q41" s="125"/>
      <c r="R41" s="112">
        <v>0</v>
      </c>
      <c r="S41" s="112">
        <v>1</v>
      </c>
      <c r="T41" s="112">
        <v>0</v>
      </c>
      <c r="U41" s="113">
        <f>IF(ISBLANK(Table1[[#This Row],[OHC Date]]),$B$7-Table1[[#This Row],[HOC Date]]+1,Table1[[#This Row],[OHC Date]]-Table1[[#This Row],[HOC Date]]+1)/7</f>
        <v>11</v>
      </c>
      <c r="V41" s="114">
        <v>0</v>
      </c>
      <c r="W41" s="114">
        <v>0.35</v>
      </c>
      <c r="X41" s="114">
        <f>ROUND(0.7*Table1[[#This Row],[E&amp;D Rate per unit]]*R41*Table1[[#This Row],[Quantity]],2)</f>
        <v>0</v>
      </c>
      <c r="Y41" s="21">
        <f t="shared" si="5"/>
        <v>1949.06</v>
      </c>
      <c r="Z41" s="114">
        <f>ROUND(0.3*T41*Table1[[#This Row],[E&amp;D Rate per unit]]*Table1[[#This Row],[Quantity]],2)</f>
        <v>0</v>
      </c>
      <c r="AA41" s="19">
        <v>1</v>
      </c>
      <c r="AB41" s="21">
        <f>ROUND(X41+Z41+Y41,2)*Table1[[#This Row],[Until WA Approved Only Approved this %]]</f>
        <v>1949.06</v>
      </c>
      <c r="AC41" s="136"/>
      <c r="AD41" s="136">
        <f>Table1[[#This Row],[Total Amount]]-Table1[[#This Row],[Previous Amount]]</f>
        <v>1949.06</v>
      </c>
      <c r="AE41" s="137" t="s">
        <v>676</v>
      </c>
      <c r="AG41" s="174">
        <v>1949.06</v>
      </c>
      <c r="AH41" s="178">
        <f>AG41-Table1[[#This Row],[Total Amount]]</f>
        <v>0</v>
      </c>
      <c r="AI41" s="171">
        <f t="shared" si="2"/>
        <v>0</v>
      </c>
    </row>
    <row r="42" spans="1:35" ht="30" customHeight="1" x14ac:dyDescent="0.3">
      <c r="A42" s="91" t="s">
        <v>159</v>
      </c>
      <c r="B42" s="91" t="s">
        <v>99</v>
      </c>
      <c r="C42" s="16" t="s">
        <v>658</v>
      </c>
      <c r="D42" s="109">
        <v>77528</v>
      </c>
      <c r="E42" s="109"/>
      <c r="F42" s="17" t="s">
        <v>636</v>
      </c>
      <c r="G42" s="17" t="s">
        <v>660</v>
      </c>
      <c r="H42" s="16" t="s">
        <v>650</v>
      </c>
      <c r="I42" s="109">
        <v>1</v>
      </c>
      <c r="J42" s="16">
        <v>5</v>
      </c>
      <c r="K42" s="16">
        <v>1.8</v>
      </c>
      <c r="L42" s="16">
        <v>8.8000000000000007</v>
      </c>
      <c r="M42" s="16">
        <v>1</v>
      </c>
      <c r="N42" s="111" t="s">
        <v>208</v>
      </c>
      <c r="O42" s="16">
        <f t="shared" si="4"/>
        <v>44</v>
      </c>
      <c r="P42" s="18">
        <v>44888</v>
      </c>
      <c r="Q42" s="125"/>
      <c r="R42" s="112">
        <v>0</v>
      </c>
      <c r="S42" s="112">
        <v>1</v>
      </c>
      <c r="T42" s="112">
        <v>0</v>
      </c>
      <c r="U42" s="113">
        <f>IF(ISBLANK(Table1[[#This Row],[OHC Date]]),$B$7-Table1[[#This Row],[HOC Date]]+1,Table1[[#This Row],[OHC Date]]-Table1[[#This Row],[HOC Date]]+1)/7</f>
        <v>4.7142857142857144</v>
      </c>
      <c r="V42" s="114">
        <v>0</v>
      </c>
      <c r="W42" s="114">
        <v>0.77</v>
      </c>
      <c r="X42" s="114">
        <f>ROUND(0.7*Table1[[#This Row],[E&amp;D Rate per unit]]*R42*Table1[[#This Row],[Quantity]],2)</f>
        <v>0</v>
      </c>
      <c r="Y42" s="21">
        <f t="shared" si="5"/>
        <v>159.72</v>
      </c>
      <c r="Z42" s="114">
        <f>ROUND(0.3*T42*Table1[[#This Row],[E&amp;D Rate per unit]]*Table1[[#This Row],[Quantity]],2)</f>
        <v>0</v>
      </c>
      <c r="AA42" s="19">
        <v>1</v>
      </c>
      <c r="AB42" s="21">
        <f>ROUND(X42+Z42+Y42,2)*Table1[[#This Row],[Until WA Approved Only Approved this %]]</f>
        <v>159.72</v>
      </c>
      <c r="AC42" s="136"/>
      <c r="AD42" s="136">
        <f>Table1[[#This Row],[Total Amount]]-Table1[[#This Row],[Previous Amount]]</f>
        <v>159.72</v>
      </c>
      <c r="AE42" s="137" t="s">
        <v>676</v>
      </c>
      <c r="AG42" s="174">
        <v>159.72</v>
      </c>
      <c r="AH42" s="178">
        <f>AG42-Table1[[#This Row],[Total Amount]]</f>
        <v>0</v>
      </c>
      <c r="AI42" s="171">
        <f t="shared" si="2"/>
        <v>0</v>
      </c>
    </row>
    <row r="43" spans="1:35" ht="30" customHeight="1" x14ac:dyDescent="0.3">
      <c r="A43" s="91" t="s">
        <v>159</v>
      </c>
      <c r="B43" s="91" t="s">
        <v>99</v>
      </c>
      <c r="C43" s="16" t="s">
        <v>659</v>
      </c>
      <c r="D43" s="109">
        <v>77528</v>
      </c>
      <c r="E43" s="109"/>
      <c r="F43" s="17" t="s">
        <v>636</v>
      </c>
      <c r="G43" s="17" t="s">
        <v>660</v>
      </c>
      <c r="H43" s="16" t="s">
        <v>650</v>
      </c>
      <c r="I43" s="109">
        <v>1</v>
      </c>
      <c r="J43" s="16">
        <v>7</v>
      </c>
      <c r="K43" s="16">
        <v>2.75</v>
      </c>
      <c r="L43" s="16">
        <v>1</v>
      </c>
      <c r="M43" s="16">
        <v>1</v>
      </c>
      <c r="N43" s="111" t="s">
        <v>162</v>
      </c>
      <c r="O43" s="16">
        <f t="shared" si="4"/>
        <v>19.25</v>
      </c>
      <c r="P43" s="18">
        <v>44888</v>
      </c>
      <c r="Q43" s="125"/>
      <c r="R43" s="112">
        <v>0</v>
      </c>
      <c r="S43" s="112">
        <v>1</v>
      </c>
      <c r="T43" s="112">
        <v>0</v>
      </c>
      <c r="U43" s="113">
        <f>IF(ISBLANK(Table1[[#This Row],[OHC Date]]),$B$7-Table1[[#This Row],[HOC Date]]+1,Table1[[#This Row],[OHC Date]]-Table1[[#This Row],[HOC Date]]+1)/7</f>
        <v>4.7142857142857144</v>
      </c>
      <c r="V43" s="114">
        <v>0</v>
      </c>
      <c r="W43" s="114">
        <v>6.72</v>
      </c>
      <c r="X43" s="114">
        <f>ROUND(0.7*Table1[[#This Row],[E&amp;D Rate per unit]]*R43*Table1[[#This Row],[Quantity]],2)</f>
        <v>0</v>
      </c>
      <c r="Y43" s="21">
        <f t="shared" si="5"/>
        <v>609.84</v>
      </c>
      <c r="Z43" s="114">
        <f>ROUND(0.3*T43*Table1[[#This Row],[E&amp;D Rate per unit]]*Table1[[#This Row],[Quantity]],2)</f>
        <v>0</v>
      </c>
      <c r="AA43" s="19">
        <v>1</v>
      </c>
      <c r="AB43" s="21">
        <f>ROUND(X43+Z43+Y43,2)*Table1[[#This Row],[Until WA Approved Only Approved this %]]</f>
        <v>609.84</v>
      </c>
      <c r="AC43" s="136"/>
      <c r="AD43" s="136">
        <f>Table1[[#This Row],[Total Amount]]-Table1[[#This Row],[Previous Amount]]</f>
        <v>609.84</v>
      </c>
      <c r="AE43" s="137" t="s">
        <v>676</v>
      </c>
      <c r="AG43" s="174">
        <v>609.84</v>
      </c>
      <c r="AH43" s="178">
        <f>AG43-Table1[[#This Row],[Total Amount]]</f>
        <v>0</v>
      </c>
      <c r="AI43" s="171">
        <f t="shared" si="2"/>
        <v>0</v>
      </c>
    </row>
    <row r="44" spans="1:35" ht="30" customHeight="1" x14ac:dyDescent="0.3">
      <c r="A44" s="91" t="s">
        <v>159</v>
      </c>
      <c r="B44" s="91" t="s">
        <v>99</v>
      </c>
      <c r="C44" s="109">
        <v>8</v>
      </c>
      <c r="D44" s="109">
        <v>77651</v>
      </c>
      <c r="E44" s="109"/>
      <c r="F44" s="17" t="s">
        <v>636</v>
      </c>
      <c r="G44" s="17" t="s">
        <v>211</v>
      </c>
      <c r="H44" s="16" t="s">
        <v>650</v>
      </c>
      <c r="I44" s="109">
        <v>1</v>
      </c>
      <c r="J44" s="16">
        <v>152.4</v>
      </c>
      <c r="K44" s="16">
        <v>1</v>
      </c>
      <c r="L44" s="16">
        <v>1</v>
      </c>
      <c r="M44" s="16"/>
      <c r="N44" s="111" t="s">
        <v>285</v>
      </c>
      <c r="O44" s="16">
        <f t="shared" si="4"/>
        <v>152.4</v>
      </c>
      <c r="P44" s="18">
        <v>44844</v>
      </c>
      <c r="Q44" s="125"/>
      <c r="R44" s="112">
        <v>0</v>
      </c>
      <c r="S44" s="112">
        <v>1</v>
      </c>
      <c r="T44" s="112">
        <v>0</v>
      </c>
      <c r="U44" s="113">
        <f>IF(ISBLANK(Table1[[#This Row],[OHC Date]]),$B$7-Table1[[#This Row],[HOC Date]]+1,Table1[[#This Row],[OHC Date]]-Table1[[#This Row],[HOC Date]]+1)/7</f>
        <v>11</v>
      </c>
      <c r="V44" s="114">
        <v>0</v>
      </c>
      <c r="W44" s="114">
        <v>1.4</v>
      </c>
      <c r="X44" s="114">
        <f>ROUND(0.7*Table1[[#This Row],[E&amp;D Rate per unit]]*R44*Table1[[#This Row],[Quantity]],2)</f>
        <v>0</v>
      </c>
      <c r="Y44" s="21">
        <f t="shared" si="5"/>
        <v>2346.96</v>
      </c>
      <c r="Z44" s="114">
        <f>ROUND(0.3*T44*Table1[[#This Row],[E&amp;D Rate per unit]]*Table1[[#This Row],[Quantity]],2)</f>
        <v>0</v>
      </c>
      <c r="AA44" s="19">
        <v>1</v>
      </c>
      <c r="AB44" s="21">
        <f>ROUND(X44+Z44+Y44,2)*Table1[[#This Row],[Until WA Approved Only Approved this %]]</f>
        <v>2346.96</v>
      </c>
      <c r="AC44" s="136"/>
      <c r="AD44" s="136">
        <f>Table1[[#This Row],[Total Amount]]-Table1[[#This Row],[Previous Amount]]</f>
        <v>2346.96</v>
      </c>
      <c r="AE44" s="137" t="s">
        <v>676</v>
      </c>
      <c r="AG44" s="174">
        <v>2346.96</v>
      </c>
      <c r="AH44" s="178">
        <f>AG44-Table1[[#This Row],[Total Amount]]</f>
        <v>0</v>
      </c>
      <c r="AI44" s="171">
        <f t="shared" si="2"/>
        <v>0</v>
      </c>
    </row>
    <row r="45" spans="1:35" ht="30" customHeight="1" x14ac:dyDescent="0.3">
      <c r="A45" s="91" t="s">
        <v>159</v>
      </c>
      <c r="B45" s="91" t="s">
        <v>99</v>
      </c>
      <c r="C45" s="109">
        <v>8</v>
      </c>
      <c r="D45" s="109">
        <v>77651</v>
      </c>
      <c r="E45" s="109"/>
      <c r="F45" s="17" t="s">
        <v>636</v>
      </c>
      <c r="G45" s="17" t="s">
        <v>211</v>
      </c>
      <c r="H45" s="16" t="s">
        <v>652</v>
      </c>
      <c r="I45" s="109">
        <v>1</v>
      </c>
      <c r="J45" s="16">
        <v>280.8</v>
      </c>
      <c r="K45" s="16">
        <v>1</v>
      </c>
      <c r="L45" s="16">
        <v>1</v>
      </c>
      <c r="M45" s="16"/>
      <c r="N45" s="111" t="s">
        <v>208</v>
      </c>
      <c r="O45" s="16">
        <f t="shared" si="4"/>
        <v>280.8</v>
      </c>
      <c r="P45" s="18">
        <v>44844</v>
      </c>
      <c r="Q45" s="125"/>
      <c r="R45" s="112">
        <v>0</v>
      </c>
      <c r="S45" s="112">
        <v>1</v>
      </c>
      <c r="T45" s="112">
        <v>0</v>
      </c>
      <c r="U45" s="113">
        <f>IF(ISBLANK(Table1[[#This Row],[OHC Date]]),$B$7-Table1[[#This Row],[HOC Date]]+1,Table1[[#This Row],[OHC Date]]-Table1[[#This Row],[HOC Date]]+1)/7</f>
        <v>11</v>
      </c>
      <c r="V45" s="114">
        <v>0</v>
      </c>
      <c r="W45" s="114">
        <v>0</v>
      </c>
      <c r="X45" s="114">
        <f>ROUND(0.7*Table1[[#This Row],[E&amp;D Rate per unit]]*R45*Table1[[#This Row],[Quantity]],2)</f>
        <v>0</v>
      </c>
      <c r="Y45" s="21">
        <f t="shared" si="5"/>
        <v>0</v>
      </c>
      <c r="Z45" s="114">
        <f>ROUND(0.3*T45*Table1[[#This Row],[E&amp;D Rate per unit]]*Table1[[#This Row],[Quantity]],2)</f>
        <v>0</v>
      </c>
      <c r="AA45" s="19">
        <v>1</v>
      </c>
      <c r="AB45" s="21">
        <f>ROUND(X45+Z45+Y45,2)*Table1[[#This Row],[Until WA Approved Only Approved this %]]</f>
        <v>0</v>
      </c>
      <c r="AC45" s="136"/>
      <c r="AD45" s="136">
        <f>Table1[[#This Row],[Total Amount]]-Table1[[#This Row],[Previous Amount]]</f>
        <v>0</v>
      </c>
      <c r="AE45" s="137" t="s">
        <v>676</v>
      </c>
      <c r="AG45" s="174">
        <v>0</v>
      </c>
      <c r="AH45" s="178">
        <f>AG45-Table1[[#This Row],[Total Amount]]</f>
        <v>0</v>
      </c>
    </row>
    <row r="46" spans="1:35" s="164" customFormat="1" ht="30" customHeight="1" x14ac:dyDescent="0.3">
      <c r="A46" s="91" t="s">
        <v>159</v>
      </c>
      <c r="B46" s="91" t="s">
        <v>99</v>
      </c>
      <c r="C46" s="109">
        <v>8</v>
      </c>
      <c r="D46" s="109">
        <v>77651</v>
      </c>
      <c r="E46" s="109"/>
      <c r="F46" s="17" t="s">
        <v>636</v>
      </c>
      <c r="G46" s="17" t="s">
        <v>211</v>
      </c>
      <c r="H46" s="16" t="s">
        <v>644</v>
      </c>
      <c r="I46" s="109">
        <v>1</v>
      </c>
      <c r="J46" s="16">
        <v>80</v>
      </c>
      <c r="K46" s="16">
        <v>1</v>
      </c>
      <c r="L46" s="16">
        <v>1</v>
      </c>
      <c r="M46" s="16"/>
      <c r="N46" s="111" t="s">
        <v>285</v>
      </c>
      <c r="O46" s="16">
        <f t="shared" si="4"/>
        <v>80</v>
      </c>
      <c r="P46" s="18">
        <v>44844</v>
      </c>
      <c r="Q46" s="125"/>
      <c r="R46" s="112">
        <v>0</v>
      </c>
      <c r="S46" s="112">
        <v>1</v>
      </c>
      <c r="T46" s="112">
        <v>0</v>
      </c>
      <c r="U46" s="113">
        <f>IF(ISBLANK(Table1[[#This Row],[OHC Date]]),$B$7-Table1[[#This Row],[HOC Date]]+1,Table1[[#This Row],[OHC Date]]-Table1[[#This Row],[HOC Date]]+1)/7</f>
        <v>11</v>
      </c>
      <c r="V46" s="114">
        <v>0</v>
      </c>
      <c r="W46" s="114">
        <v>17.149999999999999</v>
      </c>
      <c r="X46" s="114">
        <f>ROUND(0.7*Table1[[#This Row],[E&amp;D Rate per unit]]*R46*Table1[[#This Row],[Quantity]],2)</f>
        <v>0</v>
      </c>
      <c r="Y46" s="21">
        <f t="shared" si="5"/>
        <v>15092</v>
      </c>
      <c r="Z46" s="114">
        <f>ROUND(0.3*T46*Table1[[#This Row],[E&amp;D Rate per unit]]*Table1[[#This Row],[Quantity]],2)</f>
        <v>0</v>
      </c>
      <c r="AA46" s="112">
        <v>1</v>
      </c>
      <c r="AB46" s="21">
        <f>ROUND(X46+Z46+Y46,2)*Table1[[#This Row],[Until WA Approved Only Approved this %]]</f>
        <v>15092</v>
      </c>
      <c r="AC46" s="136"/>
      <c r="AD46" s="136">
        <f>Table1[[#This Row],[Total Amount]]-Table1[[#This Row],[Previous Amount]]</f>
        <v>15092</v>
      </c>
      <c r="AE46" s="137" t="s">
        <v>676</v>
      </c>
      <c r="AG46" s="176">
        <v>15092</v>
      </c>
      <c r="AH46" s="178">
        <f>AG46-Table1[[#This Row],[Total Amount]]</f>
        <v>0</v>
      </c>
      <c r="AI46" s="171">
        <f t="shared" si="2"/>
        <v>0</v>
      </c>
    </row>
    <row r="47" spans="1:35" ht="30" customHeight="1" x14ac:dyDescent="0.3">
      <c r="A47" s="91" t="s">
        <v>159</v>
      </c>
      <c r="B47" s="91" t="s">
        <v>99</v>
      </c>
      <c r="C47" s="16" t="s">
        <v>661</v>
      </c>
      <c r="D47" s="109">
        <v>77660</v>
      </c>
      <c r="E47" s="109"/>
      <c r="F47" s="17" t="s">
        <v>653</v>
      </c>
      <c r="G47" s="17" t="s">
        <v>211</v>
      </c>
      <c r="H47" s="16" t="s">
        <v>650</v>
      </c>
      <c r="I47" s="109">
        <v>1</v>
      </c>
      <c r="J47" s="16">
        <v>6</v>
      </c>
      <c r="K47" s="16">
        <v>1</v>
      </c>
      <c r="L47" s="16">
        <v>1</v>
      </c>
      <c r="M47" s="16"/>
      <c r="N47" s="111" t="s">
        <v>285</v>
      </c>
      <c r="O47" s="16">
        <f t="shared" si="4"/>
        <v>6</v>
      </c>
      <c r="P47" s="18">
        <v>44844</v>
      </c>
      <c r="Q47" s="125"/>
      <c r="R47" s="112">
        <v>0</v>
      </c>
      <c r="S47" s="112">
        <v>1</v>
      </c>
      <c r="T47" s="112">
        <v>0</v>
      </c>
      <c r="U47" s="113">
        <f>IF(ISBLANK(Table1[[#This Row],[OHC Date]]),$B$7-Table1[[#This Row],[HOC Date]]+1,Table1[[#This Row],[OHC Date]]-Table1[[#This Row],[HOC Date]]+1)/7</f>
        <v>11</v>
      </c>
      <c r="V47" s="114">
        <v>0</v>
      </c>
      <c r="W47" s="114">
        <v>1.4</v>
      </c>
      <c r="X47" s="114">
        <f>ROUND(0.7*Table1[[#This Row],[E&amp;D Rate per unit]]*R47*Table1[[#This Row],[Quantity]],2)</f>
        <v>0</v>
      </c>
      <c r="Y47" s="21">
        <f t="shared" si="5"/>
        <v>92.4</v>
      </c>
      <c r="Z47" s="114">
        <f>ROUND(0.3*T47*Table1[[#This Row],[E&amp;D Rate per unit]]*Table1[[#This Row],[Quantity]],2)</f>
        <v>0</v>
      </c>
      <c r="AA47" s="19">
        <v>1</v>
      </c>
      <c r="AB47" s="21">
        <f>ROUND(X47+Z47+Y47,2)*Table1[[#This Row],[Until WA Approved Only Approved this %]]</f>
        <v>92.4</v>
      </c>
      <c r="AC47" s="136"/>
      <c r="AD47" s="136">
        <f>Table1[[#This Row],[Total Amount]]-Table1[[#This Row],[Previous Amount]]</f>
        <v>92.4</v>
      </c>
      <c r="AE47" s="137" t="s">
        <v>676</v>
      </c>
      <c r="AG47" s="174">
        <v>92.4</v>
      </c>
      <c r="AH47" s="178">
        <f>AG47-Table1[[#This Row],[Total Amount]]</f>
        <v>0</v>
      </c>
      <c r="AI47" s="171">
        <f t="shared" si="2"/>
        <v>0</v>
      </c>
    </row>
    <row r="48" spans="1:35" ht="30" customHeight="1" x14ac:dyDescent="0.3">
      <c r="A48" s="91" t="s">
        <v>159</v>
      </c>
      <c r="B48" s="91" t="s">
        <v>99</v>
      </c>
      <c r="C48" s="16">
        <v>2</v>
      </c>
      <c r="D48" s="109">
        <v>74661</v>
      </c>
      <c r="E48" s="109"/>
      <c r="F48" s="17" t="s">
        <v>662</v>
      </c>
      <c r="G48" s="17" t="s">
        <v>161</v>
      </c>
      <c r="H48" s="16" t="s">
        <v>663</v>
      </c>
      <c r="I48" s="109">
        <v>1</v>
      </c>
      <c r="J48" s="16">
        <v>21.1</v>
      </c>
      <c r="K48" s="16">
        <v>9</v>
      </c>
      <c r="L48" s="16">
        <v>9.1999999999999993</v>
      </c>
      <c r="M48" s="16">
        <v>1</v>
      </c>
      <c r="N48" s="111" t="s">
        <v>226</v>
      </c>
      <c r="O48" s="16">
        <f t="shared" ref="O48:O71" si="6">ROUND(IF(N48="m3",I48*J48*K48*L48,IF(N48="m2-LxH",I48*J48*L48,IF(N48="m2-LxW",I48*J48*K48,IF(N48="rm",I48*L48,IF(N48="lm",I48*J48,IF(N48="unit",I48,"NA")))))),2)</f>
        <v>1747.08</v>
      </c>
      <c r="P48" s="18">
        <v>44826</v>
      </c>
      <c r="Q48" s="125"/>
      <c r="R48" s="112">
        <v>0</v>
      </c>
      <c r="S48" s="112">
        <v>1</v>
      </c>
      <c r="T48" s="112">
        <v>0</v>
      </c>
      <c r="U48" s="113">
        <f>IF(ISBLANK(Table1[[#This Row],[OHC Date]]),$B$7-Table1[[#This Row],[HOC Date]]+1,Table1[[#This Row],[OHC Date]]-Table1[[#This Row],[HOC Date]]+1)/7</f>
        <v>13.571428571428571</v>
      </c>
      <c r="V48" s="114">
        <v>0</v>
      </c>
      <c r="W48" s="114">
        <v>0.49</v>
      </c>
      <c r="X48" s="114">
        <f>ROUND(0.7*Table1[[#This Row],[E&amp;D Rate per unit]]*R48*Table1[[#This Row],[Quantity]],2)</f>
        <v>0</v>
      </c>
      <c r="Y48" s="21">
        <f t="shared" si="5"/>
        <v>11618.08</v>
      </c>
      <c r="Z48" s="114">
        <f>ROUND(0.3*T48*Table1[[#This Row],[E&amp;D Rate per unit]]*Table1[[#This Row],[Quantity]],2)</f>
        <v>0</v>
      </c>
      <c r="AA48" s="19">
        <v>1</v>
      </c>
      <c r="AB48" s="21">
        <f>ROUND(X48+Z48+Y48,2)*Table1[[#This Row],[Until WA Approved Only Approved this %]]</f>
        <v>11618.08</v>
      </c>
      <c r="AC48" s="136"/>
      <c r="AD48" s="136">
        <f>Table1[[#This Row],[Total Amount]]-Table1[[#This Row],[Previous Amount]]</f>
        <v>11618.08</v>
      </c>
      <c r="AE48" s="137" t="s">
        <v>676</v>
      </c>
      <c r="AG48" s="174">
        <v>11618.08</v>
      </c>
      <c r="AH48" s="178">
        <f>AG48-Table1[[#This Row],[Total Amount]]</f>
        <v>0</v>
      </c>
      <c r="AI48" s="171">
        <f t="shared" si="2"/>
        <v>0</v>
      </c>
    </row>
    <row r="49" spans="1:35" ht="30" customHeight="1" x14ac:dyDescent="0.3">
      <c r="A49" s="91" t="s">
        <v>159</v>
      </c>
      <c r="B49" s="91" t="s">
        <v>99</v>
      </c>
      <c r="C49" s="16">
        <v>3</v>
      </c>
      <c r="D49" s="109">
        <v>74667</v>
      </c>
      <c r="E49" s="109"/>
      <c r="F49" s="17" t="s">
        <v>662</v>
      </c>
      <c r="G49" s="17" t="s">
        <v>165</v>
      </c>
      <c r="H49" s="16" t="s">
        <v>663</v>
      </c>
      <c r="I49" s="109">
        <v>1</v>
      </c>
      <c r="J49" s="16">
        <v>22.9</v>
      </c>
      <c r="K49" s="16">
        <v>3.4</v>
      </c>
      <c r="L49" s="16">
        <v>14</v>
      </c>
      <c r="M49" s="16">
        <v>1</v>
      </c>
      <c r="N49" s="111" t="s">
        <v>226</v>
      </c>
      <c r="O49" s="16">
        <f t="shared" si="6"/>
        <v>1090.04</v>
      </c>
      <c r="P49" s="18">
        <v>44831</v>
      </c>
      <c r="Q49" s="125"/>
      <c r="R49" s="112">
        <v>0</v>
      </c>
      <c r="S49" s="112">
        <v>1</v>
      </c>
      <c r="T49" s="112">
        <v>0</v>
      </c>
      <c r="U49" s="113">
        <f>IF(ISBLANK(Table1[[#This Row],[OHC Date]]),$B$7-Table1[[#This Row],[HOC Date]]+1,Table1[[#This Row],[OHC Date]]-Table1[[#This Row],[HOC Date]]+1)/7</f>
        <v>12.857142857142858</v>
      </c>
      <c r="V49" s="114">
        <v>0</v>
      </c>
      <c r="W49" s="114">
        <v>0.49</v>
      </c>
      <c r="X49" s="114">
        <f>ROUND(0.7*Table1[[#This Row],[E&amp;D Rate per unit]]*R49*Table1[[#This Row],[Quantity]],2)</f>
        <v>0</v>
      </c>
      <c r="Y49" s="21">
        <f t="shared" si="5"/>
        <v>6867.25</v>
      </c>
      <c r="Z49" s="114">
        <f>ROUND(0.3*T49*Table1[[#This Row],[E&amp;D Rate per unit]]*Table1[[#This Row],[Quantity]],2)</f>
        <v>0</v>
      </c>
      <c r="AA49" s="19">
        <v>1</v>
      </c>
      <c r="AB49" s="21">
        <f>ROUND(X49+Z49+Y49,2)*Table1[[#This Row],[Until WA Approved Only Approved this %]]</f>
        <v>6867.25</v>
      </c>
      <c r="AC49" s="136"/>
      <c r="AD49" s="136">
        <f>Table1[[#This Row],[Total Amount]]-Table1[[#This Row],[Previous Amount]]</f>
        <v>6867.25</v>
      </c>
      <c r="AE49" s="137" t="s">
        <v>676</v>
      </c>
      <c r="AG49" s="174">
        <v>6867.25</v>
      </c>
      <c r="AH49" s="178">
        <f>AG49-Table1[[#This Row],[Total Amount]]</f>
        <v>0</v>
      </c>
      <c r="AI49" s="171">
        <f t="shared" si="2"/>
        <v>0</v>
      </c>
    </row>
    <row r="50" spans="1:35" ht="30" customHeight="1" x14ac:dyDescent="0.3">
      <c r="A50" s="91" t="s">
        <v>159</v>
      </c>
      <c r="B50" s="91" t="s">
        <v>99</v>
      </c>
      <c r="C50" s="16">
        <v>3</v>
      </c>
      <c r="D50" s="109">
        <v>74667</v>
      </c>
      <c r="E50" s="109"/>
      <c r="F50" s="17" t="s">
        <v>662</v>
      </c>
      <c r="G50" s="17" t="s">
        <v>161</v>
      </c>
      <c r="H50" s="16" t="s">
        <v>663</v>
      </c>
      <c r="I50" s="109">
        <v>1</v>
      </c>
      <c r="J50" s="16">
        <v>22.9</v>
      </c>
      <c r="K50" s="16">
        <v>7.2</v>
      </c>
      <c r="L50" s="16">
        <v>7.5</v>
      </c>
      <c r="M50" s="16">
        <v>1</v>
      </c>
      <c r="N50" s="111" t="s">
        <v>226</v>
      </c>
      <c r="O50" s="16">
        <f t="shared" si="6"/>
        <v>1236.5999999999999</v>
      </c>
      <c r="P50" s="18">
        <v>44831</v>
      </c>
      <c r="Q50" s="125"/>
      <c r="R50" s="112">
        <v>0</v>
      </c>
      <c r="S50" s="112">
        <v>1</v>
      </c>
      <c r="T50" s="112">
        <v>0</v>
      </c>
      <c r="U50" s="113">
        <f>IF(ISBLANK(Table1[[#This Row],[OHC Date]]),$B$7-Table1[[#This Row],[HOC Date]]+1,Table1[[#This Row],[OHC Date]]-Table1[[#This Row],[HOC Date]]+1)/7</f>
        <v>12.857142857142858</v>
      </c>
      <c r="V50" s="114">
        <v>0</v>
      </c>
      <c r="W50" s="114">
        <v>0.49</v>
      </c>
      <c r="X50" s="114">
        <f>ROUND(0.7*Table1[[#This Row],[E&amp;D Rate per unit]]*R50*Table1[[#This Row],[Quantity]],2)</f>
        <v>0</v>
      </c>
      <c r="Y50" s="21">
        <f t="shared" si="5"/>
        <v>7790.58</v>
      </c>
      <c r="Z50" s="114">
        <f>ROUND(0.3*T50*Table1[[#This Row],[E&amp;D Rate per unit]]*Table1[[#This Row],[Quantity]],2)</f>
        <v>0</v>
      </c>
      <c r="AA50" s="19">
        <v>1</v>
      </c>
      <c r="AB50" s="21">
        <f>ROUND(X50+Z50+Y50,2)*Table1[[#This Row],[Until WA Approved Only Approved this %]]</f>
        <v>7790.58</v>
      </c>
      <c r="AC50" s="136"/>
      <c r="AD50" s="136">
        <f>Table1[[#This Row],[Total Amount]]-Table1[[#This Row],[Previous Amount]]</f>
        <v>7790.58</v>
      </c>
      <c r="AE50" s="137" t="s">
        <v>676</v>
      </c>
      <c r="AG50" s="174">
        <v>7790.58</v>
      </c>
      <c r="AH50" s="178">
        <f>AG50-Table1[[#This Row],[Total Amount]]</f>
        <v>0</v>
      </c>
      <c r="AI50" s="171">
        <f t="shared" si="2"/>
        <v>0</v>
      </c>
    </row>
    <row r="51" spans="1:35" ht="30" customHeight="1" x14ac:dyDescent="0.3">
      <c r="A51" s="91" t="s">
        <v>159</v>
      </c>
      <c r="B51" s="91" t="s">
        <v>99</v>
      </c>
      <c r="C51" s="16">
        <v>3</v>
      </c>
      <c r="D51" s="109">
        <v>74667</v>
      </c>
      <c r="E51" s="109"/>
      <c r="F51" s="17" t="s">
        <v>662</v>
      </c>
      <c r="G51" s="17" t="s">
        <v>161</v>
      </c>
      <c r="H51" s="16" t="s">
        <v>663</v>
      </c>
      <c r="I51" s="109">
        <v>1</v>
      </c>
      <c r="J51" s="158">
        <v>72</v>
      </c>
      <c r="K51" s="16">
        <v>1</v>
      </c>
      <c r="L51" s="16">
        <v>1</v>
      </c>
      <c r="M51" s="16"/>
      <c r="N51" s="111" t="s">
        <v>285</v>
      </c>
      <c r="O51" s="16">
        <f t="shared" si="6"/>
        <v>72</v>
      </c>
      <c r="P51" s="18">
        <v>44831</v>
      </c>
      <c r="Q51" s="125"/>
      <c r="R51" s="112">
        <v>0</v>
      </c>
      <c r="S51" s="112">
        <v>1</v>
      </c>
      <c r="T51" s="112">
        <v>0</v>
      </c>
      <c r="U51" s="113">
        <f>IF(ISBLANK(Table1[[#This Row],[OHC Date]]),$B$7-Table1[[#This Row],[HOC Date]]+1,Table1[[#This Row],[OHC Date]]-Table1[[#This Row],[HOC Date]]+1)/7</f>
        <v>12.857142857142858</v>
      </c>
      <c r="V51" s="114">
        <v>0</v>
      </c>
      <c r="W51" s="114">
        <v>1.4</v>
      </c>
      <c r="X51" s="114">
        <f>ROUND(0.7*Table1[[#This Row],[E&amp;D Rate per unit]]*R51*Table1[[#This Row],[Quantity]],2)</f>
        <v>0</v>
      </c>
      <c r="Y51" s="21">
        <f t="shared" si="5"/>
        <v>1296</v>
      </c>
      <c r="Z51" s="114">
        <f>ROUND(0.3*T51*Table1[[#This Row],[E&amp;D Rate per unit]]*Table1[[#This Row],[Quantity]],2)</f>
        <v>0</v>
      </c>
      <c r="AA51" s="19">
        <v>1</v>
      </c>
      <c r="AB51" s="21">
        <f>ROUND(X51+Z51+Y51,2)*Table1[[#This Row],[Until WA Approved Only Approved this %]]</f>
        <v>1296</v>
      </c>
      <c r="AC51" s="136"/>
      <c r="AD51" s="136">
        <f>Table1[[#This Row],[Total Amount]]-Table1[[#This Row],[Previous Amount]]</f>
        <v>1296</v>
      </c>
      <c r="AE51" s="137" t="s">
        <v>676</v>
      </c>
      <c r="AG51" s="174">
        <v>2073.6</v>
      </c>
      <c r="AH51" s="178">
        <f>AG51-Table1[[#This Row],[Total Amount]]</f>
        <v>777.59999999999991</v>
      </c>
      <c r="AI51" s="171">
        <f t="shared" si="2"/>
        <v>0.375</v>
      </c>
    </row>
    <row r="52" spans="1:35" s="164" customFormat="1" ht="30" customHeight="1" x14ac:dyDescent="0.3">
      <c r="A52" s="91" t="s">
        <v>159</v>
      </c>
      <c r="B52" s="91" t="s">
        <v>99</v>
      </c>
      <c r="C52" s="16">
        <v>3</v>
      </c>
      <c r="D52" s="109">
        <v>74667</v>
      </c>
      <c r="E52" s="109"/>
      <c r="F52" s="17" t="s">
        <v>662</v>
      </c>
      <c r="G52" s="17" t="s">
        <v>161</v>
      </c>
      <c r="H52" s="16" t="s">
        <v>643</v>
      </c>
      <c r="I52" s="109">
        <v>1</v>
      </c>
      <c r="J52" s="16">
        <v>22.9</v>
      </c>
      <c r="K52" s="16">
        <v>2.4</v>
      </c>
      <c r="L52" s="16">
        <v>1</v>
      </c>
      <c r="M52" s="16"/>
      <c r="N52" s="111" t="s">
        <v>226</v>
      </c>
      <c r="O52" s="16">
        <f t="shared" si="6"/>
        <v>54.96</v>
      </c>
      <c r="P52" s="18">
        <v>44831</v>
      </c>
      <c r="Q52" s="125"/>
      <c r="R52" s="112">
        <v>0</v>
      </c>
      <c r="S52" s="112">
        <v>1</v>
      </c>
      <c r="T52" s="112">
        <v>0</v>
      </c>
      <c r="U52" s="113">
        <f>IF(ISBLANK(Table1[[#This Row],[OHC Date]]),$B$7-Table1[[#This Row],[HOC Date]]+1,Table1[[#This Row],[OHC Date]]-Table1[[#This Row],[HOC Date]]+1)/7</f>
        <v>12.857142857142858</v>
      </c>
      <c r="V52" s="114">
        <v>0</v>
      </c>
      <c r="W52" s="114">
        <v>10.15</v>
      </c>
      <c r="X52" s="114">
        <f>ROUND(0.7*Table1[[#This Row],[E&amp;D Rate per unit]]*R52*Table1[[#This Row],[Quantity]],2)</f>
        <v>0</v>
      </c>
      <c r="Y52" s="21">
        <f t="shared" si="5"/>
        <v>7172.28</v>
      </c>
      <c r="Z52" s="114">
        <f>ROUND(0.3*T52*Table1[[#This Row],[E&amp;D Rate per unit]]*Table1[[#This Row],[Quantity]],2)</f>
        <v>0</v>
      </c>
      <c r="AA52" s="112">
        <v>1</v>
      </c>
      <c r="AB52" s="21">
        <f>ROUND(X52+Z52+Y52,2)*Table1[[#This Row],[Until WA Approved Only Approved this %]]</f>
        <v>7172.28</v>
      </c>
      <c r="AC52" s="136"/>
      <c r="AD52" s="136">
        <f>Table1[[#This Row],[Total Amount]]-Table1[[#This Row],[Previous Amount]]</f>
        <v>7172.28</v>
      </c>
      <c r="AE52" s="137" t="s">
        <v>676</v>
      </c>
      <c r="AG52" s="176">
        <v>7172.28</v>
      </c>
      <c r="AH52" s="178">
        <f>AG52-Table1[[#This Row],[Total Amount]]</f>
        <v>0</v>
      </c>
      <c r="AI52" s="171">
        <f t="shared" si="2"/>
        <v>0</v>
      </c>
    </row>
    <row r="53" spans="1:35" ht="30" customHeight="1" x14ac:dyDescent="0.3">
      <c r="A53" s="91" t="s">
        <v>159</v>
      </c>
      <c r="B53" s="91" t="s">
        <v>99</v>
      </c>
      <c r="C53" s="16">
        <v>10</v>
      </c>
      <c r="D53" s="109">
        <v>74681</v>
      </c>
      <c r="E53" s="109"/>
      <c r="F53" s="17" t="s">
        <v>664</v>
      </c>
      <c r="G53" s="17" t="s">
        <v>665</v>
      </c>
      <c r="H53" s="16" t="s">
        <v>666</v>
      </c>
      <c r="I53" s="109">
        <v>1</v>
      </c>
      <c r="J53" s="16">
        <v>24.7</v>
      </c>
      <c r="K53" s="16">
        <v>1.3</v>
      </c>
      <c r="L53" s="16">
        <v>4.2</v>
      </c>
      <c r="M53" s="16">
        <v>1</v>
      </c>
      <c r="N53" s="111" t="s">
        <v>208</v>
      </c>
      <c r="O53" s="16">
        <f t="shared" si="6"/>
        <v>103.74</v>
      </c>
      <c r="P53" s="18">
        <v>44846</v>
      </c>
      <c r="Q53" s="125"/>
      <c r="R53" s="112">
        <v>0</v>
      </c>
      <c r="S53" s="112">
        <v>1</v>
      </c>
      <c r="T53" s="112">
        <v>0</v>
      </c>
      <c r="U53" s="113">
        <f>IF(ISBLANK(Table1[[#This Row],[OHC Date]]),$B$7-Table1[[#This Row],[HOC Date]]+1,Table1[[#This Row],[OHC Date]]-Table1[[#This Row],[HOC Date]]+1)/7</f>
        <v>10.714285714285714</v>
      </c>
      <c r="V53" s="114">
        <v>0</v>
      </c>
      <c r="W53" s="114">
        <v>0.49</v>
      </c>
      <c r="X53" s="114">
        <f>ROUND(0.7*Table1[[#This Row],[E&amp;D Rate per unit]]*R53*Table1[[#This Row],[Quantity]],2)</f>
        <v>0</v>
      </c>
      <c r="Y53" s="21">
        <f t="shared" si="5"/>
        <v>544.64</v>
      </c>
      <c r="Z53" s="114">
        <f>ROUND(0.3*T53*Table1[[#This Row],[E&amp;D Rate per unit]]*Table1[[#This Row],[Quantity]],2)</f>
        <v>0</v>
      </c>
      <c r="AA53" s="19">
        <v>1</v>
      </c>
      <c r="AB53" s="21">
        <f>ROUND(X53+Z53+Y53,2)*Table1[[#This Row],[Until WA Approved Only Approved this %]]</f>
        <v>544.64</v>
      </c>
      <c r="AC53" s="136"/>
      <c r="AD53" s="136">
        <f>Table1[[#This Row],[Total Amount]]-Table1[[#This Row],[Previous Amount]]</f>
        <v>544.64</v>
      </c>
      <c r="AE53" s="137" t="s">
        <v>676</v>
      </c>
      <c r="AG53" s="174">
        <v>778.05</v>
      </c>
      <c r="AH53" s="178">
        <f>AG53-Table1[[#This Row],[Total Amount]]</f>
        <v>233.40999999999997</v>
      </c>
      <c r="AI53" s="171">
        <f t="shared" si="2"/>
        <v>0.29999357367778418</v>
      </c>
    </row>
    <row r="54" spans="1:35" s="164" customFormat="1" ht="30" customHeight="1" x14ac:dyDescent="0.3">
      <c r="A54" s="91" t="s">
        <v>159</v>
      </c>
      <c r="B54" s="91" t="s">
        <v>99</v>
      </c>
      <c r="C54" s="16">
        <v>10</v>
      </c>
      <c r="D54" s="109">
        <v>74681</v>
      </c>
      <c r="E54" s="109"/>
      <c r="F54" s="17" t="s">
        <v>664</v>
      </c>
      <c r="G54" s="17" t="s">
        <v>665</v>
      </c>
      <c r="H54" s="16" t="s">
        <v>643</v>
      </c>
      <c r="I54" s="109">
        <v>1</v>
      </c>
      <c r="J54" s="16">
        <v>24.7</v>
      </c>
      <c r="K54" s="16">
        <v>1.3</v>
      </c>
      <c r="L54" s="16">
        <v>1</v>
      </c>
      <c r="M54" s="16"/>
      <c r="N54" s="111" t="s">
        <v>226</v>
      </c>
      <c r="O54" s="16">
        <f t="shared" si="6"/>
        <v>32.11</v>
      </c>
      <c r="P54" s="18">
        <v>44846</v>
      </c>
      <c r="Q54" s="125"/>
      <c r="R54" s="112">
        <v>0</v>
      </c>
      <c r="S54" s="112">
        <v>1</v>
      </c>
      <c r="T54" s="112">
        <v>0</v>
      </c>
      <c r="U54" s="113">
        <f>IF(ISBLANK(Table1[[#This Row],[OHC Date]]),$B$7-Table1[[#This Row],[HOC Date]]+1,Table1[[#This Row],[OHC Date]]-Table1[[#This Row],[HOC Date]]+1)/7</f>
        <v>10.714285714285714</v>
      </c>
      <c r="V54" s="114">
        <v>0</v>
      </c>
      <c r="W54" s="114">
        <v>10.15</v>
      </c>
      <c r="X54" s="114">
        <f>ROUND(0.7*Table1[[#This Row],[E&amp;D Rate per unit]]*R54*Table1[[#This Row],[Quantity]],2)</f>
        <v>0</v>
      </c>
      <c r="Y54" s="21">
        <f t="shared" si="5"/>
        <v>3491.96</v>
      </c>
      <c r="Z54" s="114">
        <f>ROUND(0.3*T54*Table1[[#This Row],[E&amp;D Rate per unit]]*Table1[[#This Row],[Quantity]],2)</f>
        <v>0</v>
      </c>
      <c r="AA54" s="112">
        <v>1</v>
      </c>
      <c r="AB54" s="21">
        <f>ROUND(X54+Z54+Y54,2)*Table1[[#This Row],[Until WA Approved Only Approved this %]]</f>
        <v>3491.96</v>
      </c>
      <c r="AC54" s="136"/>
      <c r="AD54" s="136">
        <f>Table1[[#This Row],[Total Amount]]-Table1[[#This Row],[Previous Amount]]</f>
        <v>3491.96</v>
      </c>
      <c r="AE54" s="137" t="s">
        <v>676</v>
      </c>
      <c r="AG54" s="176">
        <v>3491.96</v>
      </c>
      <c r="AH54" s="178">
        <f>AG54-Table1[[#This Row],[Total Amount]]</f>
        <v>0</v>
      </c>
      <c r="AI54" s="171">
        <f t="shared" si="2"/>
        <v>0</v>
      </c>
    </row>
    <row r="55" spans="1:35" ht="30" customHeight="1" x14ac:dyDescent="0.3">
      <c r="A55" s="91" t="s">
        <v>159</v>
      </c>
      <c r="B55" s="91" t="s">
        <v>99</v>
      </c>
      <c r="C55" s="16">
        <v>9</v>
      </c>
      <c r="D55" s="109">
        <v>74680</v>
      </c>
      <c r="E55" s="109"/>
      <c r="F55" s="17" t="s">
        <v>664</v>
      </c>
      <c r="G55" s="17" t="s">
        <v>165</v>
      </c>
      <c r="H55" s="16" t="s">
        <v>667</v>
      </c>
      <c r="I55" s="109">
        <v>1</v>
      </c>
      <c r="J55" s="16">
        <v>18.8</v>
      </c>
      <c r="K55" s="16">
        <v>3.6</v>
      </c>
      <c r="L55" s="16">
        <v>4.7</v>
      </c>
      <c r="M55" s="16"/>
      <c r="N55" s="111" t="s">
        <v>226</v>
      </c>
      <c r="O55" s="16">
        <f t="shared" si="6"/>
        <v>318.10000000000002</v>
      </c>
      <c r="P55" s="18">
        <v>44846</v>
      </c>
      <c r="Q55" s="125"/>
      <c r="R55" s="112">
        <v>0</v>
      </c>
      <c r="S55" s="112">
        <v>1</v>
      </c>
      <c r="T55" s="112">
        <v>0</v>
      </c>
      <c r="U55" s="113">
        <f>IF(ISBLANK(Table1[[#This Row],[OHC Date]]),$B$7-Table1[[#This Row],[HOC Date]]+1,Table1[[#This Row],[OHC Date]]-Table1[[#This Row],[HOC Date]]+1)/7</f>
        <v>10.714285714285714</v>
      </c>
      <c r="V55" s="114">
        <v>0</v>
      </c>
      <c r="W55" s="114">
        <v>0.49</v>
      </c>
      <c r="X55" s="114">
        <f>ROUND(0.7*Table1[[#This Row],[E&amp;D Rate per unit]]*R55*Table1[[#This Row],[Quantity]],2)</f>
        <v>0</v>
      </c>
      <c r="Y55" s="21">
        <f t="shared" si="5"/>
        <v>1670.03</v>
      </c>
      <c r="Z55" s="114">
        <f>ROUND(0.3*T55*Table1[[#This Row],[E&amp;D Rate per unit]]*Table1[[#This Row],[Quantity]],2)</f>
        <v>0</v>
      </c>
      <c r="AA55" s="19">
        <v>1</v>
      </c>
      <c r="AB55" s="21">
        <f>ROUND(X55+Z55+Y55,2)*Table1[[#This Row],[Until WA Approved Only Approved this %]]</f>
        <v>1670.03</v>
      </c>
      <c r="AC55" s="136"/>
      <c r="AD55" s="136">
        <f>Table1[[#This Row],[Total Amount]]-Table1[[#This Row],[Previous Amount]]</f>
        <v>1670.03</v>
      </c>
      <c r="AE55" s="137" t="s">
        <v>676</v>
      </c>
      <c r="AG55" s="174">
        <v>1670.03</v>
      </c>
      <c r="AH55" s="178">
        <f>AG55-Table1[[#This Row],[Total Amount]]</f>
        <v>0</v>
      </c>
      <c r="AI55" s="171">
        <f t="shared" si="2"/>
        <v>0</v>
      </c>
    </row>
    <row r="56" spans="1:35" s="164" customFormat="1" ht="30" customHeight="1" x14ac:dyDescent="0.3">
      <c r="A56" s="91" t="s">
        <v>159</v>
      </c>
      <c r="B56" s="91" t="s">
        <v>99</v>
      </c>
      <c r="C56" s="16">
        <v>9</v>
      </c>
      <c r="D56" s="109">
        <v>74680</v>
      </c>
      <c r="E56" s="109"/>
      <c r="F56" s="17" t="s">
        <v>664</v>
      </c>
      <c r="G56" s="17" t="s">
        <v>165</v>
      </c>
      <c r="H56" s="16" t="s">
        <v>643</v>
      </c>
      <c r="I56" s="109">
        <v>1</v>
      </c>
      <c r="J56" s="16">
        <v>18.8</v>
      </c>
      <c r="K56" s="16">
        <v>3.6</v>
      </c>
      <c r="L56" s="16">
        <v>1</v>
      </c>
      <c r="M56" s="16"/>
      <c r="N56" s="111" t="s">
        <v>226</v>
      </c>
      <c r="O56" s="16">
        <f t="shared" si="6"/>
        <v>67.680000000000007</v>
      </c>
      <c r="P56" s="18">
        <v>44846</v>
      </c>
      <c r="Q56" s="125"/>
      <c r="R56" s="112">
        <v>0</v>
      </c>
      <c r="S56" s="112">
        <v>1</v>
      </c>
      <c r="T56" s="112">
        <v>0</v>
      </c>
      <c r="U56" s="113">
        <f>IF(ISBLANK(Table1[[#This Row],[OHC Date]]),$B$7-Table1[[#This Row],[HOC Date]]+1,Table1[[#This Row],[OHC Date]]-Table1[[#This Row],[HOC Date]]+1)/7</f>
        <v>10.714285714285714</v>
      </c>
      <c r="V56" s="114">
        <v>0</v>
      </c>
      <c r="W56" s="114">
        <v>10.15</v>
      </c>
      <c r="X56" s="114">
        <f>ROUND(0.7*Table1[[#This Row],[E&amp;D Rate per unit]]*R56*Table1[[#This Row],[Quantity]],2)</f>
        <v>0</v>
      </c>
      <c r="Y56" s="21">
        <f t="shared" si="5"/>
        <v>7360.2</v>
      </c>
      <c r="Z56" s="114">
        <f>ROUND(0.3*T56*Table1[[#This Row],[E&amp;D Rate per unit]]*Table1[[#This Row],[Quantity]],2)</f>
        <v>0</v>
      </c>
      <c r="AA56" s="112">
        <v>1</v>
      </c>
      <c r="AB56" s="21">
        <f>ROUND(X56+Z56+Y56,2)*Table1[[#This Row],[Until WA Approved Only Approved this %]]</f>
        <v>7360.2</v>
      </c>
      <c r="AC56" s="136"/>
      <c r="AD56" s="136">
        <f>Table1[[#This Row],[Total Amount]]-Table1[[#This Row],[Previous Amount]]</f>
        <v>7360.2</v>
      </c>
      <c r="AE56" s="137" t="s">
        <v>676</v>
      </c>
      <c r="AG56" s="176">
        <v>7360.2</v>
      </c>
      <c r="AH56" s="178">
        <f>AG56-Table1[[#This Row],[Total Amount]]</f>
        <v>0</v>
      </c>
      <c r="AI56" s="171">
        <f t="shared" si="2"/>
        <v>0</v>
      </c>
    </row>
    <row r="57" spans="1:35" ht="30" customHeight="1" x14ac:dyDescent="0.3">
      <c r="A57" s="91" t="s">
        <v>159</v>
      </c>
      <c r="B57" s="91" t="s">
        <v>99</v>
      </c>
      <c r="C57" s="16">
        <v>108</v>
      </c>
      <c r="D57" s="109">
        <v>77542</v>
      </c>
      <c r="E57" s="109"/>
      <c r="F57" s="17" t="s">
        <v>668</v>
      </c>
      <c r="G57" s="17" t="s">
        <v>669</v>
      </c>
      <c r="H57" s="16" t="s">
        <v>670</v>
      </c>
      <c r="I57" s="109">
        <v>1</v>
      </c>
      <c r="J57" s="16">
        <v>12.6</v>
      </c>
      <c r="K57" s="16">
        <v>1.3</v>
      </c>
      <c r="L57" s="16">
        <v>8.8000000000000007</v>
      </c>
      <c r="M57" s="16">
        <v>1</v>
      </c>
      <c r="N57" s="111" t="s">
        <v>208</v>
      </c>
      <c r="O57" s="16">
        <f t="shared" si="6"/>
        <v>110.88</v>
      </c>
      <c r="P57" s="18">
        <v>44895</v>
      </c>
      <c r="Q57" s="125"/>
      <c r="R57" s="112">
        <v>0</v>
      </c>
      <c r="S57" s="112">
        <v>1</v>
      </c>
      <c r="T57" s="112">
        <v>0</v>
      </c>
      <c r="U57" s="113">
        <f>IF(ISBLANK(Table1[[#This Row],[OHC Date]]),$B$7-Table1[[#This Row],[HOC Date]]+1,Table1[[#This Row],[OHC Date]]-Table1[[#This Row],[HOC Date]]+1)/7</f>
        <v>3.7142857142857144</v>
      </c>
      <c r="V57" s="114">
        <v>0</v>
      </c>
      <c r="W57" s="114">
        <v>0.49</v>
      </c>
      <c r="X57" s="114">
        <f>ROUND(0.7*Table1[[#This Row],[E&amp;D Rate per unit]]*R57*Table1[[#This Row],[Quantity]],2)</f>
        <v>0</v>
      </c>
      <c r="Y57" s="21">
        <f t="shared" si="5"/>
        <v>201.8</v>
      </c>
      <c r="Z57" s="114">
        <f>ROUND(0.3*T57*Table1[[#This Row],[E&amp;D Rate per unit]]*Table1[[#This Row],[Quantity]],2)</f>
        <v>0</v>
      </c>
      <c r="AA57" s="19">
        <v>1</v>
      </c>
      <c r="AB57" s="21">
        <f>ROUND(X57+Z57+Y57,2)*Table1[[#This Row],[Until WA Approved Only Approved this %]]</f>
        <v>201.8</v>
      </c>
      <c r="AC57" s="136"/>
      <c r="AD57" s="136">
        <f>Table1[[#This Row],[Total Amount]]-Table1[[#This Row],[Previous Amount]]</f>
        <v>201.8</v>
      </c>
      <c r="AE57" s="137" t="s">
        <v>676</v>
      </c>
      <c r="AG57" s="174">
        <v>201.8</v>
      </c>
      <c r="AH57" s="178">
        <f>AG57-Table1[[#This Row],[Total Amount]]</f>
        <v>0</v>
      </c>
      <c r="AI57" s="171">
        <f t="shared" si="2"/>
        <v>0</v>
      </c>
    </row>
    <row r="58" spans="1:35" s="164" customFormat="1" ht="30" customHeight="1" x14ac:dyDescent="0.3">
      <c r="A58" s="91" t="s">
        <v>159</v>
      </c>
      <c r="B58" s="91" t="s">
        <v>99</v>
      </c>
      <c r="C58" s="16">
        <v>108</v>
      </c>
      <c r="D58" s="109">
        <v>77542</v>
      </c>
      <c r="E58" s="109"/>
      <c r="F58" s="17" t="s">
        <v>668</v>
      </c>
      <c r="G58" s="17" t="s">
        <v>669</v>
      </c>
      <c r="H58" s="16" t="s">
        <v>643</v>
      </c>
      <c r="I58" s="109">
        <v>1</v>
      </c>
      <c r="J58" s="16">
        <v>12.6</v>
      </c>
      <c r="K58" s="16">
        <v>1.3</v>
      </c>
      <c r="L58" s="16">
        <v>1</v>
      </c>
      <c r="M58" s="16"/>
      <c r="N58" s="111" t="s">
        <v>226</v>
      </c>
      <c r="O58" s="16">
        <f t="shared" si="6"/>
        <v>16.38</v>
      </c>
      <c r="P58" s="18">
        <v>44895</v>
      </c>
      <c r="Q58" s="125"/>
      <c r="R58" s="112">
        <v>0</v>
      </c>
      <c r="S58" s="112">
        <v>1</v>
      </c>
      <c r="T58" s="112">
        <v>0</v>
      </c>
      <c r="U58" s="113">
        <f>IF(ISBLANK(Table1[[#This Row],[OHC Date]]),$B$7-Table1[[#This Row],[HOC Date]]+1,Table1[[#This Row],[OHC Date]]-Table1[[#This Row],[HOC Date]]+1)/7</f>
        <v>3.7142857142857144</v>
      </c>
      <c r="V58" s="114">
        <v>0</v>
      </c>
      <c r="W58" s="114">
        <v>10.15</v>
      </c>
      <c r="X58" s="114">
        <f>ROUND(0.7*Table1[[#This Row],[E&amp;D Rate per unit]]*R58*Table1[[#This Row],[Quantity]],2)</f>
        <v>0</v>
      </c>
      <c r="Y58" s="21">
        <f t="shared" si="5"/>
        <v>617.53</v>
      </c>
      <c r="Z58" s="114">
        <f>ROUND(0.3*T58*Table1[[#This Row],[E&amp;D Rate per unit]]*Table1[[#This Row],[Quantity]],2)</f>
        <v>0</v>
      </c>
      <c r="AA58" s="112">
        <v>1</v>
      </c>
      <c r="AB58" s="21">
        <f>ROUND(X58+Z58+Y58,2)*Table1[[#This Row],[Until WA Approved Only Approved this %]]</f>
        <v>617.53</v>
      </c>
      <c r="AC58" s="136"/>
      <c r="AD58" s="136">
        <f>Table1[[#This Row],[Total Amount]]-Table1[[#This Row],[Previous Amount]]</f>
        <v>617.53</v>
      </c>
      <c r="AE58" s="137" t="s">
        <v>676</v>
      </c>
      <c r="AG58" s="176">
        <v>617.53</v>
      </c>
      <c r="AH58" s="178">
        <f>AG58-Table1[[#This Row],[Total Amount]]</f>
        <v>0</v>
      </c>
      <c r="AI58" s="171">
        <f t="shared" si="2"/>
        <v>0</v>
      </c>
    </row>
    <row r="59" spans="1:35" ht="30" customHeight="1" x14ac:dyDescent="0.3">
      <c r="A59" s="91" t="s">
        <v>159</v>
      </c>
      <c r="B59" s="91" t="s">
        <v>99</v>
      </c>
      <c r="C59" s="16" t="s">
        <v>671</v>
      </c>
      <c r="D59" s="109">
        <v>77543</v>
      </c>
      <c r="E59" s="109"/>
      <c r="F59" s="17" t="s">
        <v>668</v>
      </c>
      <c r="G59" s="17" t="s">
        <v>339</v>
      </c>
      <c r="H59" s="16" t="s">
        <v>670</v>
      </c>
      <c r="I59" s="109">
        <v>1</v>
      </c>
      <c r="J59" s="16">
        <v>3.6</v>
      </c>
      <c r="K59" s="16">
        <v>1.8</v>
      </c>
      <c r="L59" s="16">
        <v>3</v>
      </c>
      <c r="M59" s="16"/>
      <c r="N59" s="111" t="s">
        <v>208</v>
      </c>
      <c r="O59" s="16">
        <f t="shared" si="6"/>
        <v>10.8</v>
      </c>
      <c r="P59" s="18">
        <v>44895</v>
      </c>
      <c r="Q59" s="125"/>
      <c r="R59" s="112">
        <v>0</v>
      </c>
      <c r="S59" s="112">
        <v>1</v>
      </c>
      <c r="T59" s="112">
        <v>0</v>
      </c>
      <c r="U59" s="113">
        <f>IF(ISBLANK(Table1[[#This Row],[OHC Date]]),$B$7-Table1[[#This Row],[HOC Date]]+1,Table1[[#This Row],[OHC Date]]-Table1[[#This Row],[HOC Date]]+1)/7</f>
        <v>3.7142857142857144</v>
      </c>
      <c r="V59" s="114">
        <v>0</v>
      </c>
      <c r="W59" s="114">
        <v>0.49</v>
      </c>
      <c r="X59" s="114">
        <f>ROUND(0.7*Table1[[#This Row],[E&amp;D Rate per unit]]*R59*Table1[[#This Row],[Quantity]],2)</f>
        <v>0</v>
      </c>
      <c r="Y59" s="21">
        <f t="shared" si="5"/>
        <v>19.66</v>
      </c>
      <c r="Z59" s="114">
        <f>ROUND(0.3*T59*Table1[[#This Row],[E&amp;D Rate per unit]]*Table1[[#This Row],[Quantity]],2)</f>
        <v>0</v>
      </c>
      <c r="AA59" s="19">
        <v>1</v>
      </c>
      <c r="AB59" s="21">
        <f>ROUND(X59+Z59+Y59,2)*Table1[[#This Row],[Until WA Approved Only Approved this %]]</f>
        <v>19.66</v>
      </c>
      <c r="AC59" s="136"/>
      <c r="AD59" s="136">
        <f>Table1[[#This Row],[Total Amount]]-Table1[[#This Row],[Previous Amount]]</f>
        <v>19.66</v>
      </c>
      <c r="AE59" s="137" t="s">
        <v>676</v>
      </c>
      <c r="AG59" s="174">
        <v>19.66</v>
      </c>
      <c r="AH59" s="178">
        <f>AG59-Table1[[#This Row],[Total Amount]]</f>
        <v>0</v>
      </c>
      <c r="AI59" s="171">
        <f t="shared" si="2"/>
        <v>0</v>
      </c>
    </row>
    <row r="60" spans="1:35" s="164" customFormat="1" ht="30" customHeight="1" x14ac:dyDescent="0.3">
      <c r="A60" s="91" t="s">
        <v>159</v>
      </c>
      <c r="B60" s="91" t="s">
        <v>99</v>
      </c>
      <c r="C60" s="16" t="s">
        <v>671</v>
      </c>
      <c r="D60" s="109">
        <v>77542</v>
      </c>
      <c r="E60" s="109"/>
      <c r="F60" s="17" t="s">
        <v>668</v>
      </c>
      <c r="G60" s="17" t="s">
        <v>339</v>
      </c>
      <c r="H60" s="16" t="s">
        <v>643</v>
      </c>
      <c r="I60" s="109">
        <v>1</v>
      </c>
      <c r="J60" s="16">
        <v>3.6</v>
      </c>
      <c r="K60" s="16">
        <v>1.3</v>
      </c>
      <c r="L60" s="16">
        <v>1</v>
      </c>
      <c r="M60" s="16"/>
      <c r="N60" s="111" t="s">
        <v>226</v>
      </c>
      <c r="O60" s="16">
        <f t="shared" si="6"/>
        <v>4.68</v>
      </c>
      <c r="P60" s="18">
        <v>44895</v>
      </c>
      <c r="Q60" s="125"/>
      <c r="R60" s="112">
        <v>0</v>
      </c>
      <c r="S60" s="112">
        <v>1</v>
      </c>
      <c r="T60" s="112">
        <v>0</v>
      </c>
      <c r="U60" s="113">
        <f>IF(ISBLANK(Table1[[#This Row],[OHC Date]]),$B$7-Table1[[#This Row],[HOC Date]]+1,Table1[[#This Row],[OHC Date]]-Table1[[#This Row],[HOC Date]]+1)/7</f>
        <v>3.7142857142857144</v>
      </c>
      <c r="V60" s="114">
        <v>0</v>
      </c>
      <c r="W60" s="114">
        <v>10.15</v>
      </c>
      <c r="X60" s="114">
        <f>ROUND(0.7*Table1[[#This Row],[E&amp;D Rate per unit]]*R60*Table1[[#This Row],[Quantity]],2)</f>
        <v>0</v>
      </c>
      <c r="Y60" s="21">
        <f t="shared" si="5"/>
        <v>176.44</v>
      </c>
      <c r="Z60" s="114">
        <f>ROUND(0.3*T60*Table1[[#This Row],[E&amp;D Rate per unit]]*Table1[[#This Row],[Quantity]],2)</f>
        <v>0</v>
      </c>
      <c r="AA60" s="162">
        <v>0</v>
      </c>
      <c r="AB60" s="21">
        <f>ROUND(X60+Z60+Y60,2)*Table1[[#This Row],[Until WA Approved Only Approved this %]]</f>
        <v>0</v>
      </c>
      <c r="AC60" s="136"/>
      <c r="AD60" s="136">
        <f>Table1[[#This Row],[Total Amount]]-Table1[[#This Row],[Previous Amount]]</f>
        <v>0</v>
      </c>
      <c r="AE60" s="137" t="s">
        <v>676</v>
      </c>
      <c r="AG60" s="176">
        <v>176.44</v>
      </c>
      <c r="AH60" s="178">
        <f>AG60-Table1[[#This Row],[Total Amount]]</f>
        <v>176.44</v>
      </c>
      <c r="AI60" s="171">
        <f t="shared" si="2"/>
        <v>1</v>
      </c>
    </row>
    <row r="61" spans="1:35" s="164" customFormat="1" ht="30" customHeight="1" x14ac:dyDescent="0.3">
      <c r="A61" s="91" t="s">
        <v>159</v>
      </c>
      <c r="B61" s="91" t="s">
        <v>99</v>
      </c>
      <c r="C61" s="16" t="s">
        <v>671</v>
      </c>
      <c r="D61" s="109">
        <v>77542</v>
      </c>
      <c r="E61" s="109"/>
      <c r="F61" s="17" t="s">
        <v>668</v>
      </c>
      <c r="G61" s="17" t="s">
        <v>339</v>
      </c>
      <c r="H61" s="16" t="s">
        <v>643</v>
      </c>
      <c r="I61" s="109">
        <v>1</v>
      </c>
      <c r="J61" s="16">
        <v>3.6</v>
      </c>
      <c r="K61" s="16">
        <v>1.8</v>
      </c>
      <c r="L61" s="16">
        <v>1</v>
      </c>
      <c r="M61" s="16"/>
      <c r="N61" s="111" t="s">
        <v>226</v>
      </c>
      <c r="O61" s="16">
        <f t="shared" si="6"/>
        <v>6.48</v>
      </c>
      <c r="P61" s="18">
        <v>44895</v>
      </c>
      <c r="Q61" s="125"/>
      <c r="R61" s="112">
        <v>0</v>
      </c>
      <c r="S61" s="112">
        <v>1</v>
      </c>
      <c r="T61" s="112">
        <v>0</v>
      </c>
      <c r="U61" s="113">
        <f>IF(ISBLANK(Table1[[#This Row],[OHC Date]]),$B$7-Table1[[#This Row],[HOC Date]]+1,Table1[[#This Row],[OHC Date]]-Table1[[#This Row],[HOC Date]]+1)/7</f>
        <v>3.7142857142857144</v>
      </c>
      <c r="V61" s="114">
        <v>0</v>
      </c>
      <c r="W61" s="114">
        <v>10.15</v>
      </c>
      <c r="X61" s="114">
        <f>ROUND(0.7*Table1[[#This Row],[E&amp;D Rate per unit]]*R61*Table1[[#This Row],[Quantity]],2)</f>
        <v>0</v>
      </c>
      <c r="Y61" s="21">
        <f t="shared" si="5"/>
        <v>244.3</v>
      </c>
      <c r="Z61" s="114">
        <f>ROUND(0.3*T61*Table1[[#This Row],[E&amp;D Rate per unit]]*Table1[[#This Row],[Quantity]],2)</f>
        <v>0</v>
      </c>
      <c r="AA61" s="162">
        <v>0</v>
      </c>
      <c r="AB61" s="21">
        <f>ROUND(X61+Z61+Y61,2)*Table1[[#This Row],[Until WA Approved Only Approved this %]]</f>
        <v>0</v>
      </c>
      <c r="AC61" s="136"/>
      <c r="AD61" s="136">
        <f>Table1[[#This Row],[Total Amount]]-Table1[[#This Row],[Previous Amount]]</f>
        <v>0</v>
      </c>
      <c r="AE61" s="137" t="s">
        <v>676</v>
      </c>
      <c r="AG61" s="176">
        <v>244.3</v>
      </c>
      <c r="AH61" s="178">
        <f>AG61-Table1[[#This Row],[Total Amount]]</f>
        <v>244.3</v>
      </c>
      <c r="AI61" s="171">
        <f t="shared" si="2"/>
        <v>1</v>
      </c>
    </row>
    <row r="62" spans="1:35" ht="30" customHeight="1" x14ac:dyDescent="0.3">
      <c r="A62" s="91" t="s">
        <v>159</v>
      </c>
      <c r="B62" s="91" t="s">
        <v>99</v>
      </c>
      <c r="C62" s="16" t="s">
        <v>672</v>
      </c>
      <c r="D62" s="109">
        <v>79142</v>
      </c>
      <c r="E62" s="109"/>
      <c r="F62" s="17" t="s">
        <v>673</v>
      </c>
      <c r="G62" s="17" t="s">
        <v>192</v>
      </c>
      <c r="H62" s="16" t="s">
        <v>674</v>
      </c>
      <c r="I62" s="109">
        <v>1</v>
      </c>
      <c r="J62" s="16">
        <v>11</v>
      </c>
      <c r="K62" s="16">
        <v>3.5</v>
      </c>
      <c r="L62" s="16">
        <v>1</v>
      </c>
      <c r="M62" s="16">
        <v>1</v>
      </c>
      <c r="N62" s="111" t="s">
        <v>162</v>
      </c>
      <c r="O62" s="16">
        <f t="shared" si="6"/>
        <v>38.5</v>
      </c>
      <c r="P62" s="18">
        <v>44909</v>
      </c>
      <c r="Q62" s="125"/>
      <c r="R62" s="112">
        <v>0</v>
      </c>
      <c r="S62" s="112">
        <v>1</v>
      </c>
      <c r="T62" s="112">
        <v>0</v>
      </c>
      <c r="U62" s="113">
        <f>IF(ISBLANK(Table1[[#This Row],[OHC Date]]),$B$7-Table1[[#This Row],[HOC Date]]+1,Table1[[#This Row],[OHC Date]]-Table1[[#This Row],[HOC Date]]+1)/7</f>
        <v>1.7142857142857142</v>
      </c>
      <c r="V62" s="114">
        <v>0</v>
      </c>
      <c r="W62" s="114">
        <v>8.61</v>
      </c>
      <c r="X62" s="114">
        <f>ROUND(0.7*Table1[[#This Row],[E&amp;D Rate per unit]]*R62*Table1[[#This Row],[Quantity]],2)</f>
        <v>0</v>
      </c>
      <c r="Y62" s="21">
        <f t="shared" si="5"/>
        <v>568.26</v>
      </c>
      <c r="Z62" s="114">
        <f>ROUND(0.3*T62*Table1[[#This Row],[E&amp;D Rate per unit]]*Table1[[#This Row],[Quantity]],2)</f>
        <v>0</v>
      </c>
      <c r="AA62" s="19">
        <v>1</v>
      </c>
      <c r="AB62" s="21">
        <f>ROUND(X62+Z62+Y62,2)*Table1[[#This Row],[Until WA Approved Only Approved this %]]</f>
        <v>568.26</v>
      </c>
      <c r="AC62" s="136"/>
      <c r="AD62" s="136">
        <f>Table1[[#This Row],[Total Amount]]-Table1[[#This Row],[Previous Amount]]</f>
        <v>568.26</v>
      </c>
      <c r="AE62" s="137" t="s">
        <v>676</v>
      </c>
      <c r="AG62" s="174">
        <v>568.26</v>
      </c>
      <c r="AH62" s="178">
        <f>AG62-Table1[[#This Row],[Total Amount]]</f>
        <v>0</v>
      </c>
      <c r="AI62" s="171">
        <f t="shared" si="2"/>
        <v>0</v>
      </c>
    </row>
    <row r="63" spans="1:35" s="164" customFormat="1" ht="30" customHeight="1" x14ac:dyDescent="0.3">
      <c r="A63" s="91" t="s">
        <v>159</v>
      </c>
      <c r="B63" s="91" t="s">
        <v>99</v>
      </c>
      <c r="C63" s="16" t="s">
        <v>672</v>
      </c>
      <c r="D63" s="109">
        <v>79142</v>
      </c>
      <c r="E63" s="109"/>
      <c r="F63" s="17" t="s">
        <v>673</v>
      </c>
      <c r="G63" s="17" t="s">
        <v>192</v>
      </c>
      <c r="H63" s="16" t="s">
        <v>674</v>
      </c>
      <c r="I63" s="109">
        <v>6</v>
      </c>
      <c r="J63" s="16">
        <v>10.8</v>
      </c>
      <c r="K63" s="16">
        <v>1</v>
      </c>
      <c r="L63" s="16">
        <v>1</v>
      </c>
      <c r="M63" s="16"/>
      <c r="N63" s="111" t="s">
        <v>285</v>
      </c>
      <c r="O63" s="16">
        <f t="shared" si="6"/>
        <v>64.8</v>
      </c>
      <c r="P63" s="18">
        <v>44909</v>
      </c>
      <c r="Q63" s="125"/>
      <c r="R63" s="112">
        <v>0</v>
      </c>
      <c r="S63" s="112">
        <v>1</v>
      </c>
      <c r="T63" s="112">
        <v>0</v>
      </c>
      <c r="U63" s="113">
        <f>IF(ISBLANK(Table1[[#This Row],[OHC Date]]),$B$7-Table1[[#This Row],[HOC Date]]+1,Table1[[#This Row],[OHC Date]]-Table1[[#This Row],[HOC Date]]+1)/7</f>
        <v>1.7142857142857142</v>
      </c>
      <c r="V63" s="114">
        <v>0</v>
      </c>
      <c r="W63" s="114">
        <v>1.4</v>
      </c>
      <c r="X63" s="114">
        <f>ROUND(0.7*Table1[[#This Row],[E&amp;D Rate per unit]]*R63*Table1[[#This Row],[Quantity]],2)</f>
        <v>0</v>
      </c>
      <c r="Y63" s="21">
        <f t="shared" si="5"/>
        <v>155.52000000000001</v>
      </c>
      <c r="Z63" s="114">
        <f>ROUND(0.3*T63*Table1[[#This Row],[E&amp;D Rate per unit]]*Table1[[#This Row],[Quantity]],2)</f>
        <v>0</v>
      </c>
      <c r="AA63" s="112">
        <v>1</v>
      </c>
      <c r="AB63" s="21">
        <f>ROUND(X63+Z63+Y63,2)*Table1[[#This Row],[Until WA Approved Only Approved this %]]</f>
        <v>155.52000000000001</v>
      </c>
      <c r="AC63" s="136"/>
      <c r="AD63" s="136">
        <f>Table1[[#This Row],[Total Amount]]-Table1[[#This Row],[Previous Amount]]</f>
        <v>155.52000000000001</v>
      </c>
      <c r="AE63" s="137" t="s">
        <v>676</v>
      </c>
      <c r="AG63" s="176">
        <v>155.52000000000001</v>
      </c>
      <c r="AH63" s="178">
        <f>AG63-Table1[[#This Row],[Total Amount]]</f>
        <v>0</v>
      </c>
      <c r="AI63" s="171">
        <f t="shared" si="2"/>
        <v>0</v>
      </c>
    </row>
    <row r="64" spans="1:35" s="164" customFormat="1" ht="30" customHeight="1" x14ac:dyDescent="0.3">
      <c r="A64" s="91" t="s">
        <v>159</v>
      </c>
      <c r="B64" s="91" t="s">
        <v>99</v>
      </c>
      <c r="C64" s="16" t="s">
        <v>672</v>
      </c>
      <c r="D64" s="109">
        <v>79142</v>
      </c>
      <c r="E64" s="109"/>
      <c r="F64" s="17" t="s">
        <v>673</v>
      </c>
      <c r="G64" s="17" t="s">
        <v>192</v>
      </c>
      <c r="H64" s="16" t="s">
        <v>674</v>
      </c>
      <c r="I64" s="109">
        <v>12</v>
      </c>
      <c r="J64" s="16">
        <v>6</v>
      </c>
      <c r="K64" s="16">
        <v>1</v>
      </c>
      <c r="L64" s="16">
        <v>1</v>
      </c>
      <c r="M64" s="16"/>
      <c r="N64" s="111" t="s">
        <v>285</v>
      </c>
      <c r="O64" s="16">
        <f t="shared" si="6"/>
        <v>72</v>
      </c>
      <c r="P64" s="18">
        <v>44909</v>
      </c>
      <c r="Q64" s="125"/>
      <c r="R64" s="112">
        <v>0</v>
      </c>
      <c r="S64" s="112">
        <v>1</v>
      </c>
      <c r="T64" s="112">
        <v>0</v>
      </c>
      <c r="U64" s="113">
        <f>IF(ISBLANK(Table1[[#This Row],[OHC Date]]),$B$7-Table1[[#This Row],[HOC Date]]+1,Table1[[#This Row],[OHC Date]]-Table1[[#This Row],[HOC Date]]+1)/7</f>
        <v>1.7142857142857142</v>
      </c>
      <c r="V64" s="114">
        <v>0</v>
      </c>
      <c r="W64" s="114">
        <v>1.4</v>
      </c>
      <c r="X64" s="114">
        <f>ROUND(0.7*Table1[[#This Row],[E&amp;D Rate per unit]]*R64*Table1[[#This Row],[Quantity]],2)</f>
        <v>0</v>
      </c>
      <c r="Y64" s="21">
        <f t="shared" si="5"/>
        <v>172.8</v>
      </c>
      <c r="Z64" s="114">
        <f>ROUND(0.3*T64*Table1[[#This Row],[E&amp;D Rate per unit]]*Table1[[#This Row],[Quantity]],2)</f>
        <v>0</v>
      </c>
      <c r="AA64" s="112">
        <v>1</v>
      </c>
      <c r="AB64" s="21">
        <f>ROUND(X64+Z64+Y64,2)*Table1[[#This Row],[Until WA Approved Only Approved this %]]</f>
        <v>172.8</v>
      </c>
      <c r="AC64" s="136"/>
      <c r="AD64" s="136">
        <f>Table1[[#This Row],[Total Amount]]-Table1[[#This Row],[Previous Amount]]</f>
        <v>172.8</v>
      </c>
      <c r="AE64" s="137" t="s">
        <v>676</v>
      </c>
      <c r="AG64" s="176">
        <v>172.8</v>
      </c>
      <c r="AH64" s="178">
        <f>AG64-Table1[[#This Row],[Total Amount]]</f>
        <v>0</v>
      </c>
      <c r="AI64" s="171">
        <f t="shared" si="2"/>
        <v>0</v>
      </c>
    </row>
    <row r="65" spans="1:35" s="164" customFormat="1" ht="30" customHeight="1" x14ac:dyDescent="0.3">
      <c r="A65" s="91" t="s">
        <v>159</v>
      </c>
      <c r="B65" s="91" t="s">
        <v>99</v>
      </c>
      <c r="C65" s="16" t="s">
        <v>672</v>
      </c>
      <c r="D65" s="109">
        <v>79142</v>
      </c>
      <c r="E65" s="109"/>
      <c r="F65" s="17" t="s">
        <v>673</v>
      </c>
      <c r="G65" s="17" t="s">
        <v>192</v>
      </c>
      <c r="H65" s="16" t="s">
        <v>674</v>
      </c>
      <c r="I65" s="109">
        <v>1</v>
      </c>
      <c r="J65" s="16">
        <v>8</v>
      </c>
      <c r="K65" s="16">
        <v>2.6</v>
      </c>
      <c r="L65" s="16">
        <v>1</v>
      </c>
      <c r="M65" s="16"/>
      <c r="N65" s="111" t="s">
        <v>162</v>
      </c>
      <c r="O65" s="16">
        <f t="shared" si="6"/>
        <v>20.8</v>
      </c>
      <c r="P65" s="18">
        <v>44909</v>
      </c>
      <c r="Q65" s="125"/>
      <c r="R65" s="112">
        <v>0</v>
      </c>
      <c r="S65" s="112">
        <v>1</v>
      </c>
      <c r="T65" s="112">
        <v>0</v>
      </c>
      <c r="U65" s="113">
        <f>IF(ISBLANK(Table1[[#This Row],[OHC Date]]),$B$7-Table1[[#This Row],[HOC Date]]+1,Table1[[#This Row],[OHC Date]]-Table1[[#This Row],[HOC Date]]+1)/7</f>
        <v>1.7142857142857142</v>
      </c>
      <c r="V65" s="114">
        <v>0</v>
      </c>
      <c r="W65" s="114">
        <v>6.37</v>
      </c>
      <c r="X65" s="114">
        <f>ROUND(0.7*Table1[[#This Row],[E&amp;D Rate per unit]]*R65*Table1[[#This Row],[Quantity]],2)</f>
        <v>0</v>
      </c>
      <c r="Y65" s="21">
        <f t="shared" si="5"/>
        <v>227.14</v>
      </c>
      <c r="Z65" s="114">
        <f>ROUND(0.3*T65*Table1[[#This Row],[E&amp;D Rate per unit]]*Table1[[#This Row],[Quantity]],2)</f>
        <v>0</v>
      </c>
      <c r="AA65" s="112">
        <v>1</v>
      </c>
      <c r="AB65" s="21">
        <f>ROUND(X65+Z65+Y65,2)*Table1[[#This Row],[Until WA Approved Only Approved this %]]</f>
        <v>227.14</v>
      </c>
      <c r="AC65" s="136"/>
      <c r="AD65" s="136">
        <f>Table1[[#This Row],[Total Amount]]-Table1[[#This Row],[Previous Amount]]</f>
        <v>227.14</v>
      </c>
      <c r="AE65" s="137" t="s">
        <v>676</v>
      </c>
      <c r="AG65" s="176">
        <v>227.14</v>
      </c>
      <c r="AH65" s="178">
        <f>AG65-Table1[[#This Row],[Total Amount]]</f>
        <v>0</v>
      </c>
      <c r="AI65" s="171">
        <f t="shared" si="2"/>
        <v>0</v>
      </c>
    </row>
    <row r="66" spans="1:35" s="164" customFormat="1" ht="30" customHeight="1" x14ac:dyDescent="0.3">
      <c r="A66" s="91" t="s">
        <v>159</v>
      </c>
      <c r="B66" s="91" t="s">
        <v>99</v>
      </c>
      <c r="C66" s="16" t="s">
        <v>269</v>
      </c>
      <c r="D66" s="109">
        <v>79108</v>
      </c>
      <c r="E66" s="109"/>
      <c r="F66" s="17" t="s">
        <v>673</v>
      </c>
      <c r="G66" s="17" t="s">
        <v>675</v>
      </c>
      <c r="H66" s="16" t="s">
        <v>674</v>
      </c>
      <c r="I66" s="109">
        <v>6</v>
      </c>
      <c r="J66" s="16">
        <v>10.8</v>
      </c>
      <c r="K66" s="16">
        <v>1</v>
      </c>
      <c r="L66" s="16">
        <v>1</v>
      </c>
      <c r="M66" s="16"/>
      <c r="N66" s="111" t="s">
        <v>285</v>
      </c>
      <c r="O66" s="16">
        <f t="shared" si="6"/>
        <v>64.8</v>
      </c>
      <c r="P66" s="18">
        <v>44902</v>
      </c>
      <c r="Q66" s="125"/>
      <c r="R66" s="112">
        <v>0</v>
      </c>
      <c r="S66" s="112">
        <v>1</v>
      </c>
      <c r="T66" s="112">
        <v>0</v>
      </c>
      <c r="U66" s="113">
        <f>IF(ISBLANK(Table1[[#This Row],[OHC Date]]),$B$7-Table1[[#This Row],[HOC Date]]+1,Table1[[#This Row],[OHC Date]]-Table1[[#This Row],[HOC Date]]+1)/7</f>
        <v>2.7142857142857144</v>
      </c>
      <c r="V66" s="114">
        <v>0</v>
      </c>
      <c r="W66" s="114">
        <v>1.4</v>
      </c>
      <c r="X66" s="114">
        <f>ROUND(0.7*Table1[[#This Row],[E&amp;D Rate per unit]]*R66*Table1[[#This Row],[Quantity]],2)</f>
        <v>0</v>
      </c>
      <c r="Y66" s="21">
        <f t="shared" si="5"/>
        <v>246.24</v>
      </c>
      <c r="Z66" s="114">
        <f>ROUND(0.3*T66*Table1[[#This Row],[E&amp;D Rate per unit]]*Table1[[#This Row],[Quantity]],2)</f>
        <v>0</v>
      </c>
      <c r="AA66" s="112">
        <v>1</v>
      </c>
      <c r="AB66" s="21">
        <f>ROUND(X66+Z66+Y66,2)*Table1[[#This Row],[Until WA Approved Only Approved this %]]</f>
        <v>246.24</v>
      </c>
      <c r="AC66" s="136"/>
      <c r="AD66" s="136">
        <f>Table1[[#This Row],[Total Amount]]-Table1[[#This Row],[Previous Amount]]</f>
        <v>246.24</v>
      </c>
      <c r="AE66" s="137" t="s">
        <v>676</v>
      </c>
      <c r="AG66" s="176">
        <v>246.24</v>
      </c>
      <c r="AH66" s="178">
        <f>AG66-Table1[[#This Row],[Total Amount]]</f>
        <v>0</v>
      </c>
      <c r="AI66" s="171">
        <f t="shared" si="2"/>
        <v>0</v>
      </c>
    </row>
    <row r="67" spans="1:35" ht="30" customHeight="1" x14ac:dyDescent="0.3">
      <c r="A67" s="91" t="s">
        <v>159</v>
      </c>
      <c r="B67" s="91" t="s">
        <v>99</v>
      </c>
      <c r="C67" s="16" t="s">
        <v>269</v>
      </c>
      <c r="D67" s="109">
        <v>79108</v>
      </c>
      <c r="E67" s="109"/>
      <c r="F67" s="17" t="s">
        <v>673</v>
      </c>
      <c r="G67" s="17" t="s">
        <v>675</v>
      </c>
      <c r="H67" s="16" t="s">
        <v>674</v>
      </c>
      <c r="I67" s="109">
        <v>1</v>
      </c>
      <c r="J67" s="16">
        <v>8</v>
      </c>
      <c r="K67" s="16">
        <v>5</v>
      </c>
      <c r="L67" s="16">
        <v>1</v>
      </c>
      <c r="M67" s="16"/>
      <c r="N67" s="111" t="s">
        <v>162</v>
      </c>
      <c r="O67" s="16">
        <f t="shared" si="6"/>
        <v>40</v>
      </c>
      <c r="P67" s="18">
        <v>44902</v>
      </c>
      <c r="Q67" s="125"/>
      <c r="R67" s="112">
        <v>0</v>
      </c>
      <c r="S67" s="112">
        <v>1</v>
      </c>
      <c r="T67" s="112">
        <v>0</v>
      </c>
      <c r="U67" s="113">
        <f>IF(ISBLANK(Table1[[#This Row],[OHC Date]]),$B$7-Table1[[#This Row],[HOC Date]]+1,Table1[[#This Row],[OHC Date]]-Table1[[#This Row],[HOC Date]]+1)/7</f>
        <v>2.7142857142857144</v>
      </c>
      <c r="V67" s="114">
        <v>0</v>
      </c>
      <c r="W67" s="114">
        <v>12.25</v>
      </c>
      <c r="X67" s="114">
        <f>ROUND(0.7*Table1[[#This Row],[E&amp;D Rate per unit]]*R67*Table1[[#This Row],[Quantity]],2)</f>
        <v>0</v>
      </c>
      <c r="Y67" s="21">
        <f t="shared" si="5"/>
        <v>1330</v>
      </c>
      <c r="Z67" s="114">
        <f>ROUND(0.3*T67*Table1[[#This Row],[E&amp;D Rate per unit]]*Table1[[#This Row],[Quantity]],2)</f>
        <v>0</v>
      </c>
      <c r="AA67" s="19">
        <v>1</v>
      </c>
      <c r="AB67" s="21">
        <f>ROUND(X67+Z67+Y67,2)*Table1[[#This Row],[Until WA Approved Only Approved this %]]</f>
        <v>1330</v>
      </c>
      <c r="AC67" s="136"/>
      <c r="AD67" s="136">
        <f>Table1[[#This Row],[Total Amount]]-Table1[[#This Row],[Previous Amount]]</f>
        <v>1330</v>
      </c>
      <c r="AE67" s="137" t="s">
        <v>676</v>
      </c>
      <c r="AG67" s="174">
        <v>1330</v>
      </c>
      <c r="AH67" s="178">
        <f>AG67-Table1[[#This Row],[Total Amount]]</f>
        <v>0</v>
      </c>
      <c r="AI67" s="171">
        <f t="shared" si="2"/>
        <v>0</v>
      </c>
    </row>
    <row r="68" spans="1:35" s="164" customFormat="1" ht="30" customHeight="1" x14ac:dyDescent="0.3">
      <c r="A68" s="91" t="s">
        <v>159</v>
      </c>
      <c r="B68" s="91" t="s">
        <v>99</v>
      </c>
      <c r="C68" s="16" t="s">
        <v>269</v>
      </c>
      <c r="D68" s="109">
        <v>79108</v>
      </c>
      <c r="E68" s="109"/>
      <c r="F68" s="17" t="s">
        <v>673</v>
      </c>
      <c r="G68" s="17" t="s">
        <v>675</v>
      </c>
      <c r="H68" s="16" t="s">
        <v>674</v>
      </c>
      <c r="I68" s="109">
        <v>12</v>
      </c>
      <c r="J68" s="16">
        <v>6</v>
      </c>
      <c r="K68" s="16">
        <v>1</v>
      </c>
      <c r="L68" s="16">
        <v>1</v>
      </c>
      <c r="M68" s="16"/>
      <c r="N68" s="111" t="s">
        <v>285</v>
      </c>
      <c r="O68" s="16">
        <f t="shared" si="6"/>
        <v>72</v>
      </c>
      <c r="P68" s="18">
        <v>44902</v>
      </c>
      <c r="Q68" s="125"/>
      <c r="R68" s="112">
        <v>0</v>
      </c>
      <c r="S68" s="112">
        <v>1</v>
      </c>
      <c r="T68" s="112">
        <v>0</v>
      </c>
      <c r="U68" s="113">
        <f>IF(ISBLANK(Table1[[#This Row],[OHC Date]]),$B$7-Table1[[#This Row],[HOC Date]]+1,Table1[[#This Row],[OHC Date]]-Table1[[#This Row],[HOC Date]]+1)/7</f>
        <v>2.7142857142857144</v>
      </c>
      <c r="V68" s="114">
        <v>0</v>
      </c>
      <c r="W68" s="114">
        <v>1.4</v>
      </c>
      <c r="X68" s="114">
        <f>ROUND(0.7*Table1[[#This Row],[E&amp;D Rate per unit]]*R68*Table1[[#This Row],[Quantity]],2)</f>
        <v>0</v>
      </c>
      <c r="Y68" s="21">
        <f t="shared" si="5"/>
        <v>273.60000000000002</v>
      </c>
      <c r="Z68" s="114">
        <f>ROUND(0.3*T68*Table1[[#This Row],[E&amp;D Rate per unit]]*Table1[[#This Row],[Quantity]],2)</f>
        <v>0</v>
      </c>
      <c r="AA68" s="112">
        <v>1</v>
      </c>
      <c r="AB68" s="21">
        <f>ROUND(X68+Z68+Y68,2)*Table1[[#This Row],[Until WA Approved Only Approved this %]]</f>
        <v>273.60000000000002</v>
      </c>
      <c r="AC68" s="136"/>
      <c r="AD68" s="136">
        <f>Table1[[#This Row],[Total Amount]]-Table1[[#This Row],[Previous Amount]]</f>
        <v>273.60000000000002</v>
      </c>
      <c r="AE68" s="137" t="s">
        <v>676</v>
      </c>
      <c r="AG68" s="176">
        <v>273.60000000000002</v>
      </c>
      <c r="AH68" s="178">
        <f>AG68-Table1[[#This Row],[Total Amount]]</f>
        <v>0</v>
      </c>
      <c r="AI68" s="171">
        <f t="shared" si="2"/>
        <v>0</v>
      </c>
    </row>
    <row r="69" spans="1:35" s="164" customFormat="1" ht="30" customHeight="1" x14ac:dyDescent="0.3">
      <c r="A69" s="91" t="s">
        <v>159</v>
      </c>
      <c r="B69" s="91" t="s">
        <v>99</v>
      </c>
      <c r="C69" s="16" t="s">
        <v>269</v>
      </c>
      <c r="D69" s="109">
        <v>79108</v>
      </c>
      <c r="E69" s="109"/>
      <c r="F69" s="17" t="s">
        <v>673</v>
      </c>
      <c r="G69" s="17" t="s">
        <v>675</v>
      </c>
      <c r="H69" s="16" t="s">
        <v>674</v>
      </c>
      <c r="I69" s="109">
        <v>1</v>
      </c>
      <c r="J69" s="16">
        <v>8</v>
      </c>
      <c r="K69" s="16">
        <v>2.6</v>
      </c>
      <c r="L69" s="16">
        <v>1</v>
      </c>
      <c r="M69" s="16"/>
      <c r="N69" s="111" t="s">
        <v>162</v>
      </c>
      <c r="O69" s="16">
        <f t="shared" si="6"/>
        <v>20.8</v>
      </c>
      <c r="P69" s="18">
        <v>44902</v>
      </c>
      <c r="Q69" s="125"/>
      <c r="R69" s="112">
        <v>0</v>
      </c>
      <c r="S69" s="112">
        <v>1</v>
      </c>
      <c r="T69" s="112">
        <v>0</v>
      </c>
      <c r="U69" s="113">
        <f>IF(ISBLANK(Table1[[#This Row],[OHC Date]]),$B$7-Table1[[#This Row],[HOC Date]]+1,Table1[[#This Row],[OHC Date]]-Table1[[#This Row],[HOC Date]]+1)/7</f>
        <v>2.7142857142857144</v>
      </c>
      <c r="V69" s="114">
        <v>0</v>
      </c>
      <c r="W69" s="114">
        <v>6.37</v>
      </c>
      <c r="X69" s="114">
        <f>ROUND(0.7*Table1[[#This Row],[E&amp;D Rate per unit]]*R69*Table1[[#This Row],[Quantity]],2)</f>
        <v>0</v>
      </c>
      <c r="Y69" s="21">
        <f t="shared" si="5"/>
        <v>359.63</v>
      </c>
      <c r="Z69" s="114">
        <f>ROUND(0.3*T69*Table1[[#This Row],[E&amp;D Rate per unit]]*Table1[[#This Row],[Quantity]],2)</f>
        <v>0</v>
      </c>
      <c r="AA69" s="112">
        <v>1</v>
      </c>
      <c r="AB69" s="21">
        <f>ROUND(X69+Z69+Y69,2)*Table1[[#This Row],[Until WA Approved Only Approved this %]]</f>
        <v>359.63</v>
      </c>
      <c r="AC69" s="136"/>
      <c r="AD69" s="136">
        <f>Table1[[#This Row],[Total Amount]]-Table1[[#This Row],[Previous Amount]]</f>
        <v>359.63</v>
      </c>
      <c r="AE69" s="137" t="s">
        <v>676</v>
      </c>
      <c r="AG69" s="176">
        <v>359.63</v>
      </c>
      <c r="AH69" s="178">
        <f>AG69-Table1[[#This Row],[Total Amount]]</f>
        <v>0</v>
      </c>
      <c r="AI69" s="171">
        <f t="shared" si="2"/>
        <v>0</v>
      </c>
    </row>
    <row r="70" spans="1:35" ht="30" customHeight="1" x14ac:dyDescent="0.3">
      <c r="A70" s="108" t="s">
        <v>91</v>
      </c>
      <c r="B70" s="91" t="s">
        <v>99</v>
      </c>
      <c r="C70" s="109" t="s">
        <v>79</v>
      </c>
      <c r="D70" s="109">
        <v>74653</v>
      </c>
      <c r="E70" s="109">
        <v>76751</v>
      </c>
      <c r="F70" s="110" t="s">
        <v>164</v>
      </c>
      <c r="G70" s="17" t="s">
        <v>161</v>
      </c>
      <c r="H70" s="109" t="s">
        <v>129</v>
      </c>
      <c r="I70" s="109">
        <v>1</v>
      </c>
      <c r="J70" s="109">
        <v>25.2</v>
      </c>
      <c r="K70" s="109">
        <v>1.2</v>
      </c>
      <c r="L70" s="109">
        <v>1</v>
      </c>
      <c r="M70" s="109">
        <v>1</v>
      </c>
      <c r="N70" s="111" t="s">
        <v>162</v>
      </c>
      <c r="O70" s="16">
        <f t="shared" si="6"/>
        <v>30.24</v>
      </c>
      <c r="P70" s="18">
        <v>44824</v>
      </c>
      <c r="Q70" s="125">
        <v>44830</v>
      </c>
      <c r="R70" s="112">
        <v>1</v>
      </c>
      <c r="S70" s="112">
        <v>1</v>
      </c>
      <c r="T70" s="112">
        <v>1</v>
      </c>
      <c r="U70" s="113">
        <f>IF(ISBLANK(Table1[[#This Row],[OHC Date]]),$B$7-Table1[[#This Row],[HOC Date]]+1,Table1[[#This Row],[OHC Date]]-Table1[[#This Row],[HOC Date]]+1)/7</f>
        <v>1</v>
      </c>
      <c r="V70" s="114">
        <v>36.520000000000003</v>
      </c>
      <c r="W70" s="114">
        <f>0.42*7</f>
        <v>2.94</v>
      </c>
      <c r="X70" s="114">
        <f>ROUND(0.7*Table1[[#This Row],[E&amp;D Rate per unit]]*R70*Table1[[#This Row],[Quantity]],2)</f>
        <v>773.06</v>
      </c>
      <c r="Y70" s="114">
        <f t="shared" si="5"/>
        <v>88.91</v>
      </c>
      <c r="Z70" s="114">
        <f>ROUND(0.3*T70*Table1[[#This Row],[E&amp;D Rate per unit]]*Table1[[#This Row],[Quantity]],2)</f>
        <v>331.31</v>
      </c>
      <c r="AA70" s="112">
        <v>1</v>
      </c>
      <c r="AB70" s="21">
        <f>ROUND(X70+Z70+Y70,2)*Table1[[#This Row],[Until WA Approved Only Approved this %]]</f>
        <v>1193.28</v>
      </c>
      <c r="AC70" s="136">
        <v>1193.28</v>
      </c>
      <c r="AD70" s="136">
        <f>Table1[[#This Row],[Total Amount]]-Table1[[#This Row],[Previous Amount]]</f>
        <v>0</v>
      </c>
      <c r="AE70" s="115"/>
      <c r="AG70" s="174">
        <v>1193.28</v>
      </c>
      <c r="AH70" s="178">
        <f>AG70-Table1[[#This Row],[Total Amount]]</f>
        <v>0</v>
      </c>
      <c r="AI70" s="171">
        <f t="shared" si="2"/>
        <v>0</v>
      </c>
    </row>
    <row r="71" spans="1:35" ht="30" customHeight="1" x14ac:dyDescent="0.3">
      <c r="A71" s="108" t="s">
        <v>91</v>
      </c>
      <c r="B71" s="91" t="s">
        <v>99</v>
      </c>
      <c r="C71" s="109" t="s">
        <v>163</v>
      </c>
      <c r="D71" s="109">
        <v>74654</v>
      </c>
      <c r="E71" s="109"/>
      <c r="F71" s="110" t="s">
        <v>164</v>
      </c>
      <c r="G71" s="17" t="s">
        <v>165</v>
      </c>
      <c r="H71" s="109" t="s">
        <v>128</v>
      </c>
      <c r="I71" s="109">
        <v>1</v>
      </c>
      <c r="J71" s="109">
        <v>5</v>
      </c>
      <c r="K71" s="109">
        <v>0.5</v>
      </c>
      <c r="L71" s="109">
        <v>1</v>
      </c>
      <c r="M71" s="109">
        <v>1</v>
      </c>
      <c r="N71" s="111" t="s">
        <v>162</v>
      </c>
      <c r="O71" s="16">
        <f t="shared" si="6"/>
        <v>2.5</v>
      </c>
      <c r="P71" s="18">
        <v>44824</v>
      </c>
      <c r="Q71" s="125"/>
      <c r="R71" s="112">
        <v>1</v>
      </c>
      <c r="S71" s="112">
        <v>1</v>
      </c>
      <c r="T71" s="112">
        <v>0</v>
      </c>
      <c r="U71" s="113">
        <f>IF(ISBLANK(Table1[[#This Row],[OHC Date]]),$B$7-Table1[[#This Row],[HOC Date]]+1,Table1[[#This Row],[OHC Date]]-Table1[[#This Row],[HOC Date]]+1)/7</f>
        <v>13.857142857142858</v>
      </c>
      <c r="V71" s="114">
        <v>32.75</v>
      </c>
      <c r="W71" s="114">
        <v>1.05</v>
      </c>
      <c r="X71" s="114">
        <f>ROUND(0.7*Table1[[#This Row],[E&amp;D Rate per unit]]*R71*Table1[[#This Row],[Quantity]],2)</f>
        <v>57.31</v>
      </c>
      <c r="Y71" s="114">
        <f t="shared" si="5"/>
        <v>36.380000000000003</v>
      </c>
      <c r="Z71" s="114">
        <f>ROUND(0.3*T71*Table1[[#This Row],[E&amp;D Rate per unit]]*Table1[[#This Row],[Quantity]],2)</f>
        <v>0</v>
      </c>
      <c r="AA71" s="112">
        <v>1</v>
      </c>
      <c r="AB71" s="21">
        <f>ROUND(X71+Z71+Y71,2)*Table1[[#This Row],[Until WA Approved Only Approved this %]]</f>
        <v>93.69</v>
      </c>
      <c r="AC71" s="136">
        <v>82.44</v>
      </c>
      <c r="AD71" s="136">
        <f>Table1[[#This Row],[Total Amount]]-Table1[[#This Row],[Previous Amount]]</f>
        <v>11.25</v>
      </c>
      <c r="AE71" s="115"/>
      <c r="AG71" s="174">
        <v>93.69</v>
      </c>
      <c r="AH71" s="178">
        <f>AG71-Table1[[#This Row],[Total Amount]]</f>
        <v>0</v>
      </c>
      <c r="AI71" s="171">
        <f t="shared" si="2"/>
        <v>0</v>
      </c>
    </row>
    <row r="72" spans="1:35" ht="30" customHeight="1" x14ac:dyDescent="0.3">
      <c r="A72" s="108" t="s">
        <v>91</v>
      </c>
      <c r="B72" s="91" t="s">
        <v>99</v>
      </c>
      <c r="C72" s="109" t="s">
        <v>166</v>
      </c>
      <c r="D72" s="109">
        <v>74655</v>
      </c>
      <c r="E72" s="109">
        <v>76752</v>
      </c>
      <c r="F72" s="110" t="s">
        <v>164</v>
      </c>
      <c r="G72" s="17" t="s">
        <v>161</v>
      </c>
      <c r="H72" s="109" t="s">
        <v>128</v>
      </c>
      <c r="I72" s="109">
        <v>1</v>
      </c>
      <c r="J72" s="109">
        <v>16.2</v>
      </c>
      <c r="K72" s="109">
        <v>0.5</v>
      </c>
      <c r="L72" s="109">
        <v>1</v>
      </c>
      <c r="M72" s="109">
        <v>1</v>
      </c>
      <c r="N72" s="111" t="s">
        <v>162</v>
      </c>
      <c r="O72" s="111">
        <f t="shared" ref="O72:O73" si="7">ROUND(IF(N72="m3",I72*J72*K72*L72,IF(N72="m2-LxH",I72*J72*L72,IF(N72="m2-LxW",I72*J72*K72,IF(N72="rm",I72*L72,IF(N72="lm",I72*J72,IF(N72="unit",I72,"NA")))))),2)</f>
        <v>8.1</v>
      </c>
      <c r="P72" s="18">
        <v>44825</v>
      </c>
      <c r="Q72" s="125">
        <v>44831</v>
      </c>
      <c r="R72" s="112">
        <v>1</v>
      </c>
      <c r="S72" s="112">
        <v>1</v>
      </c>
      <c r="T72" s="112">
        <v>1</v>
      </c>
      <c r="U72" s="113">
        <f>IF(ISBLANK(Table1[[#This Row],[OHC Date]]),$B$7-Table1[[#This Row],[HOC Date]]+1,Table1[[#This Row],[OHC Date]]-Table1[[#This Row],[HOC Date]]+1)/7</f>
        <v>1</v>
      </c>
      <c r="V72" s="114">
        <v>32.75</v>
      </c>
      <c r="W72" s="114">
        <v>1.05</v>
      </c>
      <c r="X72" s="114">
        <f>ROUND(0.7*Table1[[#This Row],[E&amp;D Rate per unit]]*R72*Table1[[#This Row],[Quantity]],2)</f>
        <v>185.69</v>
      </c>
      <c r="Y72" s="114">
        <f t="shared" ref="Y72:Y73" si="8">ROUND(O72*U72*W72*S72,2)</f>
        <v>8.51</v>
      </c>
      <c r="Z72" s="114">
        <f>ROUND(0.3*T72*Table1[[#This Row],[E&amp;D Rate per unit]]*Table1[[#This Row],[Quantity]],2)</f>
        <v>79.58</v>
      </c>
      <c r="AA72" s="112">
        <v>1</v>
      </c>
      <c r="AB72" s="21">
        <f>ROUND(X72+Z72+Y72,2)*Table1[[#This Row],[Until WA Approved Only Approved this %]]</f>
        <v>273.77999999999997</v>
      </c>
      <c r="AC72" s="136">
        <v>273.77999999999997</v>
      </c>
      <c r="AD72" s="136">
        <f>Table1[[#This Row],[Total Amount]]-Table1[[#This Row],[Previous Amount]]</f>
        <v>0</v>
      </c>
      <c r="AE72" s="115"/>
      <c r="AG72" s="174">
        <v>273.77999999999997</v>
      </c>
      <c r="AH72" s="178">
        <f>AG72-Table1[[#This Row],[Total Amount]]</f>
        <v>0</v>
      </c>
      <c r="AI72" s="171">
        <f t="shared" si="2"/>
        <v>0</v>
      </c>
    </row>
    <row r="73" spans="1:35" ht="30" customHeight="1" x14ac:dyDescent="0.3">
      <c r="A73" s="108" t="s">
        <v>91</v>
      </c>
      <c r="B73" s="91" t="s">
        <v>99</v>
      </c>
      <c r="C73" s="109" t="s">
        <v>167</v>
      </c>
      <c r="D73" s="109">
        <v>74660</v>
      </c>
      <c r="E73" s="109">
        <v>76753</v>
      </c>
      <c r="F73" s="110" t="s">
        <v>164</v>
      </c>
      <c r="G73" s="17" t="s">
        <v>161</v>
      </c>
      <c r="H73" s="109" t="s">
        <v>129</v>
      </c>
      <c r="I73" s="109">
        <v>1</v>
      </c>
      <c r="J73" s="109">
        <v>1.8</v>
      </c>
      <c r="K73" s="109">
        <v>1</v>
      </c>
      <c r="L73" s="109">
        <v>1</v>
      </c>
      <c r="M73" s="109">
        <v>1</v>
      </c>
      <c r="N73" s="111" t="s">
        <v>162</v>
      </c>
      <c r="O73" s="111">
        <f t="shared" si="7"/>
        <v>1.8</v>
      </c>
      <c r="P73" s="18">
        <v>44828</v>
      </c>
      <c r="Q73" s="125">
        <v>44830</v>
      </c>
      <c r="R73" s="112">
        <v>1</v>
      </c>
      <c r="S73" s="112">
        <v>1</v>
      </c>
      <c r="T73" s="112">
        <v>1</v>
      </c>
      <c r="U73" s="113">
        <f>IF(ISBLANK(Table1[[#This Row],[OHC Date]]),$B$7-Table1[[#This Row],[HOC Date]]+1,Table1[[#This Row],[OHC Date]]-Table1[[#This Row],[HOC Date]]+1)/7</f>
        <v>0.42857142857142855</v>
      </c>
      <c r="V73" s="114">
        <v>36.520000000000003</v>
      </c>
      <c r="W73" s="114">
        <f>0.42*7</f>
        <v>2.94</v>
      </c>
      <c r="X73" s="114">
        <f>ROUND(0.7*Table1[[#This Row],[E&amp;D Rate per unit]]*R73*Table1[[#This Row],[Quantity]],2)</f>
        <v>46.02</v>
      </c>
      <c r="Y73" s="114">
        <f t="shared" si="8"/>
        <v>2.27</v>
      </c>
      <c r="Z73" s="114">
        <f>ROUND(0.3*T73*Table1[[#This Row],[E&amp;D Rate per unit]]*Table1[[#This Row],[Quantity]],2)</f>
        <v>19.72</v>
      </c>
      <c r="AA73" s="112">
        <v>1</v>
      </c>
      <c r="AB73" s="21">
        <f>ROUND(X73+Z73+Y73,2)*Table1[[#This Row],[Until WA Approved Only Approved this %]]</f>
        <v>68.010000000000005</v>
      </c>
      <c r="AC73" s="136">
        <v>68.010000000000005</v>
      </c>
      <c r="AD73" s="136">
        <f>Table1[[#This Row],[Total Amount]]-Table1[[#This Row],[Previous Amount]]</f>
        <v>0</v>
      </c>
      <c r="AE73" s="115"/>
      <c r="AG73" s="174">
        <v>68.010000000000005</v>
      </c>
      <c r="AH73" s="178">
        <f>AG73-Table1[[#This Row],[Total Amount]]</f>
        <v>0</v>
      </c>
      <c r="AI73" s="171">
        <f t="shared" si="2"/>
        <v>0</v>
      </c>
    </row>
    <row r="74" spans="1:35" ht="30" customHeight="1" x14ac:dyDescent="0.3">
      <c r="A74" s="108" t="s">
        <v>91</v>
      </c>
      <c r="B74" s="91" t="s">
        <v>99</v>
      </c>
      <c r="C74" s="109" t="s">
        <v>168</v>
      </c>
      <c r="D74" s="109">
        <v>74666</v>
      </c>
      <c r="E74" s="109">
        <v>76754</v>
      </c>
      <c r="F74" s="110" t="s">
        <v>164</v>
      </c>
      <c r="G74" s="17" t="s">
        <v>161</v>
      </c>
      <c r="H74" s="109" t="s">
        <v>129</v>
      </c>
      <c r="I74" s="109">
        <v>1</v>
      </c>
      <c r="J74" s="109">
        <v>23.4</v>
      </c>
      <c r="K74" s="109">
        <v>0.75</v>
      </c>
      <c r="L74" s="109">
        <v>1</v>
      </c>
      <c r="M74" s="109">
        <v>1</v>
      </c>
      <c r="N74" s="111" t="s">
        <v>162</v>
      </c>
      <c r="O74" s="16">
        <f t="shared" ref="O74:O86" si="9">ROUND(IF(N74="m3",I74*J74*K74*L74,IF(N74="m2-LxH",I74*J74*L74,IF(N74="m2-LxW",I74*J74*K74,IF(N74="rm",I74*L74,IF(N74="lm",I74*J74,IF(N74="unit",I74,"NA")))))),2)</f>
        <v>17.55</v>
      </c>
      <c r="P74" s="18">
        <v>44830</v>
      </c>
      <c r="Q74" s="125">
        <v>44832</v>
      </c>
      <c r="R74" s="112">
        <v>1</v>
      </c>
      <c r="S74" s="112">
        <v>1</v>
      </c>
      <c r="T74" s="112">
        <v>1</v>
      </c>
      <c r="U74" s="113">
        <f>IF(ISBLANK(Table1[[#This Row],[OHC Date]]),$B$7-Table1[[#This Row],[HOC Date]]+1,Table1[[#This Row],[OHC Date]]-Table1[[#This Row],[HOC Date]]+1)/7</f>
        <v>0.42857142857142855</v>
      </c>
      <c r="V74" s="114">
        <v>36.520000000000003</v>
      </c>
      <c r="W74" s="114">
        <f>0.42*7</f>
        <v>2.94</v>
      </c>
      <c r="X74" s="114">
        <f>ROUND(0.7*Table1[[#This Row],[E&amp;D Rate per unit]]*R74*Table1[[#This Row],[Quantity]],2)</f>
        <v>448.65</v>
      </c>
      <c r="Y74" s="114">
        <f t="shared" ref="Y74:Y86" si="10">ROUND(O74*U74*W74*S74,2)</f>
        <v>22.11</v>
      </c>
      <c r="Z74" s="114">
        <f>ROUND(0.3*T74*Table1[[#This Row],[E&amp;D Rate per unit]]*Table1[[#This Row],[Quantity]],2)</f>
        <v>192.28</v>
      </c>
      <c r="AA74" s="112">
        <v>1</v>
      </c>
      <c r="AB74" s="21">
        <f>ROUND(X74+Z74+Y74,2)*Table1[[#This Row],[Until WA Approved Only Approved this %]]</f>
        <v>663.04</v>
      </c>
      <c r="AC74" s="136">
        <v>663.04</v>
      </c>
      <c r="AD74" s="136">
        <f>Table1[[#This Row],[Total Amount]]-Table1[[#This Row],[Previous Amount]]</f>
        <v>0</v>
      </c>
      <c r="AE74" s="115"/>
      <c r="AG74" s="174">
        <v>663.04</v>
      </c>
      <c r="AH74" s="178">
        <f>AG74-Table1[[#This Row],[Total Amount]]</f>
        <v>0</v>
      </c>
      <c r="AI74" s="171">
        <f t="shared" si="2"/>
        <v>0</v>
      </c>
    </row>
    <row r="75" spans="1:35" ht="30" customHeight="1" x14ac:dyDescent="0.3">
      <c r="A75" s="108" t="s">
        <v>91</v>
      </c>
      <c r="B75" s="91" t="s">
        <v>99</v>
      </c>
      <c r="C75" s="109" t="s">
        <v>169</v>
      </c>
      <c r="D75" s="109">
        <v>74670</v>
      </c>
      <c r="E75" s="109"/>
      <c r="F75" s="110" t="s">
        <v>164</v>
      </c>
      <c r="G75" s="17" t="s">
        <v>161</v>
      </c>
      <c r="H75" s="109" t="s">
        <v>128</v>
      </c>
      <c r="I75" s="109">
        <v>2</v>
      </c>
      <c r="J75" s="109">
        <v>9.8000000000000007</v>
      </c>
      <c r="K75" s="109">
        <v>0.5</v>
      </c>
      <c r="L75" s="109">
        <v>1</v>
      </c>
      <c r="M75" s="109">
        <v>1</v>
      </c>
      <c r="N75" s="111" t="s">
        <v>162</v>
      </c>
      <c r="O75" s="16">
        <f t="shared" si="9"/>
        <v>9.8000000000000007</v>
      </c>
      <c r="P75" s="18">
        <v>44832</v>
      </c>
      <c r="Q75" s="125"/>
      <c r="R75" s="112">
        <v>1</v>
      </c>
      <c r="S75" s="112">
        <v>1</v>
      </c>
      <c r="T75" s="112">
        <v>0</v>
      </c>
      <c r="U75" s="113">
        <f>IF(ISBLANK(Table1[[#This Row],[OHC Date]]),$B$7-Table1[[#This Row],[HOC Date]]+1,Table1[[#This Row],[OHC Date]]-Table1[[#This Row],[HOC Date]]+1)/7</f>
        <v>12.714285714285714</v>
      </c>
      <c r="V75" s="114">
        <v>32.75</v>
      </c>
      <c r="W75" s="114">
        <v>1.05</v>
      </c>
      <c r="X75" s="114">
        <f>ROUND(0.7*Table1[[#This Row],[E&amp;D Rate per unit]]*R75*Table1[[#This Row],[Quantity]],2)</f>
        <v>224.67</v>
      </c>
      <c r="Y75" s="114">
        <f t="shared" si="10"/>
        <v>130.83000000000001</v>
      </c>
      <c r="Z75" s="114">
        <f>ROUND(0.3*T75*Table1[[#This Row],[E&amp;D Rate per unit]]*Table1[[#This Row],[Quantity]],2)</f>
        <v>0</v>
      </c>
      <c r="AA75" s="112">
        <v>1</v>
      </c>
      <c r="AB75" s="21">
        <f>ROUND(X75+Z75+Y75,2)*Table1[[#This Row],[Until WA Approved Only Approved this %]]</f>
        <v>355.5</v>
      </c>
      <c r="AC75" s="136">
        <v>311.39999999999998</v>
      </c>
      <c r="AD75" s="136">
        <f>Table1[[#This Row],[Total Amount]]-Table1[[#This Row],[Previous Amount]]</f>
        <v>44.100000000000023</v>
      </c>
      <c r="AE75" s="115"/>
      <c r="AG75" s="174">
        <v>355.5</v>
      </c>
      <c r="AH75" s="178">
        <f>AG75-Table1[[#This Row],[Total Amount]]</f>
        <v>0</v>
      </c>
      <c r="AI75" s="171">
        <f t="shared" ref="AI75:AI138" si="11">AH75/AG75</f>
        <v>0</v>
      </c>
    </row>
    <row r="76" spans="1:35" ht="30" customHeight="1" x14ac:dyDescent="0.3">
      <c r="A76" s="108" t="s">
        <v>91</v>
      </c>
      <c r="B76" s="91" t="s">
        <v>99</v>
      </c>
      <c r="C76" s="109" t="s">
        <v>170</v>
      </c>
      <c r="D76" s="109">
        <v>74671</v>
      </c>
      <c r="E76" s="109"/>
      <c r="F76" s="110" t="s">
        <v>164</v>
      </c>
      <c r="G76" s="17" t="s">
        <v>161</v>
      </c>
      <c r="H76" s="109" t="s">
        <v>128</v>
      </c>
      <c r="I76" s="109">
        <v>1</v>
      </c>
      <c r="J76" s="109">
        <v>13.8</v>
      </c>
      <c r="K76" s="109">
        <v>0.5</v>
      </c>
      <c r="L76" s="109">
        <v>1</v>
      </c>
      <c r="M76" s="109">
        <v>1</v>
      </c>
      <c r="N76" s="111" t="s">
        <v>162</v>
      </c>
      <c r="O76" s="111">
        <f t="shared" si="9"/>
        <v>6.9</v>
      </c>
      <c r="P76" s="125">
        <v>44832</v>
      </c>
      <c r="Q76" s="125"/>
      <c r="R76" s="112">
        <v>1</v>
      </c>
      <c r="S76" s="112">
        <v>1</v>
      </c>
      <c r="T76" s="112">
        <v>0</v>
      </c>
      <c r="U76" s="113">
        <f>IF(ISBLANK(Table1[[#This Row],[OHC Date]]),$B$7-Table1[[#This Row],[HOC Date]]+1,Table1[[#This Row],[OHC Date]]-Table1[[#This Row],[HOC Date]]+1)/7</f>
        <v>12.714285714285714</v>
      </c>
      <c r="V76" s="114">
        <v>32.75</v>
      </c>
      <c r="W76" s="114">
        <v>1.05</v>
      </c>
      <c r="X76" s="114">
        <f>ROUND(0.7*Table1[[#This Row],[E&amp;D Rate per unit]]*R76*Table1[[#This Row],[Quantity]],2)</f>
        <v>158.18</v>
      </c>
      <c r="Y76" s="114">
        <f t="shared" si="10"/>
        <v>92.12</v>
      </c>
      <c r="Z76" s="114">
        <f>ROUND(0.3*T76*Table1[[#This Row],[E&amp;D Rate per unit]]*Table1[[#This Row],[Quantity]],2)</f>
        <v>0</v>
      </c>
      <c r="AA76" s="112">
        <v>1</v>
      </c>
      <c r="AB76" s="21">
        <f>ROUND(X76+Z76+Y76,2)*Table1[[#This Row],[Until WA Approved Only Approved this %]]</f>
        <v>250.3</v>
      </c>
      <c r="AC76" s="136">
        <v>219.25</v>
      </c>
      <c r="AD76" s="136">
        <f>Table1[[#This Row],[Total Amount]]-Table1[[#This Row],[Previous Amount]]</f>
        <v>31.050000000000011</v>
      </c>
      <c r="AE76" s="115"/>
      <c r="AG76" s="174">
        <v>250.3</v>
      </c>
      <c r="AH76" s="178">
        <f>AG76-Table1[[#This Row],[Total Amount]]</f>
        <v>0</v>
      </c>
      <c r="AI76" s="171">
        <f t="shared" si="11"/>
        <v>0</v>
      </c>
    </row>
    <row r="77" spans="1:35" ht="30" customHeight="1" x14ac:dyDescent="0.3">
      <c r="A77" s="108" t="s">
        <v>91</v>
      </c>
      <c r="B77" s="91" t="s">
        <v>99</v>
      </c>
      <c r="C77" s="109" t="s">
        <v>177</v>
      </c>
      <c r="D77" s="109">
        <v>74662</v>
      </c>
      <c r="E77" s="109"/>
      <c r="F77" s="110" t="s">
        <v>164</v>
      </c>
      <c r="G77" s="17" t="s">
        <v>161</v>
      </c>
      <c r="H77" s="109" t="s">
        <v>178</v>
      </c>
      <c r="I77" s="109">
        <v>4</v>
      </c>
      <c r="J77" s="109">
        <v>10.8</v>
      </c>
      <c r="K77" s="109">
        <v>1.8</v>
      </c>
      <c r="L77" s="109">
        <v>1</v>
      </c>
      <c r="M77" s="109">
        <v>4</v>
      </c>
      <c r="N77" s="111" t="s">
        <v>162</v>
      </c>
      <c r="O77" s="111">
        <f t="shared" si="9"/>
        <v>77.760000000000005</v>
      </c>
      <c r="P77" s="125">
        <v>44826</v>
      </c>
      <c r="Q77" s="125"/>
      <c r="R77" s="112">
        <v>1</v>
      </c>
      <c r="S77" s="112">
        <v>1</v>
      </c>
      <c r="T77" s="112">
        <v>0</v>
      </c>
      <c r="U77" s="113">
        <f>IF(ISBLANK(Table1[[#This Row],[OHC Date]]),$B$7-Table1[[#This Row],[HOC Date]]+1,Table1[[#This Row],[OHC Date]]-Table1[[#This Row],[HOC Date]]+1)/7</f>
        <v>13.571428571428571</v>
      </c>
      <c r="V77" s="114">
        <v>6.63</v>
      </c>
      <c r="W77" s="114">
        <v>0.7</v>
      </c>
      <c r="X77" s="114">
        <f>ROUND(0.7*Table1[[#This Row],[E&amp;D Rate per unit]]*R77*Table1[[#This Row],[Quantity]],2)</f>
        <v>360.88</v>
      </c>
      <c r="Y77" s="114">
        <f t="shared" si="10"/>
        <v>738.72</v>
      </c>
      <c r="Z77" s="114">
        <f>ROUND(0.3*T77*Table1[[#This Row],[E&amp;D Rate per unit]]*Table1[[#This Row],[Quantity]],2)</f>
        <v>0</v>
      </c>
      <c r="AA77" s="112">
        <v>1</v>
      </c>
      <c r="AB77" s="21">
        <f>ROUND(X77+Z77+Y77,2)*Table1[[#This Row],[Until WA Approved Only Approved this %]]</f>
        <v>1099.5999999999999</v>
      </c>
      <c r="AC77" s="136">
        <v>866.32</v>
      </c>
      <c r="AD77" s="136">
        <f>Table1[[#This Row],[Total Amount]]-Table1[[#This Row],[Previous Amount]]</f>
        <v>233.27999999999986</v>
      </c>
      <c r="AE77" s="115"/>
      <c r="AG77" s="174">
        <v>1099.5999999999999</v>
      </c>
      <c r="AH77" s="178">
        <f>AG77-Table1[[#This Row],[Total Amount]]</f>
        <v>0</v>
      </c>
      <c r="AI77" s="171">
        <f t="shared" si="11"/>
        <v>0</v>
      </c>
    </row>
    <row r="78" spans="1:35" ht="30" customHeight="1" x14ac:dyDescent="0.3">
      <c r="A78" s="108" t="s">
        <v>91</v>
      </c>
      <c r="B78" s="91" t="s">
        <v>99</v>
      </c>
      <c r="C78" s="109" t="s">
        <v>179</v>
      </c>
      <c r="D78" s="109">
        <v>74663</v>
      </c>
      <c r="E78" s="109">
        <v>76758</v>
      </c>
      <c r="F78" s="110" t="s">
        <v>180</v>
      </c>
      <c r="G78" s="17" t="s">
        <v>161</v>
      </c>
      <c r="H78" s="109" t="s">
        <v>178</v>
      </c>
      <c r="I78" s="109">
        <v>4</v>
      </c>
      <c r="J78" s="109">
        <v>3.6</v>
      </c>
      <c r="K78" s="109">
        <v>3.6</v>
      </c>
      <c r="L78" s="109">
        <v>1</v>
      </c>
      <c r="M78" s="109">
        <v>4</v>
      </c>
      <c r="N78" s="111" t="s">
        <v>162</v>
      </c>
      <c r="O78" s="111">
        <f t="shared" si="9"/>
        <v>51.84</v>
      </c>
      <c r="P78" s="125">
        <v>44826</v>
      </c>
      <c r="Q78" s="125">
        <v>44849</v>
      </c>
      <c r="R78" s="112">
        <v>1</v>
      </c>
      <c r="S78" s="112">
        <v>1</v>
      </c>
      <c r="T78" s="112">
        <v>1</v>
      </c>
      <c r="U78" s="113">
        <f>IF(ISBLANK(Table1[[#This Row],[OHC Date]]),$B$7-Table1[[#This Row],[HOC Date]]+1,Table1[[#This Row],[OHC Date]]-Table1[[#This Row],[HOC Date]]+1)/7</f>
        <v>3.4285714285714284</v>
      </c>
      <c r="V78" s="114">
        <v>6.63</v>
      </c>
      <c r="W78" s="114">
        <v>0.7</v>
      </c>
      <c r="X78" s="114">
        <f>ROUND(0.7*Table1[[#This Row],[E&amp;D Rate per unit]]*R78*Table1[[#This Row],[Quantity]],2)</f>
        <v>240.59</v>
      </c>
      <c r="Y78" s="114">
        <f t="shared" si="10"/>
        <v>124.42</v>
      </c>
      <c r="Z78" s="114">
        <f>ROUND(0.3*T78*Table1[[#This Row],[E&amp;D Rate per unit]]*Table1[[#This Row],[Quantity]],2)</f>
        <v>103.11</v>
      </c>
      <c r="AA78" s="112">
        <v>1</v>
      </c>
      <c r="AB78" s="21">
        <f>ROUND(X78+Z78+Y78,2)*Table1[[#This Row],[Until WA Approved Only Approved this %]]</f>
        <v>468.12</v>
      </c>
      <c r="AC78" s="136">
        <v>468.12</v>
      </c>
      <c r="AD78" s="136">
        <f>Table1[[#This Row],[Total Amount]]-Table1[[#This Row],[Previous Amount]]</f>
        <v>0</v>
      </c>
      <c r="AE78" s="115"/>
      <c r="AG78" s="174">
        <v>468.12</v>
      </c>
      <c r="AH78" s="178">
        <f>AG78-Table1[[#This Row],[Total Amount]]</f>
        <v>0</v>
      </c>
      <c r="AI78" s="171">
        <f t="shared" si="11"/>
        <v>0</v>
      </c>
    </row>
    <row r="79" spans="1:35" ht="30" customHeight="1" x14ac:dyDescent="0.3">
      <c r="A79" s="108" t="s">
        <v>91</v>
      </c>
      <c r="B79" s="91" t="s">
        <v>99</v>
      </c>
      <c r="C79" s="109" t="s">
        <v>181</v>
      </c>
      <c r="D79" s="109">
        <v>74664</v>
      </c>
      <c r="E79" s="109">
        <v>76759</v>
      </c>
      <c r="F79" s="110" t="s">
        <v>182</v>
      </c>
      <c r="G79" s="17" t="s">
        <v>161</v>
      </c>
      <c r="H79" s="109" t="s">
        <v>178</v>
      </c>
      <c r="I79" s="109">
        <v>4</v>
      </c>
      <c r="J79" s="109">
        <v>3.6</v>
      </c>
      <c r="K79" s="109">
        <v>3.6</v>
      </c>
      <c r="L79" s="109">
        <v>1</v>
      </c>
      <c r="M79" s="109">
        <v>4</v>
      </c>
      <c r="N79" s="111" t="s">
        <v>162</v>
      </c>
      <c r="O79" s="111">
        <f t="shared" si="9"/>
        <v>51.84</v>
      </c>
      <c r="P79" s="125">
        <v>44826</v>
      </c>
      <c r="Q79" s="125">
        <v>44849</v>
      </c>
      <c r="R79" s="112">
        <v>1</v>
      </c>
      <c r="S79" s="112">
        <v>1</v>
      </c>
      <c r="T79" s="112">
        <v>1</v>
      </c>
      <c r="U79" s="113">
        <f>IF(ISBLANK(Table1[[#This Row],[OHC Date]]),$B$7-Table1[[#This Row],[HOC Date]]+1,Table1[[#This Row],[OHC Date]]-Table1[[#This Row],[HOC Date]]+1)/7</f>
        <v>3.4285714285714284</v>
      </c>
      <c r="V79" s="114">
        <v>6.63</v>
      </c>
      <c r="W79" s="114">
        <v>0.7</v>
      </c>
      <c r="X79" s="114">
        <f>ROUND(0.7*Table1[[#This Row],[E&amp;D Rate per unit]]*R79*Table1[[#This Row],[Quantity]],2)</f>
        <v>240.59</v>
      </c>
      <c r="Y79" s="114">
        <f t="shared" si="10"/>
        <v>124.42</v>
      </c>
      <c r="Z79" s="114">
        <f>ROUND(0.3*T79*Table1[[#This Row],[E&amp;D Rate per unit]]*Table1[[#This Row],[Quantity]],2)</f>
        <v>103.11</v>
      </c>
      <c r="AA79" s="112">
        <v>1</v>
      </c>
      <c r="AB79" s="21">
        <f>ROUND(X79+Z79+Y79,2)*Table1[[#This Row],[Until WA Approved Only Approved this %]]</f>
        <v>468.12</v>
      </c>
      <c r="AC79" s="136">
        <v>468.12</v>
      </c>
      <c r="AD79" s="136">
        <f>Table1[[#This Row],[Total Amount]]-Table1[[#This Row],[Previous Amount]]</f>
        <v>0</v>
      </c>
      <c r="AE79" s="115"/>
      <c r="AG79" s="174">
        <v>468.12</v>
      </c>
      <c r="AH79" s="178">
        <f>AG79-Table1[[#This Row],[Total Amount]]</f>
        <v>0</v>
      </c>
      <c r="AI79" s="171">
        <f t="shared" si="11"/>
        <v>0</v>
      </c>
    </row>
    <row r="80" spans="1:35" ht="30" customHeight="1" x14ac:dyDescent="0.3">
      <c r="A80" s="108" t="s">
        <v>91</v>
      </c>
      <c r="B80" s="91" t="s">
        <v>99</v>
      </c>
      <c r="C80" s="109" t="s">
        <v>183</v>
      </c>
      <c r="D80" s="109">
        <v>74665</v>
      </c>
      <c r="E80" s="109">
        <v>76760</v>
      </c>
      <c r="F80" s="110" t="s">
        <v>184</v>
      </c>
      <c r="G80" s="17" t="s">
        <v>161</v>
      </c>
      <c r="H80" s="109" t="s">
        <v>178</v>
      </c>
      <c r="I80" s="109">
        <v>4</v>
      </c>
      <c r="J80" s="109">
        <v>3.6</v>
      </c>
      <c r="K80" s="109">
        <v>3.6</v>
      </c>
      <c r="L80" s="109">
        <v>1</v>
      </c>
      <c r="M80" s="109">
        <v>4</v>
      </c>
      <c r="N80" s="111" t="s">
        <v>162</v>
      </c>
      <c r="O80" s="111">
        <f t="shared" si="9"/>
        <v>51.84</v>
      </c>
      <c r="P80" s="125">
        <v>44826</v>
      </c>
      <c r="Q80" s="125">
        <v>44849</v>
      </c>
      <c r="R80" s="112">
        <v>1</v>
      </c>
      <c r="S80" s="112">
        <v>1</v>
      </c>
      <c r="T80" s="112">
        <v>1</v>
      </c>
      <c r="U80" s="113">
        <f>IF(ISBLANK(Table1[[#This Row],[OHC Date]]),$B$7-Table1[[#This Row],[HOC Date]]+1,Table1[[#This Row],[OHC Date]]-Table1[[#This Row],[HOC Date]]+1)/7</f>
        <v>3.4285714285714284</v>
      </c>
      <c r="V80" s="114">
        <v>6.63</v>
      </c>
      <c r="W80" s="114">
        <v>0.7</v>
      </c>
      <c r="X80" s="114">
        <f>ROUND(0.7*Table1[[#This Row],[E&amp;D Rate per unit]]*R80*Table1[[#This Row],[Quantity]],2)</f>
        <v>240.59</v>
      </c>
      <c r="Y80" s="114">
        <f t="shared" si="10"/>
        <v>124.42</v>
      </c>
      <c r="Z80" s="114">
        <f>ROUND(0.3*T80*Table1[[#This Row],[E&amp;D Rate per unit]]*Table1[[#This Row],[Quantity]],2)</f>
        <v>103.11</v>
      </c>
      <c r="AA80" s="112">
        <v>1</v>
      </c>
      <c r="AB80" s="21">
        <f>ROUND(X80+Z80+Y80,2)*Table1[[#This Row],[Until WA Approved Only Approved this %]]</f>
        <v>468.12</v>
      </c>
      <c r="AC80" s="136">
        <v>468.12</v>
      </c>
      <c r="AD80" s="136">
        <f>Table1[[#This Row],[Total Amount]]-Table1[[#This Row],[Previous Amount]]</f>
        <v>0</v>
      </c>
      <c r="AE80" s="115"/>
      <c r="AG80" s="174">
        <v>468.12</v>
      </c>
      <c r="AH80" s="178">
        <f>AG80-Table1[[#This Row],[Total Amount]]</f>
        <v>0</v>
      </c>
      <c r="AI80" s="171">
        <f t="shared" si="11"/>
        <v>0</v>
      </c>
    </row>
    <row r="81" spans="1:35" ht="30" customHeight="1" x14ac:dyDescent="0.3">
      <c r="A81" s="108" t="s">
        <v>91</v>
      </c>
      <c r="B81" s="91" t="s">
        <v>99</v>
      </c>
      <c r="C81" s="109" t="s">
        <v>185</v>
      </c>
      <c r="D81" s="109">
        <v>74668</v>
      </c>
      <c r="E81" s="109">
        <v>76761</v>
      </c>
      <c r="F81" s="110" t="s">
        <v>186</v>
      </c>
      <c r="G81" s="17" t="s">
        <v>165</v>
      </c>
      <c r="H81" s="109" t="s">
        <v>178</v>
      </c>
      <c r="I81" s="109">
        <v>6</v>
      </c>
      <c r="J81" s="109">
        <v>3.5</v>
      </c>
      <c r="K81" s="109">
        <v>3.5</v>
      </c>
      <c r="L81" s="109">
        <v>1</v>
      </c>
      <c r="M81" s="109">
        <v>6</v>
      </c>
      <c r="N81" s="111" t="s">
        <v>162</v>
      </c>
      <c r="O81" s="111">
        <f t="shared" si="9"/>
        <v>73.5</v>
      </c>
      <c r="P81" s="125">
        <v>44831</v>
      </c>
      <c r="Q81" s="125">
        <v>44849</v>
      </c>
      <c r="R81" s="112">
        <v>1</v>
      </c>
      <c r="S81" s="112">
        <v>1</v>
      </c>
      <c r="T81" s="112">
        <v>1</v>
      </c>
      <c r="U81" s="113">
        <f>IF(ISBLANK(Table1[[#This Row],[OHC Date]]),$B$7-Table1[[#This Row],[HOC Date]]+1,Table1[[#This Row],[OHC Date]]-Table1[[#This Row],[HOC Date]]+1)/7</f>
        <v>2.7142857142857144</v>
      </c>
      <c r="V81" s="114">
        <v>6.63</v>
      </c>
      <c r="W81" s="114">
        <v>0.7</v>
      </c>
      <c r="X81" s="114">
        <f>ROUND(0.7*Table1[[#This Row],[E&amp;D Rate per unit]]*R81*Table1[[#This Row],[Quantity]],2)</f>
        <v>341.11</v>
      </c>
      <c r="Y81" s="114">
        <f t="shared" si="10"/>
        <v>139.65</v>
      </c>
      <c r="Z81" s="114">
        <f>ROUND(0.3*T81*Table1[[#This Row],[E&amp;D Rate per unit]]*Table1[[#This Row],[Quantity]],2)</f>
        <v>146.19</v>
      </c>
      <c r="AA81" s="112">
        <v>1</v>
      </c>
      <c r="AB81" s="21">
        <f>ROUND(X81+Z81+Y81,2)*Table1[[#This Row],[Until WA Approved Only Approved this %]]</f>
        <v>626.95000000000005</v>
      </c>
      <c r="AC81" s="136">
        <v>626.95000000000005</v>
      </c>
      <c r="AD81" s="136">
        <f>Table1[[#This Row],[Total Amount]]-Table1[[#This Row],[Previous Amount]]</f>
        <v>0</v>
      </c>
      <c r="AE81" s="115"/>
      <c r="AG81" s="174">
        <v>626.95000000000005</v>
      </c>
      <c r="AH81" s="178">
        <f>AG81-Table1[[#This Row],[Total Amount]]</f>
        <v>0</v>
      </c>
      <c r="AI81" s="171">
        <f t="shared" si="11"/>
        <v>0</v>
      </c>
    </row>
    <row r="82" spans="1:35" ht="30" customHeight="1" x14ac:dyDescent="0.3">
      <c r="A82" s="108" t="s">
        <v>91</v>
      </c>
      <c r="B82" s="91" t="s">
        <v>99</v>
      </c>
      <c r="C82" s="109" t="s">
        <v>187</v>
      </c>
      <c r="D82" s="109">
        <v>74669</v>
      </c>
      <c r="E82" s="109">
        <v>76762</v>
      </c>
      <c r="F82" s="110" t="s">
        <v>188</v>
      </c>
      <c r="G82" s="17" t="s">
        <v>165</v>
      </c>
      <c r="H82" s="109" t="s">
        <v>178</v>
      </c>
      <c r="I82" s="109">
        <v>6</v>
      </c>
      <c r="J82" s="109">
        <v>9</v>
      </c>
      <c r="K82" s="109">
        <v>3.5</v>
      </c>
      <c r="L82" s="109">
        <v>1</v>
      </c>
      <c r="M82" s="109">
        <v>6</v>
      </c>
      <c r="N82" s="111" t="s">
        <v>162</v>
      </c>
      <c r="O82" s="111">
        <f t="shared" si="9"/>
        <v>189</v>
      </c>
      <c r="P82" s="125">
        <v>44831</v>
      </c>
      <c r="Q82" s="125">
        <v>44849</v>
      </c>
      <c r="R82" s="112">
        <v>1</v>
      </c>
      <c r="S82" s="112">
        <v>1</v>
      </c>
      <c r="T82" s="112">
        <v>1</v>
      </c>
      <c r="U82" s="113">
        <f>IF(ISBLANK(Table1[[#This Row],[OHC Date]]),$B$7-Table1[[#This Row],[HOC Date]]+1,Table1[[#This Row],[OHC Date]]-Table1[[#This Row],[HOC Date]]+1)/7</f>
        <v>2.7142857142857144</v>
      </c>
      <c r="V82" s="114">
        <v>6.63</v>
      </c>
      <c r="W82" s="114">
        <v>0.7</v>
      </c>
      <c r="X82" s="114">
        <f>ROUND(0.7*Table1[[#This Row],[E&amp;D Rate per unit]]*R82*Table1[[#This Row],[Quantity]],2)</f>
        <v>877.15</v>
      </c>
      <c r="Y82" s="114">
        <f t="shared" si="10"/>
        <v>359.1</v>
      </c>
      <c r="Z82" s="114">
        <f>ROUND(0.3*T82*Table1[[#This Row],[E&amp;D Rate per unit]]*Table1[[#This Row],[Quantity]],2)</f>
        <v>375.92</v>
      </c>
      <c r="AA82" s="112">
        <v>1</v>
      </c>
      <c r="AB82" s="21">
        <f>ROUND(X82+Z82+Y82,2)*Table1[[#This Row],[Until WA Approved Only Approved this %]]</f>
        <v>1612.17</v>
      </c>
      <c r="AC82" s="136">
        <v>1612.17</v>
      </c>
      <c r="AD82" s="136">
        <f>Table1[[#This Row],[Total Amount]]-Table1[[#This Row],[Previous Amount]]</f>
        <v>0</v>
      </c>
      <c r="AE82" s="115"/>
      <c r="AG82" s="174">
        <v>1612.17</v>
      </c>
      <c r="AH82" s="178">
        <f>AG82-Table1[[#This Row],[Total Amount]]</f>
        <v>0</v>
      </c>
      <c r="AI82" s="171">
        <f t="shared" si="11"/>
        <v>0</v>
      </c>
    </row>
    <row r="83" spans="1:35" s="143" customFormat="1" ht="30" customHeight="1" x14ac:dyDescent="0.3">
      <c r="A83" s="108" t="s">
        <v>94</v>
      </c>
      <c r="B83" s="91" t="s">
        <v>99</v>
      </c>
      <c r="C83" s="109">
        <v>4</v>
      </c>
      <c r="D83" s="109">
        <v>74673</v>
      </c>
      <c r="E83" s="109">
        <v>76788</v>
      </c>
      <c r="F83" s="110" t="s">
        <v>189</v>
      </c>
      <c r="G83" s="17" t="s">
        <v>190</v>
      </c>
      <c r="H83" s="109" t="s">
        <v>191</v>
      </c>
      <c r="I83" s="109">
        <v>1</v>
      </c>
      <c r="J83" s="109"/>
      <c r="K83" s="109"/>
      <c r="L83" s="109"/>
      <c r="M83" s="109"/>
      <c r="N83" s="111" t="s">
        <v>56</v>
      </c>
      <c r="O83" s="111">
        <f t="shared" si="9"/>
        <v>1</v>
      </c>
      <c r="P83" s="125">
        <v>44835</v>
      </c>
      <c r="Q83" s="125">
        <v>44870</v>
      </c>
      <c r="R83" s="112">
        <v>1</v>
      </c>
      <c r="S83" s="112">
        <v>1</v>
      </c>
      <c r="T83" s="112">
        <v>1</v>
      </c>
      <c r="U83" s="113">
        <f>IF(ISBLANK(Table1[[#This Row],[OHC Date]]),$B$7-Table1[[#This Row],[HOC Date]]+1,Table1[[#This Row],[OHC Date]]-Table1[[#This Row],[HOC Date]]+1)/7</f>
        <v>5.1428571428571432</v>
      </c>
      <c r="V83" s="114">
        <v>15626.48</v>
      </c>
      <c r="W83" s="114">
        <v>625.97</v>
      </c>
      <c r="X83" s="114">
        <f>ROUND(0.7*Table1[[#This Row],[E&amp;D Rate per unit]]*R83*Table1[[#This Row],[Quantity]],2)</f>
        <v>10938.54</v>
      </c>
      <c r="Y83" s="114">
        <f t="shared" si="10"/>
        <v>3219.27</v>
      </c>
      <c r="Z83" s="114">
        <f>ROUND(0.3*T83*Table1[[#This Row],[E&amp;D Rate per unit]]*Table1[[#This Row],[Quantity]],2)</f>
        <v>4687.9399999999996</v>
      </c>
      <c r="AA83" s="112">
        <v>1</v>
      </c>
      <c r="AB83" s="21">
        <f>ROUND(X83+Z83+Y83,2)*Table1[[#This Row],[Until WA Approved Only Approved this %]]</f>
        <v>18845.75</v>
      </c>
      <c r="AC83" s="136">
        <v>18845.75</v>
      </c>
      <c r="AD83" s="136">
        <f>Table1[[#This Row],[Total Amount]]-Table1[[#This Row],[Previous Amount]]</f>
        <v>0</v>
      </c>
      <c r="AE83" s="115" t="s">
        <v>196</v>
      </c>
      <c r="AG83" s="177">
        <v>18845.75</v>
      </c>
      <c r="AH83" s="178">
        <f>AG83-Table1[[#This Row],[Total Amount]]</f>
        <v>0</v>
      </c>
      <c r="AI83" s="171">
        <f t="shared" si="11"/>
        <v>0</v>
      </c>
    </row>
    <row r="84" spans="1:35" ht="30" customHeight="1" x14ac:dyDescent="0.3">
      <c r="A84" s="108" t="s">
        <v>93</v>
      </c>
      <c r="B84" s="91" t="s">
        <v>99</v>
      </c>
      <c r="C84" s="109">
        <v>5</v>
      </c>
      <c r="D84" s="109">
        <v>74675</v>
      </c>
      <c r="E84" s="109">
        <v>76768</v>
      </c>
      <c r="F84" s="110" t="s">
        <v>193</v>
      </c>
      <c r="G84" s="17" t="s">
        <v>161</v>
      </c>
      <c r="H84" s="109" t="s">
        <v>194</v>
      </c>
      <c r="I84" s="109">
        <v>1</v>
      </c>
      <c r="J84" s="109"/>
      <c r="K84" s="109"/>
      <c r="L84" s="109"/>
      <c r="M84" s="109"/>
      <c r="N84" s="111" t="s">
        <v>56</v>
      </c>
      <c r="O84" s="111">
        <f t="shared" si="9"/>
        <v>1</v>
      </c>
      <c r="P84" s="125">
        <v>44837</v>
      </c>
      <c r="Q84" s="125">
        <v>44856</v>
      </c>
      <c r="R84" s="112">
        <v>1</v>
      </c>
      <c r="S84" s="112">
        <v>1</v>
      </c>
      <c r="T84" s="112">
        <v>1</v>
      </c>
      <c r="U84" s="113">
        <f>IF(ISBLANK(Table1[[#This Row],[OHC Date]]),$B$7-Table1[[#This Row],[HOC Date]]+1,Table1[[#This Row],[OHC Date]]-Table1[[#This Row],[HOC Date]]+1)/7</f>
        <v>2.8571428571428572</v>
      </c>
      <c r="V84" s="114">
        <v>5727.13</v>
      </c>
      <c r="W84" s="114">
        <v>317.70999999999998</v>
      </c>
      <c r="X84" s="114">
        <f>ROUND(0.7*Table1[[#This Row],[E&amp;D Rate per unit]]*R84*Table1[[#This Row],[Quantity]],2)</f>
        <v>4008.99</v>
      </c>
      <c r="Y84" s="114">
        <f t="shared" si="10"/>
        <v>907.74</v>
      </c>
      <c r="Z84" s="114">
        <f>ROUND(0.3*T84*Table1[[#This Row],[E&amp;D Rate per unit]]*Table1[[#This Row],[Quantity]],2)</f>
        <v>1718.14</v>
      </c>
      <c r="AA84" s="19">
        <v>1</v>
      </c>
      <c r="AB84" s="21">
        <f>ROUND(X84+Z84+Y84,2)*Table1[[#This Row],[Until WA Approved Only Approved this %]]</f>
        <v>6634.87</v>
      </c>
      <c r="AC84" s="136">
        <v>6634.87</v>
      </c>
      <c r="AD84" s="136">
        <f>Table1[[#This Row],[Total Amount]]-Table1[[#This Row],[Previous Amount]]</f>
        <v>0</v>
      </c>
      <c r="AE84" s="115" t="s">
        <v>195</v>
      </c>
      <c r="AG84" s="174">
        <v>6634.87</v>
      </c>
      <c r="AH84" s="178">
        <f>AG84-Table1[[#This Row],[Total Amount]]</f>
        <v>0</v>
      </c>
      <c r="AI84" s="171">
        <f t="shared" si="11"/>
        <v>0</v>
      </c>
    </row>
    <row r="85" spans="1:35" ht="30" customHeight="1" x14ac:dyDescent="0.3">
      <c r="A85" s="108" t="s">
        <v>91</v>
      </c>
      <c r="B85" s="91" t="s">
        <v>99</v>
      </c>
      <c r="C85" s="109" t="s">
        <v>197</v>
      </c>
      <c r="D85" s="109">
        <v>74676</v>
      </c>
      <c r="E85" s="109">
        <v>76755</v>
      </c>
      <c r="F85" s="110" t="s">
        <v>198</v>
      </c>
      <c r="G85" s="17" t="s">
        <v>161</v>
      </c>
      <c r="H85" s="109" t="s">
        <v>178</v>
      </c>
      <c r="I85" s="109">
        <v>1</v>
      </c>
      <c r="J85" s="109">
        <v>3.6</v>
      </c>
      <c r="K85" s="109">
        <v>1.8</v>
      </c>
      <c r="L85" s="109">
        <v>1</v>
      </c>
      <c r="M85" s="109">
        <v>1</v>
      </c>
      <c r="N85" s="111" t="s">
        <v>162</v>
      </c>
      <c r="O85" s="111">
        <f t="shared" si="9"/>
        <v>6.48</v>
      </c>
      <c r="P85" s="125">
        <v>44838</v>
      </c>
      <c r="Q85" s="125">
        <v>44841</v>
      </c>
      <c r="R85" s="112">
        <v>1</v>
      </c>
      <c r="S85" s="112">
        <v>1</v>
      </c>
      <c r="T85" s="112">
        <v>1</v>
      </c>
      <c r="U85" s="113">
        <f>IF(ISBLANK(Table1[[#This Row],[OHC Date]]),$B$7-Table1[[#This Row],[HOC Date]]+1,Table1[[#This Row],[OHC Date]]-Table1[[#This Row],[HOC Date]]+1)/7</f>
        <v>0.5714285714285714</v>
      </c>
      <c r="V85" s="114">
        <v>6.63</v>
      </c>
      <c r="W85" s="114">
        <v>0.7</v>
      </c>
      <c r="X85" s="114">
        <f>ROUND(0.7*Table1[[#This Row],[E&amp;D Rate per unit]]*R85*Table1[[#This Row],[Quantity]],2)</f>
        <v>30.07</v>
      </c>
      <c r="Y85" s="114">
        <f t="shared" si="10"/>
        <v>2.59</v>
      </c>
      <c r="Z85" s="114">
        <f>ROUND(0.3*T85*Table1[[#This Row],[E&amp;D Rate per unit]]*Table1[[#This Row],[Quantity]],2)</f>
        <v>12.89</v>
      </c>
      <c r="AA85" s="112">
        <v>1</v>
      </c>
      <c r="AB85" s="21">
        <f>ROUND(X85+Z85+Y85,2)*Table1[[#This Row],[Until WA Approved Only Approved this %]]</f>
        <v>45.55</v>
      </c>
      <c r="AC85" s="136">
        <v>45.55</v>
      </c>
      <c r="AD85" s="136">
        <f>Table1[[#This Row],[Total Amount]]-Table1[[#This Row],[Previous Amount]]</f>
        <v>0</v>
      </c>
      <c r="AE85" s="115"/>
      <c r="AG85" s="174">
        <v>45.55</v>
      </c>
      <c r="AH85" s="178">
        <f>AG85-Table1[[#This Row],[Total Amount]]</f>
        <v>0</v>
      </c>
      <c r="AI85" s="171">
        <f t="shared" si="11"/>
        <v>0</v>
      </c>
    </row>
    <row r="86" spans="1:35" ht="30" customHeight="1" x14ac:dyDescent="0.3">
      <c r="A86" s="108" t="s">
        <v>199</v>
      </c>
      <c r="B86" s="91" t="s">
        <v>99</v>
      </c>
      <c r="C86" s="109">
        <v>6</v>
      </c>
      <c r="D86" s="109">
        <v>74677</v>
      </c>
      <c r="E86" s="109"/>
      <c r="F86" s="110" t="s">
        <v>201</v>
      </c>
      <c r="G86" s="17" t="s">
        <v>202</v>
      </c>
      <c r="H86" s="109" t="s">
        <v>203</v>
      </c>
      <c r="I86" s="109">
        <v>1</v>
      </c>
      <c r="J86" s="109"/>
      <c r="K86" s="109"/>
      <c r="L86" s="109"/>
      <c r="M86" s="109"/>
      <c r="N86" s="111" t="s">
        <v>56</v>
      </c>
      <c r="O86" s="111">
        <f t="shared" si="9"/>
        <v>1</v>
      </c>
      <c r="P86" s="125">
        <v>44844</v>
      </c>
      <c r="Q86" s="125"/>
      <c r="R86" s="112">
        <v>1</v>
      </c>
      <c r="S86" s="112">
        <v>1</v>
      </c>
      <c r="T86" s="112">
        <v>0</v>
      </c>
      <c r="U86" s="113">
        <f>IF(ISBLANK(Table1[[#This Row],[OHC Date]]),$B$7-Table1[[#This Row],[HOC Date]]+1,Table1[[#This Row],[OHC Date]]-Table1[[#This Row],[HOC Date]]+1)/7</f>
        <v>11</v>
      </c>
      <c r="V86" s="114">
        <v>4959.7700000000004</v>
      </c>
      <c r="W86" s="114">
        <v>123.48</v>
      </c>
      <c r="X86" s="114">
        <f>ROUND(0.7*Table1[[#This Row],[E&amp;D Rate per unit]]*R86*Table1[[#This Row],[Quantity]],2)</f>
        <v>3471.84</v>
      </c>
      <c r="Y86" s="114">
        <f t="shared" si="10"/>
        <v>1358.28</v>
      </c>
      <c r="Z86" s="114">
        <f>ROUND(0.3*T86*Table1[[#This Row],[E&amp;D Rate per unit]]*Table1[[#This Row],[Quantity]],2)</f>
        <v>0</v>
      </c>
      <c r="AA86" s="19">
        <v>1</v>
      </c>
      <c r="AB86" s="21">
        <f>ROUND(X86+Z86+Y86,2)*Table1[[#This Row],[Until WA Approved Only Approved this %]]</f>
        <v>4830.12</v>
      </c>
      <c r="AC86" s="136">
        <v>4300.92</v>
      </c>
      <c r="AD86" s="136">
        <f>Table1[[#This Row],[Total Amount]]-Table1[[#This Row],[Previous Amount]]</f>
        <v>529.19999999999982</v>
      </c>
      <c r="AE86" s="115" t="s">
        <v>204</v>
      </c>
      <c r="AG86" s="174">
        <v>4830.12</v>
      </c>
      <c r="AH86" s="178">
        <f>AG86-Table1[[#This Row],[Total Amount]]</f>
        <v>0</v>
      </c>
      <c r="AI86" s="171">
        <f t="shared" si="11"/>
        <v>0</v>
      </c>
    </row>
    <row r="87" spans="1:35" ht="30" customHeight="1" x14ac:dyDescent="0.3">
      <c r="A87" s="108" t="s">
        <v>91</v>
      </c>
      <c r="B87" s="91" t="s">
        <v>99</v>
      </c>
      <c r="C87" s="109">
        <v>7</v>
      </c>
      <c r="D87" s="109">
        <v>74678</v>
      </c>
      <c r="E87" s="109">
        <v>80573</v>
      </c>
      <c r="F87" s="110" t="s">
        <v>205</v>
      </c>
      <c r="G87" s="17" t="s">
        <v>206</v>
      </c>
      <c r="H87" s="109" t="s">
        <v>207</v>
      </c>
      <c r="I87" s="109">
        <v>1</v>
      </c>
      <c r="J87" s="109">
        <v>15</v>
      </c>
      <c r="K87" s="109">
        <v>1.5</v>
      </c>
      <c r="L87" s="109">
        <v>0.8</v>
      </c>
      <c r="M87" s="109">
        <v>1</v>
      </c>
      <c r="N87" s="111" t="s">
        <v>208</v>
      </c>
      <c r="O87" s="111">
        <f t="shared" ref="O87:O98" si="12">ROUND(IF(N87="m3",I87*J87*K87*L87,IF(N87="m2-LxH",I87*J87*L87,IF(N87="m2-LxW",I87*J87*K87,IF(N87="rm",I87*L87,IF(N87="lm",I87*J87,IF(N87="unit",I87,"NA")))))),2)</f>
        <v>12</v>
      </c>
      <c r="P87" s="125">
        <v>44844</v>
      </c>
      <c r="Q87" s="125">
        <v>44911</v>
      </c>
      <c r="R87" s="112">
        <v>1</v>
      </c>
      <c r="S87" s="112">
        <v>1</v>
      </c>
      <c r="T87" s="112">
        <v>1</v>
      </c>
      <c r="U87" s="113">
        <f>IF(ISBLANK(Table1[[#This Row],[OHC Date]]),$B$7-Table1[[#This Row],[HOC Date]]+1,Table1[[#This Row],[OHC Date]]-Table1[[#This Row],[HOC Date]]+1)/7</f>
        <v>9.7142857142857135</v>
      </c>
      <c r="V87" s="114">
        <v>12.01</v>
      </c>
      <c r="W87" s="114">
        <v>0.49</v>
      </c>
      <c r="X87" s="114">
        <f>ROUND(0.7*Table1[[#This Row],[E&amp;D Rate per unit]]*R87*Table1[[#This Row],[Quantity]],2)</f>
        <v>100.88</v>
      </c>
      <c r="Y87" s="114">
        <f t="shared" ref="Y87:Y98" si="13">ROUND(O87*U87*W87*S87,2)</f>
        <v>57.12</v>
      </c>
      <c r="Z87" s="114">
        <f>ROUND(0.3*T87*Table1[[#This Row],[E&amp;D Rate per unit]]*Table1[[#This Row],[Quantity]],2)</f>
        <v>43.24</v>
      </c>
      <c r="AA87" s="112">
        <v>1</v>
      </c>
      <c r="AB87" s="21">
        <f>ROUND(X87+Z87+Y87,2)*Table1[[#This Row],[Until WA Approved Only Approved this %]]</f>
        <v>201.24</v>
      </c>
      <c r="AC87" s="139">
        <v>140.36000000000001</v>
      </c>
      <c r="AD87" s="136">
        <f>Table1[[#This Row],[Total Amount]]-Table1[[#This Row],[Previous Amount]]</f>
        <v>60.879999999999995</v>
      </c>
      <c r="AE87" s="115"/>
      <c r="AG87" s="174">
        <v>201.24</v>
      </c>
      <c r="AH87" s="178">
        <f>AG87-Table1[[#This Row],[Total Amount]]</f>
        <v>0</v>
      </c>
      <c r="AI87" s="171">
        <f t="shared" si="11"/>
        <v>0</v>
      </c>
    </row>
    <row r="88" spans="1:35" ht="30" customHeight="1" x14ac:dyDescent="0.3">
      <c r="A88" s="108" t="s">
        <v>91</v>
      </c>
      <c r="B88" s="91" t="s">
        <v>99</v>
      </c>
      <c r="C88" s="109" t="s">
        <v>209</v>
      </c>
      <c r="D88" s="109">
        <v>74679</v>
      </c>
      <c r="E88" s="109">
        <v>76756</v>
      </c>
      <c r="F88" s="110" t="s">
        <v>210</v>
      </c>
      <c r="G88" s="17" t="s">
        <v>211</v>
      </c>
      <c r="H88" s="109" t="s">
        <v>178</v>
      </c>
      <c r="I88" s="109">
        <v>1</v>
      </c>
      <c r="J88" s="109">
        <v>4</v>
      </c>
      <c r="K88" s="109">
        <v>1</v>
      </c>
      <c r="L88" s="109">
        <v>1</v>
      </c>
      <c r="M88" s="109">
        <v>1</v>
      </c>
      <c r="N88" s="111" t="s">
        <v>162</v>
      </c>
      <c r="O88" s="111">
        <f t="shared" si="12"/>
        <v>4</v>
      </c>
      <c r="P88" s="125">
        <v>44844</v>
      </c>
      <c r="Q88" s="125">
        <v>44845</v>
      </c>
      <c r="R88" s="112">
        <v>1</v>
      </c>
      <c r="S88" s="112">
        <v>1</v>
      </c>
      <c r="T88" s="112">
        <v>1</v>
      </c>
      <c r="U88" s="113">
        <f>IF(ISBLANK(Table1[[#This Row],[OHC Date]]),$B$7-Table1[[#This Row],[HOC Date]]+1,Table1[[#This Row],[OHC Date]]-Table1[[#This Row],[HOC Date]]+1)/7</f>
        <v>0.2857142857142857</v>
      </c>
      <c r="V88" s="114">
        <v>6.63</v>
      </c>
      <c r="W88" s="114">
        <v>0.7</v>
      </c>
      <c r="X88" s="114">
        <f>ROUND(0.7*Table1[[#This Row],[E&amp;D Rate per unit]]*R88*Table1[[#This Row],[Quantity]],2)</f>
        <v>18.559999999999999</v>
      </c>
      <c r="Y88" s="114">
        <f t="shared" si="13"/>
        <v>0.8</v>
      </c>
      <c r="Z88" s="114">
        <f>ROUND(0.3*T88*Table1[[#This Row],[E&amp;D Rate per unit]]*Table1[[#This Row],[Quantity]],2)</f>
        <v>7.96</v>
      </c>
      <c r="AA88" s="112">
        <v>1</v>
      </c>
      <c r="AB88" s="21">
        <f>ROUND(X88+Z88+Y88,2)*Table1[[#This Row],[Until WA Approved Only Approved this %]]</f>
        <v>27.32</v>
      </c>
      <c r="AC88" s="139">
        <v>27.32</v>
      </c>
      <c r="AD88" s="136">
        <f>Table1[[#This Row],[Total Amount]]-Table1[[#This Row],[Previous Amount]]</f>
        <v>0</v>
      </c>
      <c r="AE88" s="115"/>
      <c r="AG88" s="174">
        <v>27.32</v>
      </c>
      <c r="AH88" s="178">
        <f>AG88-Table1[[#This Row],[Total Amount]]</f>
        <v>0</v>
      </c>
      <c r="AI88" s="171">
        <f t="shared" si="11"/>
        <v>0</v>
      </c>
    </row>
    <row r="89" spans="1:35" ht="30" customHeight="1" x14ac:dyDescent="0.3">
      <c r="A89" s="108" t="s">
        <v>91</v>
      </c>
      <c r="B89" s="91" t="s">
        <v>99</v>
      </c>
      <c r="C89" s="109" t="s">
        <v>212</v>
      </c>
      <c r="D89" s="109">
        <v>74682</v>
      </c>
      <c r="E89" s="109"/>
      <c r="F89" s="110" t="s">
        <v>213</v>
      </c>
      <c r="G89" s="17" t="s">
        <v>161</v>
      </c>
      <c r="H89" s="109" t="s">
        <v>129</v>
      </c>
      <c r="I89" s="109">
        <v>1</v>
      </c>
      <c r="J89" s="109">
        <v>19</v>
      </c>
      <c r="K89" s="109">
        <v>0.75</v>
      </c>
      <c r="L89" s="109">
        <v>1</v>
      </c>
      <c r="M89" s="109">
        <v>1</v>
      </c>
      <c r="N89" s="111" t="s">
        <v>162</v>
      </c>
      <c r="O89" s="111">
        <f t="shared" si="12"/>
        <v>14.25</v>
      </c>
      <c r="P89" s="125">
        <v>44846</v>
      </c>
      <c r="Q89" s="125"/>
      <c r="R89" s="112">
        <v>1</v>
      </c>
      <c r="S89" s="112">
        <v>1</v>
      </c>
      <c r="T89" s="112">
        <v>0</v>
      </c>
      <c r="U89" s="113">
        <f>IF(ISBLANK(Table1[[#This Row],[OHC Date]]),$B$7-Table1[[#This Row],[HOC Date]]+1,Table1[[#This Row],[OHC Date]]-Table1[[#This Row],[HOC Date]]+1)/7</f>
        <v>10.714285714285714</v>
      </c>
      <c r="V89" s="114">
        <v>36.520000000000003</v>
      </c>
      <c r="W89" s="114">
        <v>2.94</v>
      </c>
      <c r="X89" s="114">
        <f>ROUND(0.7*Table1[[#This Row],[E&amp;D Rate per unit]]*R89*Table1[[#This Row],[Quantity]],2)</f>
        <v>364.29</v>
      </c>
      <c r="Y89" s="114">
        <f t="shared" si="13"/>
        <v>448.88</v>
      </c>
      <c r="Z89" s="114">
        <f>ROUND(0.3*T89*Table1[[#This Row],[E&amp;D Rate per unit]]*Table1[[#This Row],[Quantity]],2)</f>
        <v>0</v>
      </c>
      <c r="AA89" s="112">
        <v>1</v>
      </c>
      <c r="AB89" s="21">
        <f>ROUND(X89+Z89+Y89,2)*Table1[[#This Row],[Until WA Approved Only Approved this %]]</f>
        <v>813.17</v>
      </c>
      <c r="AC89" s="136">
        <v>633.62</v>
      </c>
      <c r="AD89" s="136">
        <f>Table1[[#This Row],[Total Amount]]-Table1[[#This Row],[Previous Amount]]</f>
        <v>179.54999999999995</v>
      </c>
      <c r="AE89" s="115"/>
      <c r="AG89" s="174">
        <v>813.17</v>
      </c>
      <c r="AH89" s="178">
        <f>AG89-Table1[[#This Row],[Total Amount]]</f>
        <v>0</v>
      </c>
      <c r="AI89" s="171">
        <f t="shared" si="11"/>
        <v>0</v>
      </c>
    </row>
    <row r="90" spans="1:35" ht="30" customHeight="1" x14ac:dyDescent="0.3">
      <c r="A90" s="108" t="s">
        <v>91</v>
      </c>
      <c r="B90" s="91" t="s">
        <v>99</v>
      </c>
      <c r="C90" s="109" t="s">
        <v>215</v>
      </c>
      <c r="D90" s="109">
        <v>74683</v>
      </c>
      <c r="E90" s="109">
        <v>76764</v>
      </c>
      <c r="F90" s="110" t="s">
        <v>213</v>
      </c>
      <c r="G90" s="17" t="s">
        <v>161</v>
      </c>
      <c r="H90" s="109" t="s">
        <v>128</v>
      </c>
      <c r="I90" s="109">
        <v>1</v>
      </c>
      <c r="J90" s="109">
        <v>19.8</v>
      </c>
      <c r="K90" s="109">
        <v>0.5</v>
      </c>
      <c r="L90" s="109">
        <v>1</v>
      </c>
      <c r="M90" s="109">
        <v>1</v>
      </c>
      <c r="N90" s="111" t="s">
        <v>162</v>
      </c>
      <c r="O90" s="111">
        <f t="shared" si="12"/>
        <v>9.9</v>
      </c>
      <c r="P90" s="125">
        <v>44846</v>
      </c>
      <c r="Q90" s="125">
        <v>44855</v>
      </c>
      <c r="R90" s="112">
        <v>1</v>
      </c>
      <c r="S90" s="112">
        <v>1</v>
      </c>
      <c r="T90" s="112">
        <v>1</v>
      </c>
      <c r="U90" s="113">
        <f>IF(ISBLANK(Table1[[#This Row],[OHC Date]]),$B$7-Table1[[#This Row],[HOC Date]]+1,Table1[[#This Row],[OHC Date]]-Table1[[#This Row],[HOC Date]]+1)/7</f>
        <v>1.4285714285714286</v>
      </c>
      <c r="V90" s="114">
        <v>32.75</v>
      </c>
      <c r="W90" s="114">
        <v>1.05</v>
      </c>
      <c r="X90" s="114">
        <f>ROUND(0.7*Table1[[#This Row],[E&amp;D Rate per unit]]*R90*Table1[[#This Row],[Quantity]],2)</f>
        <v>226.96</v>
      </c>
      <c r="Y90" s="114">
        <f t="shared" si="13"/>
        <v>14.85</v>
      </c>
      <c r="Z90" s="114">
        <f>ROUND(0.3*T90*Table1[[#This Row],[E&amp;D Rate per unit]]*Table1[[#This Row],[Quantity]],2)</f>
        <v>97.27</v>
      </c>
      <c r="AA90" s="112">
        <v>1</v>
      </c>
      <c r="AB90" s="21">
        <f>ROUND(X90+Z90+Y90,2)*Table1[[#This Row],[Until WA Approved Only Approved this %]]</f>
        <v>339.08</v>
      </c>
      <c r="AC90" s="136">
        <v>339.08</v>
      </c>
      <c r="AD90" s="136">
        <f>Table1[[#This Row],[Total Amount]]-Table1[[#This Row],[Previous Amount]]</f>
        <v>0</v>
      </c>
      <c r="AE90" s="115"/>
      <c r="AG90" s="174">
        <v>339.08</v>
      </c>
      <c r="AH90" s="178">
        <f>AG90-Table1[[#This Row],[Total Amount]]</f>
        <v>0</v>
      </c>
      <c r="AI90" s="171">
        <f t="shared" si="11"/>
        <v>0</v>
      </c>
    </row>
    <row r="91" spans="1:35" ht="30" customHeight="1" x14ac:dyDescent="0.3">
      <c r="A91" s="108" t="s">
        <v>91</v>
      </c>
      <c r="B91" s="91" t="s">
        <v>99</v>
      </c>
      <c r="C91" s="109">
        <v>11</v>
      </c>
      <c r="D91" s="109">
        <v>74684</v>
      </c>
      <c r="E91" s="109">
        <v>76757</v>
      </c>
      <c r="F91" s="110" t="s">
        <v>216</v>
      </c>
      <c r="G91" s="17" t="s">
        <v>161</v>
      </c>
      <c r="H91" s="109" t="s">
        <v>207</v>
      </c>
      <c r="I91" s="109">
        <v>1</v>
      </c>
      <c r="J91" s="109">
        <v>3.6</v>
      </c>
      <c r="K91" s="109">
        <v>1.2</v>
      </c>
      <c r="L91" s="109">
        <v>2.5</v>
      </c>
      <c r="M91" s="109">
        <v>1</v>
      </c>
      <c r="N91" s="111" t="s">
        <v>208</v>
      </c>
      <c r="O91" s="111">
        <f t="shared" si="12"/>
        <v>9</v>
      </c>
      <c r="P91" s="125">
        <v>44847</v>
      </c>
      <c r="Q91" s="125">
        <v>44849</v>
      </c>
      <c r="R91" s="112">
        <v>1</v>
      </c>
      <c r="S91" s="112">
        <v>1</v>
      </c>
      <c r="T91" s="112">
        <v>1</v>
      </c>
      <c r="U91" s="113">
        <f>IF(ISBLANK(Table1[[#This Row],[OHC Date]]),$B$7-Table1[[#This Row],[HOC Date]]+1,Table1[[#This Row],[OHC Date]]-Table1[[#This Row],[HOC Date]]+1)/7</f>
        <v>0.42857142857142855</v>
      </c>
      <c r="V91" s="114">
        <v>12.01</v>
      </c>
      <c r="W91" s="114">
        <v>0.49</v>
      </c>
      <c r="X91" s="114">
        <f>ROUND(0.7*Table1[[#This Row],[E&amp;D Rate per unit]]*R91*Table1[[#This Row],[Quantity]],2)</f>
        <v>75.66</v>
      </c>
      <c r="Y91" s="114">
        <f t="shared" si="13"/>
        <v>1.89</v>
      </c>
      <c r="Z91" s="114">
        <f>ROUND(0.3*T91*Table1[[#This Row],[E&amp;D Rate per unit]]*Table1[[#This Row],[Quantity]],2)</f>
        <v>32.43</v>
      </c>
      <c r="AA91" s="112">
        <v>1</v>
      </c>
      <c r="AB91" s="21">
        <f>ROUND(X91+Z91+Y91,2)*Table1[[#This Row],[Until WA Approved Only Approved this %]]</f>
        <v>109.98</v>
      </c>
      <c r="AC91" s="136">
        <v>109.98</v>
      </c>
      <c r="AD91" s="136">
        <f>Table1[[#This Row],[Total Amount]]-Table1[[#This Row],[Previous Amount]]</f>
        <v>0</v>
      </c>
      <c r="AE91" s="115"/>
      <c r="AG91" s="174">
        <v>109.98</v>
      </c>
      <c r="AH91" s="178">
        <f>AG91-Table1[[#This Row],[Total Amount]]</f>
        <v>0</v>
      </c>
      <c r="AI91" s="171">
        <f t="shared" si="11"/>
        <v>0</v>
      </c>
    </row>
    <row r="92" spans="1:35" ht="30" customHeight="1" x14ac:dyDescent="0.3">
      <c r="A92" s="138" t="s">
        <v>199</v>
      </c>
      <c r="B92" s="91" t="s">
        <v>99</v>
      </c>
      <c r="C92" s="109">
        <v>12</v>
      </c>
      <c r="D92" s="109">
        <v>74685</v>
      </c>
      <c r="E92" s="109"/>
      <c r="F92" s="17" t="s">
        <v>201</v>
      </c>
      <c r="G92" s="17" t="s">
        <v>202</v>
      </c>
      <c r="H92" s="109" t="s">
        <v>203</v>
      </c>
      <c r="I92" s="109">
        <v>1</v>
      </c>
      <c r="J92" s="109"/>
      <c r="K92" s="109"/>
      <c r="L92" s="109"/>
      <c r="M92" s="109"/>
      <c r="N92" s="111" t="s">
        <v>56</v>
      </c>
      <c r="O92" s="111">
        <f t="shared" si="12"/>
        <v>1</v>
      </c>
      <c r="P92" s="125">
        <v>44848</v>
      </c>
      <c r="Q92" s="125"/>
      <c r="R92" s="112">
        <v>1</v>
      </c>
      <c r="S92" s="112">
        <v>1</v>
      </c>
      <c r="T92" s="112">
        <v>0</v>
      </c>
      <c r="U92" s="113">
        <f>IF(ISBLANK(Table1[[#This Row],[OHC Date]]),$B$7-Table1[[#This Row],[HOC Date]]+1,Table1[[#This Row],[OHC Date]]-Table1[[#This Row],[HOC Date]]+1)/7</f>
        <v>10.428571428571429</v>
      </c>
      <c r="V92" s="114">
        <v>4959.7700000000004</v>
      </c>
      <c r="W92" s="114">
        <v>123.48</v>
      </c>
      <c r="X92" s="114">
        <f>ROUND(0.7*Table1[[#This Row],[E&amp;D Rate per unit]]*R92*Table1[[#This Row],[Quantity]],2)</f>
        <v>3471.84</v>
      </c>
      <c r="Y92" s="114">
        <f t="shared" si="13"/>
        <v>1287.72</v>
      </c>
      <c r="Z92" s="114">
        <f>ROUND(0.3*T92*Table1[[#This Row],[E&amp;D Rate per unit]]*Table1[[#This Row],[Quantity]],2)</f>
        <v>0</v>
      </c>
      <c r="AA92" s="19">
        <v>1</v>
      </c>
      <c r="AB92" s="21">
        <f>ROUND(X92+Z92+Y92,2)*Table1[[#This Row],[Until WA Approved Only Approved this %]]</f>
        <v>4759.5600000000004</v>
      </c>
      <c r="AC92" s="136">
        <v>4230.3599999999997</v>
      </c>
      <c r="AD92" s="136">
        <f>Table1[[#This Row],[Total Amount]]-Table1[[#This Row],[Previous Amount]]</f>
        <v>529.20000000000073</v>
      </c>
      <c r="AE92" s="137" t="s">
        <v>204</v>
      </c>
      <c r="AG92" s="174">
        <v>4759.5600000000004</v>
      </c>
      <c r="AH92" s="178">
        <f>AG92-Table1[[#This Row],[Total Amount]]</f>
        <v>0</v>
      </c>
      <c r="AI92" s="171">
        <f t="shared" si="11"/>
        <v>0</v>
      </c>
    </row>
    <row r="93" spans="1:35" ht="30" customHeight="1" x14ac:dyDescent="0.3">
      <c r="A93" s="108" t="s">
        <v>91</v>
      </c>
      <c r="B93" s="91" t="s">
        <v>99</v>
      </c>
      <c r="C93" s="109">
        <v>13</v>
      </c>
      <c r="D93" s="109">
        <v>74686</v>
      </c>
      <c r="E93" s="109">
        <v>80503</v>
      </c>
      <c r="F93" s="110" t="s">
        <v>217</v>
      </c>
      <c r="G93" s="17" t="s">
        <v>218</v>
      </c>
      <c r="H93" s="109" t="s">
        <v>207</v>
      </c>
      <c r="I93" s="109">
        <v>1</v>
      </c>
      <c r="J93" s="109">
        <v>7.3</v>
      </c>
      <c r="K93" s="109">
        <v>1.3</v>
      </c>
      <c r="L93" s="109">
        <v>1.7</v>
      </c>
      <c r="M93" s="109">
        <v>1</v>
      </c>
      <c r="N93" s="111" t="s">
        <v>208</v>
      </c>
      <c r="O93" s="111">
        <f t="shared" si="12"/>
        <v>12.41</v>
      </c>
      <c r="P93" s="125">
        <v>44848</v>
      </c>
      <c r="Q93" s="125">
        <v>44875</v>
      </c>
      <c r="R93" s="112">
        <v>1</v>
      </c>
      <c r="S93" s="112">
        <v>1</v>
      </c>
      <c r="T93" s="112">
        <v>1</v>
      </c>
      <c r="U93" s="113">
        <f>IF(ISBLANK(Table1[[#This Row],[OHC Date]]),$B$7-Table1[[#This Row],[HOC Date]]+1,Table1[[#This Row],[OHC Date]]-Table1[[#This Row],[HOC Date]]+1)/7</f>
        <v>4</v>
      </c>
      <c r="V93" s="114">
        <v>12.01</v>
      </c>
      <c r="W93" s="114">
        <v>0.49</v>
      </c>
      <c r="X93" s="114">
        <f>ROUND(0.7*Table1[[#This Row],[E&amp;D Rate per unit]]*R93*Table1[[#This Row],[Quantity]],2)</f>
        <v>104.33</v>
      </c>
      <c r="Y93" s="114">
        <f t="shared" si="13"/>
        <v>24.32</v>
      </c>
      <c r="Z93" s="114">
        <f>ROUND(0.3*T93*Table1[[#This Row],[E&amp;D Rate per unit]]*Table1[[#This Row],[Quantity]],2)</f>
        <v>44.71</v>
      </c>
      <c r="AA93" s="112">
        <v>1</v>
      </c>
      <c r="AB93" s="21">
        <f>ROUND(X93+Z93+Y93,2)*Table1[[#This Row],[Until WA Approved Only Approved this %]]</f>
        <v>173.36</v>
      </c>
      <c r="AC93" s="136">
        <v>173.36</v>
      </c>
      <c r="AD93" s="136">
        <f>Table1[[#This Row],[Total Amount]]-Table1[[#This Row],[Previous Amount]]</f>
        <v>0</v>
      </c>
      <c r="AE93" s="115" t="s">
        <v>220</v>
      </c>
      <c r="AG93" s="174">
        <v>173.36</v>
      </c>
      <c r="AH93" s="178">
        <f>AG93-Table1[[#This Row],[Total Amount]]</f>
        <v>0</v>
      </c>
      <c r="AI93" s="171">
        <f t="shared" si="11"/>
        <v>0</v>
      </c>
    </row>
    <row r="94" spans="1:35" ht="30" customHeight="1" x14ac:dyDescent="0.3">
      <c r="A94" s="108" t="s">
        <v>91</v>
      </c>
      <c r="B94" s="91" t="s">
        <v>99</v>
      </c>
      <c r="C94" s="109">
        <v>14</v>
      </c>
      <c r="D94" s="109">
        <v>74687</v>
      </c>
      <c r="E94" s="109">
        <v>76763</v>
      </c>
      <c r="F94" s="110" t="s">
        <v>219</v>
      </c>
      <c r="G94" s="17" t="s">
        <v>218</v>
      </c>
      <c r="H94" s="109" t="s">
        <v>207</v>
      </c>
      <c r="I94" s="109">
        <v>1</v>
      </c>
      <c r="J94" s="109">
        <v>5.0999999999999996</v>
      </c>
      <c r="K94" s="109">
        <v>1.3</v>
      </c>
      <c r="L94" s="109">
        <v>1.6</v>
      </c>
      <c r="M94" s="109">
        <v>1</v>
      </c>
      <c r="N94" s="111" t="s">
        <v>208</v>
      </c>
      <c r="O94" s="111">
        <f t="shared" si="12"/>
        <v>8.16</v>
      </c>
      <c r="P94" s="125">
        <v>44849</v>
      </c>
      <c r="Q94" s="125">
        <v>44851</v>
      </c>
      <c r="R94" s="112">
        <v>1</v>
      </c>
      <c r="S94" s="112">
        <v>1</v>
      </c>
      <c r="T94" s="112">
        <v>1</v>
      </c>
      <c r="U94" s="113">
        <f>IF(ISBLANK(Table1[[#This Row],[OHC Date]]),$B$7-Table1[[#This Row],[HOC Date]]+1,Table1[[#This Row],[OHC Date]]-Table1[[#This Row],[HOC Date]]+1)/7</f>
        <v>0.42857142857142855</v>
      </c>
      <c r="V94" s="114">
        <v>12.01</v>
      </c>
      <c r="W94" s="114">
        <v>0.49</v>
      </c>
      <c r="X94" s="114">
        <f>ROUND(0.7*Table1[[#This Row],[E&amp;D Rate per unit]]*R94*Table1[[#This Row],[Quantity]],2)</f>
        <v>68.599999999999994</v>
      </c>
      <c r="Y94" s="114">
        <f t="shared" si="13"/>
        <v>1.71</v>
      </c>
      <c r="Z94" s="114">
        <f>ROUND(0.3*T94*Table1[[#This Row],[E&amp;D Rate per unit]]*Table1[[#This Row],[Quantity]],2)</f>
        <v>29.4</v>
      </c>
      <c r="AA94" s="112">
        <v>1</v>
      </c>
      <c r="AB94" s="21">
        <f>ROUND(X94+Z94+Y94,2)*Table1[[#This Row],[Until WA Approved Only Approved this %]]</f>
        <v>99.71</v>
      </c>
      <c r="AC94" s="136">
        <v>99.71</v>
      </c>
      <c r="AD94" s="136">
        <f>Table1[[#This Row],[Total Amount]]-Table1[[#This Row],[Previous Amount]]</f>
        <v>0</v>
      </c>
      <c r="AE94" s="115"/>
      <c r="AG94" s="174">
        <v>99.71</v>
      </c>
      <c r="AH94" s="178">
        <f>AG94-Table1[[#This Row],[Total Amount]]</f>
        <v>0</v>
      </c>
      <c r="AI94" s="171">
        <f t="shared" si="11"/>
        <v>0</v>
      </c>
    </row>
    <row r="95" spans="1:35" ht="30" customHeight="1" x14ac:dyDescent="0.3">
      <c r="A95" s="108" t="s">
        <v>91</v>
      </c>
      <c r="B95" s="91" t="s">
        <v>99</v>
      </c>
      <c r="C95" s="109">
        <v>15</v>
      </c>
      <c r="D95" s="109">
        <v>74688</v>
      </c>
      <c r="E95" s="109">
        <v>80504</v>
      </c>
      <c r="F95" s="110" t="s">
        <v>217</v>
      </c>
      <c r="G95" s="17" t="s">
        <v>218</v>
      </c>
      <c r="H95" s="109" t="s">
        <v>207</v>
      </c>
      <c r="I95" s="109">
        <v>1</v>
      </c>
      <c r="J95" s="109">
        <v>5</v>
      </c>
      <c r="K95" s="109">
        <v>1.2</v>
      </c>
      <c r="L95" s="109">
        <v>2</v>
      </c>
      <c r="M95" s="109">
        <v>1</v>
      </c>
      <c r="N95" s="111" t="s">
        <v>208</v>
      </c>
      <c r="O95" s="111">
        <f t="shared" si="12"/>
        <v>10</v>
      </c>
      <c r="P95" s="125">
        <v>44851</v>
      </c>
      <c r="Q95" s="125">
        <v>44875</v>
      </c>
      <c r="R95" s="112">
        <v>1</v>
      </c>
      <c r="S95" s="112">
        <v>1</v>
      </c>
      <c r="T95" s="112">
        <v>1</v>
      </c>
      <c r="U95" s="113">
        <f>IF(ISBLANK(Table1[[#This Row],[OHC Date]]),$B$7-Table1[[#This Row],[HOC Date]]+1,Table1[[#This Row],[OHC Date]]-Table1[[#This Row],[HOC Date]]+1)/7</f>
        <v>3.5714285714285716</v>
      </c>
      <c r="V95" s="114">
        <v>12.01</v>
      </c>
      <c r="W95" s="114">
        <v>0.49</v>
      </c>
      <c r="X95" s="114">
        <f>ROUND(0.7*Table1[[#This Row],[E&amp;D Rate per unit]]*R95*Table1[[#This Row],[Quantity]],2)</f>
        <v>84.07</v>
      </c>
      <c r="Y95" s="114">
        <f t="shared" si="13"/>
        <v>17.5</v>
      </c>
      <c r="Z95" s="114">
        <f>ROUND(0.3*T95*Table1[[#This Row],[E&amp;D Rate per unit]]*Table1[[#This Row],[Quantity]],2)</f>
        <v>36.03</v>
      </c>
      <c r="AA95" s="112">
        <v>1</v>
      </c>
      <c r="AB95" s="21">
        <f>ROUND(X95+Z95+Y95,2)*Table1[[#This Row],[Until WA Approved Only Approved this %]]</f>
        <v>137.6</v>
      </c>
      <c r="AC95" s="136">
        <v>137.6</v>
      </c>
      <c r="AD95" s="136">
        <f>Table1[[#This Row],[Total Amount]]-Table1[[#This Row],[Previous Amount]]</f>
        <v>0</v>
      </c>
      <c r="AE95" s="115" t="s">
        <v>220</v>
      </c>
      <c r="AG95" s="174">
        <v>137.6</v>
      </c>
      <c r="AH95" s="178">
        <f>AG95-Table1[[#This Row],[Total Amount]]</f>
        <v>0</v>
      </c>
      <c r="AI95" s="171">
        <f t="shared" si="11"/>
        <v>0</v>
      </c>
    </row>
    <row r="96" spans="1:35" ht="30" customHeight="1" x14ac:dyDescent="0.3">
      <c r="A96" s="108" t="s">
        <v>91</v>
      </c>
      <c r="B96" s="91" t="s">
        <v>99</v>
      </c>
      <c r="C96" s="109">
        <v>16</v>
      </c>
      <c r="D96" s="109">
        <v>74689</v>
      </c>
      <c r="E96" s="109">
        <v>76766</v>
      </c>
      <c r="F96" s="110" t="s">
        <v>221</v>
      </c>
      <c r="G96" s="17" t="s">
        <v>192</v>
      </c>
      <c r="H96" s="109" t="s">
        <v>222</v>
      </c>
      <c r="I96" s="109">
        <v>1</v>
      </c>
      <c r="J96" s="109">
        <v>2.5</v>
      </c>
      <c r="K96" s="109">
        <v>1.8</v>
      </c>
      <c r="L96" s="109">
        <v>2.2999999999999998</v>
      </c>
      <c r="M96" s="109">
        <v>1</v>
      </c>
      <c r="N96" s="111" t="s">
        <v>223</v>
      </c>
      <c r="O96" s="111">
        <f t="shared" si="12"/>
        <v>2.2999999999999998</v>
      </c>
      <c r="P96" s="125">
        <v>44851</v>
      </c>
      <c r="Q96" s="125">
        <v>44856</v>
      </c>
      <c r="R96" s="112">
        <v>1</v>
      </c>
      <c r="S96" s="112">
        <v>1</v>
      </c>
      <c r="T96" s="112">
        <v>1</v>
      </c>
      <c r="U96" s="113">
        <f>IF(ISBLANK(Table1[[#This Row],[OHC Date]]),$B$7-Table1[[#This Row],[HOC Date]]+1,Table1[[#This Row],[OHC Date]]-Table1[[#This Row],[HOC Date]]+1)/7</f>
        <v>0.8571428571428571</v>
      </c>
      <c r="V96" s="114">
        <v>63.34</v>
      </c>
      <c r="W96" s="114">
        <v>7.28</v>
      </c>
      <c r="X96" s="114">
        <f>ROUND(0.7*Table1[[#This Row],[E&amp;D Rate per unit]]*R96*Table1[[#This Row],[Quantity]],2)</f>
        <v>101.98</v>
      </c>
      <c r="Y96" s="114">
        <f t="shared" si="13"/>
        <v>14.35</v>
      </c>
      <c r="Z96" s="114">
        <f>ROUND(0.3*T96*Table1[[#This Row],[E&amp;D Rate per unit]]*Table1[[#This Row],[Quantity]],2)</f>
        <v>43.7</v>
      </c>
      <c r="AA96" s="112">
        <v>1</v>
      </c>
      <c r="AB96" s="21">
        <f>ROUND(X96+Z96+Y96,2)*Table1[[#This Row],[Until WA Approved Only Approved this %]]</f>
        <v>160.03</v>
      </c>
      <c r="AC96" s="136">
        <v>160.03</v>
      </c>
      <c r="AD96" s="136">
        <f>Table1[[#This Row],[Total Amount]]-Table1[[#This Row],[Previous Amount]]</f>
        <v>0</v>
      </c>
      <c r="AE96" s="115" t="s">
        <v>220</v>
      </c>
      <c r="AG96" s="174">
        <v>160.03</v>
      </c>
      <c r="AH96" s="178">
        <f>AG96-Table1[[#This Row],[Total Amount]]</f>
        <v>0</v>
      </c>
      <c r="AI96" s="171">
        <f t="shared" si="11"/>
        <v>0</v>
      </c>
    </row>
    <row r="97" spans="1:35" ht="30" customHeight="1" x14ac:dyDescent="0.3">
      <c r="A97" s="108" t="s">
        <v>91</v>
      </c>
      <c r="B97" s="91" t="s">
        <v>99</v>
      </c>
      <c r="C97" s="109">
        <v>16</v>
      </c>
      <c r="D97" s="109">
        <v>74689</v>
      </c>
      <c r="E97" s="109">
        <v>76766</v>
      </c>
      <c r="F97" s="110" t="s">
        <v>221</v>
      </c>
      <c r="G97" s="17" t="s">
        <v>192</v>
      </c>
      <c r="H97" s="109" t="s">
        <v>178</v>
      </c>
      <c r="I97" s="109">
        <v>1</v>
      </c>
      <c r="J97" s="109">
        <v>2.5</v>
      </c>
      <c r="K97" s="109">
        <v>1.8</v>
      </c>
      <c r="L97" s="109">
        <v>1</v>
      </c>
      <c r="M97" s="109">
        <v>1</v>
      </c>
      <c r="N97" s="111" t="s">
        <v>162</v>
      </c>
      <c r="O97" s="111">
        <f>ROUND(IF(N97="m3",I97*J97*K97*L97,IF(N97="m2-LxH",I97*J97*L97,IF(N97="m2-LxW",I97*J97*K97,IF(N97="rm",I97*L97,IF(N97="lm",I97*J97,IF(N97="unit",I97,"NA")))))),2)</f>
        <v>4.5</v>
      </c>
      <c r="P97" s="125">
        <v>44851</v>
      </c>
      <c r="Q97" s="125">
        <v>44856</v>
      </c>
      <c r="R97" s="112">
        <v>1</v>
      </c>
      <c r="S97" s="112">
        <v>1</v>
      </c>
      <c r="T97" s="112">
        <v>1</v>
      </c>
      <c r="U97" s="113">
        <f>IF(ISBLANK(Table1[[#This Row],[OHC Date]]),$B$7-Table1[[#This Row],[HOC Date]]+1,Table1[[#This Row],[OHC Date]]-Table1[[#This Row],[HOC Date]]+1)/7</f>
        <v>0.8571428571428571</v>
      </c>
      <c r="V97" s="114">
        <v>6.63</v>
      </c>
      <c r="W97" s="114">
        <v>0.7</v>
      </c>
      <c r="X97" s="114">
        <f>ROUND(0.7*Table1[[#This Row],[E&amp;D Rate per unit]]*R97*Table1[[#This Row],[Quantity]],2)</f>
        <v>20.88</v>
      </c>
      <c r="Y97" s="114">
        <f>ROUND(O97*U97*W97*S97,2)</f>
        <v>2.7</v>
      </c>
      <c r="Z97" s="114">
        <f>ROUND(0.3*T97*Table1[[#This Row],[E&amp;D Rate per unit]]*Table1[[#This Row],[Quantity]],2)</f>
        <v>8.9499999999999993</v>
      </c>
      <c r="AA97" s="112">
        <v>1</v>
      </c>
      <c r="AB97" s="21">
        <f>ROUND(X97+Z97+Y97,2)*Table1[[#This Row],[Until WA Approved Only Approved this %]]</f>
        <v>32.53</v>
      </c>
      <c r="AC97" s="136">
        <v>32.53</v>
      </c>
      <c r="AD97" s="136">
        <f>Table1[[#This Row],[Total Amount]]-Table1[[#This Row],[Previous Amount]]</f>
        <v>0</v>
      </c>
      <c r="AE97" s="115" t="s">
        <v>220</v>
      </c>
      <c r="AG97" s="174">
        <v>32.53</v>
      </c>
      <c r="AH97" s="178">
        <f>AG97-Table1[[#This Row],[Total Amount]]</f>
        <v>0</v>
      </c>
      <c r="AI97" s="171">
        <f t="shared" si="11"/>
        <v>0</v>
      </c>
    </row>
    <row r="98" spans="1:35" ht="30" customHeight="1" x14ac:dyDescent="0.3">
      <c r="A98" s="108" t="s">
        <v>91</v>
      </c>
      <c r="B98" s="91" t="s">
        <v>99</v>
      </c>
      <c r="C98" s="109">
        <v>17</v>
      </c>
      <c r="D98" s="109">
        <v>74690</v>
      </c>
      <c r="E98" s="109">
        <v>76769</v>
      </c>
      <c r="F98" s="110" t="s">
        <v>224</v>
      </c>
      <c r="G98" s="17" t="s">
        <v>225</v>
      </c>
      <c r="H98" s="109" t="s">
        <v>121</v>
      </c>
      <c r="I98" s="109">
        <v>1</v>
      </c>
      <c r="J98" s="109">
        <v>17.5</v>
      </c>
      <c r="K98" s="109">
        <v>10</v>
      </c>
      <c r="L98" s="109">
        <v>6.2</v>
      </c>
      <c r="M98" s="109">
        <v>1</v>
      </c>
      <c r="N98" s="111" t="s">
        <v>226</v>
      </c>
      <c r="O98" s="111">
        <f t="shared" si="12"/>
        <v>1085</v>
      </c>
      <c r="P98" s="125">
        <v>44852</v>
      </c>
      <c r="Q98" s="125">
        <v>44860</v>
      </c>
      <c r="R98" s="112">
        <v>1</v>
      </c>
      <c r="S98" s="112">
        <v>1</v>
      </c>
      <c r="T98" s="112">
        <v>1</v>
      </c>
      <c r="U98" s="113">
        <f>IF(ISBLANK(Table1[[#This Row],[OHC Date]]),$B$7-Table1[[#This Row],[HOC Date]]+1,Table1[[#This Row],[OHC Date]]-Table1[[#This Row],[HOC Date]]+1)/7</f>
        <v>1.2857142857142858</v>
      </c>
      <c r="V98" s="114">
        <v>7.08</v>
      </c>
      <c r="W98" s="114">
        <v>0.49</v>
      </c>
      <c r="X98" s="114">
        <f>ROUND(0.7*Table1[[#This Row],[E&amp;D Rate per unit]]*R98*Table1[[#This Row],[Quantity]],2)</f>
        <v>5377.26</v>
      </c>
      <c r="Y98" s="114">
        <f t="shared" si="13"/>
        <v>683.55</v>
      </c>
      <c r="Z98" s="114">
        <f>ROUND(0.3*T98*Table1[[#This Row],[E&amp;D Rate per unit]]*Table1[[#This Row],[Quantity]],2)</f>
        <v>2304.54</v>
      </c>
      <c r="AA98" s="112">
        <v>1</v>
      </c>
      <c r="AB98" s="21">
        <f>ROUND(X98+Z98+Y98,2)*Table1[[#This Row],[Until WA Approved Only Approved this %]]</f>
        <v>8365.35</v>
      </c>
      <c r="AC98" s="136">
        <v>8365.35</v>
      </c>
      <c r="AD98" s="136">
        <f>Table1[[#This Row],[Total Amount]]-Table1[[#This Row],[Previous Amount]]</f>
        <v>0</v>
      </c>
      <c r="AE98" s="115" t="s">
        <v>220</v>
      </c>
      <c r="AG98" s="174">
        <v>8365.35</v>
      </c>
      <c r="AH98" s="178">
        <f>AG98-Table1[[#This Row],[Total Amount]]</f>
        <v>0</v>
      </c>
      <c r="AI98" s="171">
        <f t="shared" si="11"/>
        <v>0</v>
      </c>
    </row>
    <row r="99" spans="1:35" ht="30" customHeight="1" x14ac:dyDescent="0.3">
      <c r="A99" s="108" t="s">
        <v>91</v>
      </c>
      <c r="B99" s="91" t="s">
        <v>99</v>
      </c>
      <c r="C99" s="109">
        <v>18</v>
      </c>
      <c r="D99" s="109">
        <v>74691</v>
      </c>
      <c r="E99" s="109">
        <v>80506</v>
      </c>
      <c r="F99" s="110" t="s">
        <v>227</v>
      </c>
      <c r="G99" s="17" t="s">
        <v>228</v>
      </c>
      <c r="H99" s="109" t="s">
        <v>222</v>
      </c>
      <c r="I99" s="109">
        <v>1</v>
      </c>
      <c r="J99" s="109">
        <v>1.8</v>
      </c>
      <c r="K99" s="109">
        <v>1.3</v>
      </c>
      <c r="L99" s="109">
        <v>2.5</v>
      </c>
      <c r="M99" s="109">
        <v>1</v>
      </c>
      <c r="N99" s="111" t="s">
        <v>223</v>
      </c>
      <c r="O99" s="111">
        <f t="shared" ref="O99:O131" si="14">ROUND(IF(N99="m3",I99*J99*K99*L99,IF(N99="m2-LxH",I99*J99*L99,IF(N99="m2-LxW",I99*J99*K99,IF(N99="rm",I99*L99,IF(N99="lm",I99*J99,IF(N99="unit",I99,"NA")))))),2)</f>
        <v>2.5</v>
      </c>
      <c r="P99" s="125">
        <v>44852</v>
      </c>
      <c r="Q99" s="125">
        <v>44877</v>
      </c>
      <c r="R99" s="112">
        <v>1</v>
      </c>
      <c r="S99" s="112">
        <v>1</v>
      </c>
      <c r="T99" s="112">
        <v>1</v>
      </c>
      <c r="U99" s="113">
        <f>IF(ISBLANK(Table1[[#This Row],[OHC Date]]),$B$7-Table1[[#This Row],[HOC Date]]+1,Table1[[#This Row],[OHC Date]]-Table1[[#This Row],[HOC Date]]+1)/7</f>
        <v>3.7142857142857144</v>
      </c>
      <c r="V99" s="114">
        <v>63.34</v>
      </c>
      <c r="W99" s="114">
        <v>7.28</v>
      </c>
      <c r="X99" s="114">
        <f>ROUND(0.7*Table1[[#This Row],[E&amp;D Rate per unit]]*R99*Table1[[#This Row],[Quantity]],2)</f>
        <v>110.85</v>
      </c>
      <c r="Y99" s="114">
        <f t="shared" ref="Y99:Y131" si="15">ROUND(O99*U99*W99*S99,2)</f>
        <v>67.599999999999994</v>
      </c>
      <c r="Z99" s="114">
        <f>ROUND(0.3*T99*Table1[[#This Row],[E&amp;D Rate per unit]]*Table1[[#This Row],[Quantity]],2)</f>
        <v>47.51</v>
      </c>
      <c r="AA99" s="112">
        <v>1</v>
      </c>
      <c r="AB99" s="21">
        <f>ROUND(X99+Z99+Y99,2)*Table1[[#This Row],[Until WA Approved Only Approved this %]]</f>
        <v>225.96</v>
      </c>
      <c r="AC99" s="136">
        <v>225.96</v>
      </c>
      <c r="AD99" s="136">
        <f>Table1[[#This Row],[Total Amount]]-Table1[[#This Row],[Previous Amount]]</f>
        <v>0</v>
      </c>
      <c r="AE99" s="115" t="s">
        <v>220</v>
      </c>
      <c r="AG99" s="174">
        <v>225.96</v>
      </c>
      <c r="AH99" s="178">
        <f>AG99-Table1[[#This Row],[Total Amount]]</f>
        <v>0</v>
      </c>
      <c r="AI99" s="171">
        <f t="shared" si="11"/>
        <v>0</v>
      </c>
    </row>
    <row r="100" spans="1:35" ht="30" customHeight="1" x14ac:dyDescent="0.3">
      <c r="A100" s="108" t="s">
        <v>91</v>
      </c>
      <c r="B100" s="91" t="s">
        <v>99</v>
      </c>
      <c r="C100" s="109">
        <v>19</v>
      </c>
      <c r="D100" s="109">
        <v>74692</v>
      </c>
      <c r="E100" s="109">
        <v>80535</v>
      </c>
      <c r="F100" s="110" t="s">
        <v>229</v>
      </c>
      <c r="G100" s="17" t="s">
        <v>192</v>
      </c>
      <c r="H100" s="109" t="s">
        <v>207</v>
      </c>
      <c r="I100" s="109">
        <v>1</v>
      </c>
      <c r="J100" s="109">
        <v>4</v>
      </c>
      <c r="K100" s="109">
        <v>1.3</v>
      </c>
      <c r="L100" s="109">
        <v>6.3</v>
      </c>
      <c r="M100" s="109">
        <v>1</v>
      </c>
      <c r="N100" s="111" t="s">
        <v>208</v>
      </c>
      <c r="O100" s="111">
        <f t="shared" si="14"/>
        <v>25.2</v>
      </c>
      <c r="P100" s="125">
        <v>44852</v>
      </c>
      <c r="Q100" s="125">
        <v>44893</v>
      </c>
      <c r="R100" s="112">
        <v>1</v>
      </c>
      <c r="S100" s="112">
        <v>1</v>
      </c>
      <c r="T100" s="112">
        <v>1</v>
      </c>
      <c r="U100" s="113">
        <f>IF(ISBLANK(Table1[[#This Row],[OHC Date]]),$B$7-Table1[[#This Row],[HOC Date]]+1,Table1[[#This Row],[OHC Date]]-Table1[[#This Row],[HOC Date]]+1)/7</f>
        <v>6</v>
      </c>
      <c r="V100" s="114">
        <v>12.01</v>
      </c>
      <c r="W100" s="114">
        <v>0.49</v>
      </c>
      <c r="X100" s="114">
        <f>ROUND(0.7*Table1[[#This Row],[E&amp;D Rate per unit]]*R100*Table1[[#This Row],[Quantity]],2)</f>
        <v>211.86</v>
      </c>
      <c r="Y100" s="114">
        <f t="shared" si="15"/>
        <v>74.09</v>
      </c>
      <c r="Z100" s="114">
        <f>ROUND(0.3*T100*Table1[[#This Row],[E&amp;D Rate per unit]]*Table1[[#This Row],[Quantity]],2)</f>
        <v>90.8</v>
      </c>
      <c r="AA100" s="112">
        <v>1</v>
      </c>
      <c r="AB100" s="21">
        <f>ROUND(X100+Z100+Y100,2)*Table1[[#This Row],[Until WA Approved Only Approved this %]]</f>
        <v>376.75</v>
      </c>
      <c r="AC100" s="136">
        <v>280.66000000000003</v>
      </c>
      <c r="AD100" s="136">
        <f>Table1[[#This Row],[Total Amount]]-Table1[[#This Row],[Previous Amount]]</f>
        <v>96.089999999999975</v>
      </c>
      <c r="AE100" s="115"/>
      <c r="AG100" s="174">
        <v>376.75</v>
      </c>
      <c r="AH100" s="178">
        <f>AG100-Table1[[#This Row],[Total Amount]]</f>
        <v>0</v>
      </c>
      <c r="AI100" s="171">
        <f t="shared" si="11"/>
        <v>0</v>
      </c>
    </row>
    <row r="101" spans="1:35" ht="30" customHeight="1" x14ac:dyDescent="0.3">
      <c r="A101" s="108" t="s">
        <v>91</v>
      </c>
      <c r="B101" s="91" t="s">
        <v>99</v>
      </c>
      <c r="C101" s="109" t="s">
        <v>230</v>
      </c>
      <c r="D101" s="109">
        <v>74700</v>
      </c>
      <c r="E101" s="109">
        <v>76793</v>
      </c>
      <c r="F101" s="110" t="s">
        <v>229</v>
      </c>
      <c r="G101" s="17" t="s">
        <v>192</v>
      </c>
      <c r="H101" s="109" t="s">
        <v>207</v>
      </c>
      <c r="I101" s="109">
        <v>1</v>
      </c>
      <c r="J101" s="109">
        <v>4</v>
      </c>
      <c r="K101" s="109">
        <v>1.3</v>
      </c>
      <c r="L101" s="109">
        <v>2</v>
      </c>
      <c r="M101" s="109">
        <v>1</v>
      </c>
      <c r="N101" s="111" t="s">
        <v>208</v>
      </c>
      <c r="O101" s="111">
        <f t="shared" si="14"/>
        <v>8</v>
      </c>
      <c r="P101" s="125">
        <v>44853</v>
      </c>
      <c r="Q101" s="125">
        <v>44870</v>
      </c>
      <c r="R101" s="112">
        <v>1</v>
      </c>
      <c r="S101" s="112">
        <v>1</v>
      </c>
      <c r="T101" s="112">
        <v>1</v>
      </c>
      <c r="U101" s="113">
        <f>IF(ISBLANK(Table1[[#This Row],[OHC Date]]),$B$7-Table1[[#This Row],[HOC Date]]+1,Table1[[#This Row],[OHC Date]]-Table1[[#This Row],[HOC Date]]+1)/7</f>
        <v>2.5714285714285716</v>
      </c>
      <c r="V101" s="114">
        <v>12.01</v>
      </c>
      <c r="W101" s="114">
        <v>0.49</v>
      </c>
      <c r="X101" s="114">
        <f>ROUND(0.7*Table1[[#This Row],[E&amp;D Rate per unit]]*R101*Table1[[#This Row],[Quantity]],2)</f>
        <v>67.260000000000005</v>
      </c>
      <c r="Y101" s="114">
        <f t="shared" si="15"/>
        <v>10.08</v>
      </c>
      <c r="Z101" s="114">
        <f>ROUND(0.3*T101*Table1[[#This Row],[E&amp;D Rate per unit]]*Table1[[#This Row],[Quantity]],2)</f>
        <v>28.82</v>
      </c>
      <c r="AA101" s="112">
        <v>1</v>
      </c>
      <c r="AB101" s="21">
        <f>ROUND(X101+Z101+Y101,2)*Table1[[#This Row],[Until WA Approved Only Approved this %]]</f>
        <v>106.16</v>
      </c>
      <c r="AC101" s="136">
        <v>106.16</v>
      </c>
      <c r="AD101" s="136">
        <f>Table1[[#This Row],[Total Amount]]-Table1[[#This Row],[Previous Amount]]</f>
        <v>0</v>
      </c>
      <c r="AE101" s="115"/>
      <c r="AG101" s="174">
        <v>106.16</v>
      </c>
      <c r="AH101" s="178">
        <f>AG101-Table1[[#This Row],[Total Amount]]</f>
        <v>0</v>
      </c>
      <c r="AI101" s="171">
        <f t="shared" si="11"/>
        <v>0</v>
      </c>
    </row>
    <row r="102" spans="1:35" ht="30" customHeight="1" x14ac:dyDescent="0.3">
      <c r="A102" s="108" t="s">
        <v>91</v>
      </c>
      <c r="B102" s="91" t="s">
        <v>99</v>
      </c>
      <c r="C102" s="109">
        <v>20</v>
      </c>
      <c r="D102" s="109">
        <v>74693</v>
      </c>
      <c r="E102" s="109">
        <v>80515</v>
      </c>
      <c r="F102" s="110" t="s">
        <v>227</v>
      </c>
      <c r="G102" s="17" t="s">
        <v>228</v>
      </c>
      <c r="H102" s="109" t="s">
        <v>222</v>
      </c>
      <c r="I102" s="109">
        <v>1</v>
      </c>
      <c r="J102" s="109">
        <v>2.5</v>
      </c>
      <c r="K102" s="109">
        <v>2.5</v>
      </c>
      <c r="L102" s="109">
        <v>3</v>
      </c>
      <c r="M102" s="109">
        <v>1</v>
      </c>
      <c r="N102" s="111" t="s">
        <v>223</v>
      </c>
      <c r="O102" s="111">
        <f t="shared" ref="O102" si="16">ROUND(IF(N102="m3",I102*J102*K102*L102,IF(N102="m2-LxH",I102*J102*L102,IF(N102="m2-LxW",I102*J102*K102,IF(N102="rm",I102*L102,IF(N102="lm",I102*J102,IF(N102="unit",I102,"NA")))))),2)</f>
        <v>3</v>
      </c>
      <c r="P102" s="125">
        <v>44852</v>
      </c>
      <c r="Q102" s="125">
        <v>44880</v>
      </c>
      <c r="R102" s="112">
        <v>1</v>
      </c>
      <c r="S102" s="112">
        <v>1</v>
      </c>
      <c r="T102" s="112">
        <v>1</v>
      </c>
      <c r="U102" s="113">
        <f>IF(ISBLANK(Table1[[#This Row],[OHC Date]]),$B$7-Table1[[#This Row],[HOC Date]]+1,Table1[[#This Row],[OHC Date]]-Table1[[#This Row],[HOC Date]]+1)/7</f>
        <v>4.1428571428571432</v>
      </c>
      <c r="V102" s="114">
        <v>63.34</v>
      </c>
      <c r="W102" s="114">
        <v>7.28</v>
      </c>
      <c r="X102" s="114">
        <f>ROUND(0.7*Table1[[#This Row],[E&amp;D Rate per unit]]*R102*Table1[[#This Row],[Quantity]],2)</f>
        <v>133.01</v>
      </c>
      <c r="Y102" s="114">
        <f t="shared" si="15"/>
        <v>90.48</v>
      </c>
      <c r="Z102" s="114">
        <f>ROUND(0.3*T102*Table1[[#This Row],[E&amp;D Rate per unit]]*Table1[[#This Row],[Quantity]],2)</f>
        <v>57.01</v>
      </c>
      <c r="AA102" s="112">
        <v>1</v>
      </c>
      <c r="AB102" s="21">
        <f>ROUND(X102+Z102+Y102,2)*Table1[[#This Row],[Until WA Approved Only Approved this %]]</f>
        <v>280.5</v>
      </c>
      <c r="AC102" s="136">
        <v>280.5</v>
      </c>
      <c r="AD102" s="136">
        <f>Table1[[#This Row],[Total Amount]]-Table1[[#This Row],[Previous Amount]]</f>
        <v>0</v>
      </c>
      <c r="AE102" s="115"/>
      <c r="AG102" s="174">
        <v>280.5</v>
      </c>
      <c r="AH102" s="178">
        <f>AG102-Table1[[#This Row],[Total Amount]]</f>
        <v>0</v>
      </c>
      <c r="AI102" s="171">
        <f t="shared" si="11"/>
        <v>0</v>
      </c>
    </row>
    <row r="103" spans="1:35" ht="30" customHeight="1" x14ac:dyDescent="0.3">
      <c r="A103" s="108" t="s">
        <v>91</v>
      </c>
      <c r="B103" s="91" t="s">
        <v>99</v>
      </c>
      <c r="C103" s="109" t="s">
        <v>231</v>
      </c>
      <c r="D103" s="109">
        <v>74694</v>
      </c>
      <c r="E103" s="109">
        <v>76767</v>
      </c>
      <c r="F103" s="110" t="s">
        <v>232</v>
      </c>
      <c r="G103" s="17" t="s">
        <v>192</v>
      </c>
      <c r="H103" s="109" t="s">
        <v>222</v>
      </c>
      <c r="I103" s="109">
        <v>1</v>
      </c>
      <c r="J103" s="109">
        <v>2.5</v>
      </c>
      <c r="K103" s="109">
        <v>1.8</v>
      </c>
      <c r="L103" s="109">
        <v>2</v>
      </c>
      <c r="M103" s="109">
        <v>1</v>
      </c>
      <c r="N103" s="111" t="s">
        <v>223</v>
      </c>
      <c r="O103" s="111">
        <f t="shared" si="14"/>
        <v>2</v>
      </c>
      <c r="P103" s="125">
        <v>44853</v>
      </c>
      <c r="Q103" s="125">
        <v>44856</v>
      </c>
      <c r="R103" s="112">
        <v>1</v>
      </c>
      <c r="S103" s="112">
        <v>1</v>
      </c>
      <c r="T103" s="112">
        <v>1</v>
      </c>
      <c r="U103" s="113">
        <f>IF(ISBLANK(Table1[[#This Row],[OHC Date]]),$B$7-Table1[[#This Row],[HOC Date]]+1,Table1[[#This Row],[OHC Date]]-Table1[[#This Row],[HOC Date]]+1)/7</f>
        <v>0.5714285714285714</v>
      </c>
      <c r="V103" s="114">
        <v>63.34</v>
      </c>
      <c r="W103" s="114">
        <v>7.28</v>
      </c>
      <c r="X103" s="114">
        <f>ROUND(0.7*Table1[[#This Row],[E&amp;D Rate per unit]]*R103*Table1[[#This Row],[Quantity]],2)</f>
        <v>88.68</v>
      </c>
      <c r="Y103" s="114">
        <f t="shared" si="15"/>
        <v>8.32</v>
      </c>
      <c r="Z103" s="114">
        <f>ROUND(0.3*T103*Table1[[#This Row],[E&amp;D Rate per unit]]*Table1[[#This Row],[Quantity]],2)</f>
        <v>38</v>
      </c>
      <c r="AA103" s="112">
        <v>1</v>
      </c>
      <c r="AB103" s="21">
        <f>ROUND(X103+Z103+Y103,2)*Table1[[#This Row],[Until WA Approved Only Approved this %]]</f>
        <v>135</v>
      </c>
      <c r="AC103" s="136">
        <v>135</v>
      </c>
      <c r="AD103" s="136">
        <f>Table1[[#This Row],[Total Amount]]-Table1[[#This Row],[Previous Amount]]</f>
        <v>0</v>
      </c>
      <c r="AE103" s="115"/>
      <c r="AG103" s="174">
        <v>135</v>
      </c>
      <c r="AH103" s="178">
        <f>AG103-Table1[[#This Row],[Total Amount]]</f>
        <v>0</v>
      </c>
      <c r="AI103" s="171">
        <f t="shared" si="11"/>
        <v>0</v>
      </c>
    </row>
    <row r="104" spans="1:35" ht="30" customHeight="1" x14ac:dyDescent="0.3">
      <c r="A104" s="108" t="s">
        <v>91</v>
      </c>
      <c r="B104" s="91" t="s">
        <v>99</v>
      </c>
      <c r="C104" s="109" t="s">
        <v>233</v>
      </c>
      <c r="D104" s="109">
        <v>74695</v>
      </c>
      <c r="E104" s="109">
        <v>76771</v>
      </c>
      <c r="F104" s="110" t="s">
        <v>234</v>
      </c>
      <c r="G104" s="17" t="s">
        <v>192</v>
      </c>
      <c r="H104" s="109" t="s">
        <v>178</v>
      </c>
      <c r="I104" s="109">
        <v>1</v>
      </c>
      <c r="J104" s="109">
        <v>11.5</v>
      </c>
      <c r="K104" s="109">
        <v>1.8</v>
      </c>
      <c r="L104" s="109">
        <v>1</v>
      </c>
      <c r="M104" s="109">
        <v>1</v>
      </c>
      <c r="N104" s="111" t="s">
        <v>162</v>
      </c>
      <c r="O104" s="111">
        <f t="shared" si="14"/>
        <v>20.7</v>
      </c>
      <c r="P104" s="125">
        <v>44853</v>
      </c>
      <c r="Q104" s="125">
        <v>44860</v>
      </c>
      <c r="R104" s="112">
        <v>1</v>
      </c>
      <c r="S104" s="112">
        <v>1</v>
      </c>
      <c r="T104" s="112">
        <v>1</v>
      </c>
      <c r="U104" s="113">
        <f>IF(ISBLANK(Table1[[#This Row],[OHC Date]]),$B$7-Table1[[#This Row],[HOC Date]]+1,Table1[[#This Row],[OHC Date]]-Table1[[#This Row],[HOC Date]]+1)/7</f>
        <v>1.1428571428571428</v>
      </c>
      <c r="V104" s="114">
        <v>6.63</v>
      </c>
      <c r="W104" s="114">
        <v>0.7</v>
      </c>
      <c r="X104" s="114">
        <f>ROUND(0.7*Table1[[#This Row],[E&amp;D Rate per unit]]*R104*Table1[[#This Row],[Quantity]],2)</f>
        <v>96.07</v>
      </c>
      <c r="Y104" s="114">
        <f t="shared" si="15"/>
        <v>16.559999999999999</v>
      </c>
      <c r="Z104" s="114">
        <f>ROUND(0.3*T104*Table1[[#This Row],[E&amp;D Rate per unit]]*Table1[[#This Row],[Quantity]],2)</f>
        <v>41.17</v>
      </c>
      <c r="AA104" s="112">
        <v>1</v>
      </c>
      <c r="AB104" s="21">
        <f>ROUND(X104+Z104+Y104,2)*Table1[[#This Row],[Until WA Approved Only Approved this %]]</f>
        <v>153.80000000000001</v>
      </c>
      <c r="AC104" s="136">
        <v>153.80000000000001</v>
      </c>
      <c r="AD104" s="136">
        <f>Table1[[#This Row],[Total Amount]]-Table1[[#This Row],[Previous Amount]]</f>
        <v>0</v>
      </c>
      <c r="AE104" s="115"/>
      <c r="AG104" s="174">
        <v>153.80000000000001</v>
      </c>
      <c r="AH104" s="178">
        <f>AG104-Table1[[#This Row],[Total Amount]]</f>
        <v>0</v>
      </c>
      <c r="AI104" s="171">
        <f t="shared" si="11"/>
        <v>0</v>
      </c>
    </row>
    <row r="105" spans="1:35" ht="30" customHeight="1" x14ac:dyDescent="0.3">
      <c r="A105" s="108" t="s">
        <v>91</v>
      </c>
      <c r="B105" s="91" t="s">
        <v>99</v>
      </c>
      <c r="C105" s="109">
        <v>21</v>
      </c>
      <c r="D105" s="109">
        <v>74696</v>
      </c>
      <c r="E105" s="109">
        <v>76792</v>
      </c>
      <c r="F105" s="110" t="s">
        <v>227</v>
      </c>
      <c r="G105" s="17" t="s">
        <v>228</v>
      </c>
      <c r="H105" s="109" t="s">
        <v>222</v>
      </c>
      <c r="I105" s="109">
        <v>1</v>
      </c>
      <c r="J105" s="109">
        <v>2.5</v>
      </c>
      <c r="K105" s="109">
        <v>1.8</v>
      </c>
      <c r="L105" s="109">
        <v>3</v>
      </c>
      <c r="M105" s="109">
        <v>1</v>
      </c>
      <c r="N105" s="111" t="s">
        <v>223</v>
      </c>
      <c r="O105" s="111">
        <f t="shared" si="14"/>
        <v>3</v>
      </c>
      <c r="P105" s="125">
        <v>44853</v>
      </c>
      <c r="Q105" s="125">
        <v>44872</v>
      </c>
      <c r="R105" s="112">
        <v>1</v>
      </c>
      <c r="S105" s="112">
        <v>1</v>
      </c>
      <c r="T105" s="112">
        <v>1</v>
      </c>
      <c r="U105" s="113">
        <f>IF(ISBLANK(Table1[[#This Row],[OHC Date]]),$B$7-Table1[[#This Row],[HOC Date]]+1,Table1[[#This Row],[OHC Date]]-Table1[[#This Row],[HOC Date]]+1)/7</f>
        <v>2.8571428571428572</v>
      </c>
      <c r="V105" s="114">
        <v>63.34</v>
      </c>
      <c r="W105" s="114">
        <v>7.28</v>
      </c>
      <c r="X105" s="114">
        <f>ROUND(0.7*Table1[[#This Row],[E&amp;D Rate per unit]]*R105*Table1[[#This Row],[Quantity]],2)</f>
        <v>133.01</v>
      </c>
      <c r="Y105" s="114">
        <f t="shared" si="15"/>
        <v>62.4</v>
      </c>
      <c r="Z105" s="114">
        <f>ROUND(0.3*T105*Table1[[#This Row],[E&amp;D Rate per unit]]*Table1[[#This Row],[Quantity]],2)</f>
        <v>57.01</v>
      </c>
      <c r="AA105" s="112">
        <v>1</v>
      </c>
      <c r="AB105" s="21">
        <f>ROUND(X105+Z105+Y105,2)*Table1[[#This Row],[Until WA Approved Only Approved this %]]</f>
        <v>252.42</v>
      </c>
      <c r="AC105" s="136">
        <v>252.42</v>
      </c>
      <c r="AD105" s="136">
        <f>Table1[[#This Row],[Total Amount]]-Table1[[#This Row],[Previous Amount]]</f>
        <v>0</v>
      </c>
      <c r="AE105" s="115" t="s">
        <v>220</v>
      </c>
      <c r="AG105" s="174">
        <v>252.42</v>
      </c>
      <c r="AH105" s="178">
        <f>AG105-Table1[[#This Row],[Total Amount]]</f>
        <v>0</v>
      </c>
      <c r="AI105" s="171">
        <f t="shared" si="11"/>
        <v>0</v>
      </c>
    </row>
    <row r="106" spans="1:35" ht="30" customHeight="1" x14ac:dyDescent="0.3">
      <c r="A106" s="108" t="s">
        <v>91</v>
      </c>
      <c r="B106" s="91" t="s">
        <v>99</v>
      </c>
      <c r="C106" s="109">
        <v>22</v>
      </c>
      <c r="D106" s="109">
        <v>74697</v>
      </c>
      <c r="E106" s="109">
        <v>76776</v>
      </c>
      <c r="F106" s="110" t="s">
        <v>227</v>
      </c>
      <c r="G106" s="17" t="s">
        <v>228</v>
      </c>
      <c r="H106" s="109" t="s">
        <v>207</v>
      </c>
      <c r="I106" s="109">
        <v>1</v>
      </c>
      <c r="J106" s="109">
        <v>3.1</v>
      </c>
      <c r="K106" s="109">
        <v>1.3</v>
      </c>
      <c r="L106" s="109">
        <v>3</v>
      </c>
      <c r="M106" s="109">
        <v>1</v>
      </c>
      <c r="N106" s="111" t="s">
        <v>208</v>
      </c>
      <c r="O106" s="111">
        <f t="shared" si="14"/>
        <v>9.3000000000000007</v>
      </c>
      <c r="P106" s="125">
        <v>44853</v>
      </c>
      <c r="Q106" s="125">
        <v>44867</v>
      </c>
      <c r="R106" s="112">
        <v>1</v>
      </c>
      <c r="S106" s="112">
        <v>1</v>
      </c>
      <c r="T106" s="112">
        <v>1</v>
      </c>
      <c r="U106" s="113">
        <f>IF(ISBLANK(Table1[[#This Row],[OHC Date]]),$B$7-Table1[[#This Row],[HOC Date]]+1,Table1[[#This Row],[OHC Date]]-Table1[[#This Row],[HOC Date]]+1)/7</f>
        <v>2.1428571428571428</v>
      </c>
      <c r="V106" s="114">
        <v>12.01</v>
      </c>
      <c r="W106" s="114">
        <v>0.49</v>
      </c>
      <c r="X106" s="114">
        <f>ROUND(0.7*Table1[[#This Row],[E&amp;D Rate per unit]]*R106*Table1[[#This Row],[Quantity]],2)</f>
        <v>78.19</v>
      </c>
      <c r="Y106" s="114">
        <f t="shared" si="15"/>
        <v>9.77</v>
      </c>
      <c r="Z106" s="114">
        <f>ROUND(0.3*T106*Table1[[#This Row],[E&amp;D Rate per unit]]*Table1[[#This Row],[Quantity]],2)</f>
        <v>33.51</v>
      </c>
      <c r="AA106" s="112">
        <v>1</v>
      </c>
      <c r="AB106" s="21">
        <f>ROUND(X106+Z106+Y106,2)*Table1[[#This Row],[Until WA Approved Only Approved this %]]</f>
        <v>121.47</v>
      </c>
      <c r="AC106" s="136">
        <v>121.47</v>
      </c>
      <c r="AD106" s="136">
        <f>Table1[[#This Row],[Total Amount]]-Table1[[#This Row],[Previous Amount]]</f>
        <v>0</v>
      </c>
      <c r="AE106" s="115" t="s">
        <v>220</v>
      </c>
      <c r="AG106" s="174">
        <v>121.47</v>
      </c>
      <c r="AH106" s="178">
        <f>AG106-Table1[[#This Row],[Total Amount]]</f>
        <v>0</v>
      </c>
      <c r="AI106" s="171">
        <f t="shared" si="11"/>
        <v>0</v>
      </c>
    </row>
    <row r="107" spans="1:35" ht="30" customHeight="1" x14ac:dyDescent="0.3">
      <c r="A107" s="108" t="s">
        <v>91</v>
      </c>
      <c r="B107" s="91" t="s">
        <v>99</v>
      </c>
      <c r="C107" s="109">
        <v>23</v>
      </c>
      <c r="D107" s="109">
        <v>74698</v>
      </c>
      <c r="E107" s="109">
        <v>80538</v>
      </c>
      <c r="F107" s="110" t="s">
        <v>227</v>
      </c>
      <c r="G107" s="17" t="s">
        <v>228</v>
      </c>
      <c r="H107" s="109" t="s">
        <v>120</v>
      </c>
      <c r="I107" s="109">
        <v>1</v>
      </c>
      <c r="J107" s="109">
        <v>3.1</v>
      </c>
      <c r="K107" s="109">
        <v>1.8</v>
      </c>
      <c r="L107" s="109">
        <v>4.5</v>
      </c>
      <c r="M107" s="109">
        <v>1</v>
      </c>
      <c r="N107" s="111" t="s">
        <v>208</v>
      </c>
      <c r="O107" s="111">
        <f t="shared" si="14"/>
        <v>13.95</v>
      </c>
      <c r="P107" s="125">
        <v>44853</v>
      </c>
      <c r="Q107" s="125">
        <v>44891</v>
      </c>
      <c r="R107" s="112">
        <v>1</v>
      </c>
      <c r="S107" s="112">
        <v>1</v>
      </c>
      <c r="T107" s="112">
        <v>1</v>
      </c>
      <c r="U107" s="113">
        <f>IF(ISBLANK(Table1[[#This Row],[OHC Date]]),$B$7-Table1[[#This Row],[HOC Date]]+1,Table1[[#This Row],[OHC Date]]-Table1[[#This Row],[HOC Date]]+1)/7</f>
        <v>5.5714285714285712</v>
      </c>
      <c r="V107" s="114">
        <v>12.01</v>
      </c>
      <c r="W107" s="114">
        <v>0.77</v>
      </c>
      <c r="X107" s="114">
        <f>ROUND(0.7*Table1[[#This Row],[E&amp;D Rate per unit]]*R107*Table1[[#This Row],[Quantity]],2)</f>
        <v>117.28</v>
      </c>
      <c r="Y107" s="114">
        <f t="shared" si="15"/>
        <v>59.85</v>
      </c>
      <c r="Z107" s="114">
        <f>ROUND(0.3*T107*Table1[[#This Row],[E&amp;D Rate per unit]]*Table1[[#This Row],[Quantity]],2)</f>
        <v>50.26</v>
      </c>
      <c r="AA107" s="112">
        <v>1</v>
      </c>
      <c r="AB107" s="21">
        <f>ROUND(X107+Z107+Y107,2)*Table1[[#This Row],[Until WA Approved Only Approved this %]]</f>
        <v>227.39</v>
      </c>
      <c r="AC107" s="136">
        <v>175.59</v>
      </c>
      <c r="AD107" s="136">
        <f>Table1[[#This Row],[Total Amount]]-Table1[[#This Row],[Previous Amount]]</f>
        <v>51.799999999999983</v>
      </c>
      <c r="AE107" s="115" t="s">
        <v>220</v>
      </c>
      <c r="AG107" s="174">
        <v>227.39</v>
      </c>
      <c r="AH107" s="178">
        <f>AG107-Table1[[#This Row],[Total Amount]]</f>
        <v>0</v>
      </c>
      <c r="AI107" s="171">
        <f t="shared" si="11"/>
        <v>0</v>
      </c>
    </row>
    <row r="108" spans="1:35" ht="30" customHeight="1" x14ac:dyDescent="0.3">
      <c r="A108" s="108" t="s">
        <v>91</v>
      </c>
      <c r="B108" s="91" t="s">
        <v>99</v>
      </c>
      <c r="C108" s="109">
        <v>24</v>
      </c>
      <c r="D108" s="109">
        <v>74699</v>
      </c>
      <c r="E108" s="109">
        <v>80516</v>
      </c>
      <c r="F108" s="110" t="s">
        <v>227</v>
      </c>
      <c r="G108" s="17" t="s">
        <v>228</v>
      </c>
      <c r="H108" s="109" t="s">
        <v>222</v>
      </c>
      <c r="I108" s="109">
        <v>1</v>
      </c>
      <c r="J108" s="109">
        <v>2.5</v>
      </c>
      <c r="K108" s="109">
        <v>2.5</v>
      </c>
      <c r="L108" s="109">
        <v>4.5</v>
      </c>
      <c r="M108" s="109">
        <v>1</v>
      </c>
      <c r="N108" s="111" t="s">
        <v>223</v>
      </c>
      <c r="O108" s="111">
        <f t="shared" ref="O108:O109" si="17">ROUND(IF(N108="m3",I108*J108*K108*L108,IF(N108="m2-LxH",I108*J108*L108,IF(N108="m2-LxW",I108*J108*K108,IF(N108="rm",I108*L108,IF(N108="lm",I108*J108,IF(N108="unit",I108,"NA")))))),2)</f>
        <v>4.5</v>
      </c>
      <c r="P108" s="125">
        <v>44853</v>
      </c>
      <c r="Q108" s="125">
        <v>44880</v>
      </c>
      <c r="R108" s="112">
        <v>1</v>
      </c>
      <c r="S108" s="112">
        <v>1</v>
      </c>
      <c r="T108" s="112">
        <v>1</v>
      </c>
      <c r="U108" s="113">
        <f>IF(ISBLANK(Table1[[#This Row],[OHC Date]]),$B$7-Table1[[#This Row],[HOC Date]]+1,Table1[[#This Row],[OHC Date]]-Table1[[#This Row],[HOC Date]]+1)/7</f>
        <v>4</v>
      </c>
      <c r="V108" s="114">
        <v>63.34</v>
      </c>
      <c r="W108" s="114">
        <v>7.28</v>
      </c>
      <c r="X108" s="114">
        <f>ROUND(0.7*Table1[[#This Row],[E&amp;D Rate per unit]]*R108*Table1[[#This Row],[Quantity]],2)</f>
        <v>199.52</v>
      </c>
      <c r="Y108" s="114">
        <f t="shared" si="15"/>
        <v>131.04</v>
      </c>
      <c r="Z108" s="114">
        <f>ROUND(0.3*T108*Table1[[#This Row],[E&amp;D Rate per unit]]*Table1[[#This Row],[Quantity]],2)</f>
        <v>85.51</v>
      </c>
      <c r="AA108" s="112">
        <v>1</v>
      </c>
      <c r="AB108" s="21">
        <f>ROUND(X108+Z108+Y108,2)*Table1[[#This Row],[Until WA Approved Only Approved this %]]</f>
        <v>416.07</v>
      </c>
      <c r="AC108" s="136">
        <v>416.07</v>
      </c>
      <c r="AD108" s="136">
        <f>Table1[[#This Row],[Total Amount]]-Table1[[#This Row],[Previous Amount]]</f>
        <v>0</v>
      </c>
      <c r="AE108" s="115" t="s">
        <v>220</v>
      </c>
      <c r="AG108" s="174">
        <v>416.07</v>
      </c>
      <c r="AH108" s="178">
        <f>AG108-Table1[[#This Row],[Total Amount]]</f>
        <v>0</v>
      </c>
      <c r="AI108" s="171">
        <f t="shared" si="11"/>
        <v>0</v>
      </c>
    </row>
    <row r="109" spans="1:35" ht="30" customHeight="1" x14ac:dyDescent="0.3">
      <c r="A109" s="108" t="s">
        <v>91</v>
      </c>
      <c r="B109" s="91" t="s">
        <v>99</v>
      </c>
      <c r="C109" s="109">
        <v>25</v>
      </c>
      <c r="D109" s="109">
        <v>77652</v>
      </c>
      <c r="E109" s="109">
        <v>76777</v>
      </c>
      <c r="F109" s="110" t="s">
        <v>227</v>
      </c>
      <c r="G109" s="17" t="s">
        <v>228</v>
      </c>
      <c r="H109" s="109" t="s">
        <v>120</v>
      </c>
      <c r="I109" s="109">
        <v>1</v>
      </c>
      <c r="J109" s="109">
        <v>3.8</v>
      </c>
      <c r="K109" s="109">
        <v>2.5</v>
      </c>
      <c r="L109" s="109">
        <v>4.5</v>
      </c>
      <c r="M109" s="109">
        <v>1</v>
      </c>
      <c r="N109" s="92" t="s">
        <v>208</v>
      </c>
      <c r="O109" s="92">
        <f t="shared" si="17"/>
        <v>17.100000000000001</v>
      </c>
      <c r="P109" s="125">
        <v>44853</v>
      </c>
      <c r="Q109" s="125">
        <v>44867</v>
      </c>
      <c r="R109" s="112">
        <v>1</v>
      </c>
      <c r="S109" s="112">
        <v>1</v>
      </c>
      <c r="T109" s="112">
        <v>1</v>
      </c>
      <c r="U109" s="113">
        <f>IF(ISBLANK(Table1[[#This Row],[OHC Date]]),$B$7-Table1[[#This Row],[HOC Date]]+1,Table1[[#This Row],[OHC Date]]-Table1[[#This Row],[HOC Date]]+1)/7</f>
        <v>2.1428571428571428</v>
      </c>
      <c r="V109" s="21">
        <v>16.760000000000002</v>
      </c>
      <c r="W109" s="21">
        <v>0.77</v>
      </c>
      <c r="X109" s="114">
        <f>ROUND(0.7*Table1[[#This Row],[E&amp;D Rate per unit]]*R109*Table1[[#This Row],[Quantity]],2)</f>
        <v>200.62</v>
      </c>
      <c r="Y109" s="114">
        <f t="shared" si="15"/>
        <v>28.22</v>
      </c>
      <c r="Z109" s="114">
        <f>ROUND(0.3*T109*Table1[[#This Row],[E&amp;D Rate per unit]]*Table1[[#This Row],[Quantity]],2)</f>
        <v>85.98</v>
      </c>
      <c r="AA109" s="112">
        <v>1</v>
      </c>
      <c r="AB109" s="21">
        <f>ROUND(X109+Z109+Y109,2)*Table1[[#This Row],[Until WA Approved Only Approved this %]]</f>
        <v>314.82</v>
      </c>
      <c r="AC109" s="136">
        <v>314.82</v>
      </c>
      <c r="AD109" s="136">
        <f>Table1[[#This Row],[Total Amount]]-Table1[[#This Row],[Previous Amount]]</f>
        <v>0</v>
      </c>
      <c r="AE109" s="115" t="s">
        <v>220</v>
      </c>
      <c r="AG109" s="174">
        <v>314.82</v>
      </c>
      <c r="AH109" s="178">
        <f>AG109-Table1[[#This Row],[Total Amount]]</f>
        <v>0</v>
      </c>
      <c r="AI109" s="171">
        <f t="shared" si="11"/>
        <v>0</v>
      </c>
    </row>
    <row r="110" spans="1:35" ht="30" customHeight="1" x14ac:dyDescent="0.3">
      <c r="A110" s="108" t="s">
        <v>91</v>
      </c>
      <c r="B110" s="91" t="s">
        <v>99</v>
      </c>
      <c r="C110" s="109" t="s">
        <v>235</v>
      </c>
      <c r="D110" s="109">
        <v>77653</v>
      </c>
      <c r="E110" s="109">
        <v>76775</v>
      </c>
      <c r="F110" s="110" t="s">
        <v>164</v>
      </c>
      <c r="G110" s="17" t="s">
        <v>192</v>
      </c>
      <c r="H110" s="109" t="s">
        <v>128</v>
      </c>
      <c r="I110" s="109">
        <v>1</v>
      </c>
      <c r="J110" s="109">
        <v>18</v>
      </c>
      <c r="K110" s="109">
        <v>0.5</v>
      </c>
      <c r="L110" s="109">
        <v>1</v>
      </c>
      <c r="M110" s="109">
        <v>1</v>
      </c>
      <c r="N110" s="111" t="s">
        <v>162</v>
      </c>
      <c r="O110" s="111">
        <f t="shared" si="14"/>
        <v>9</v>
      </c>
      <c r="P110" s="125">
        <v>44853</v>
      </c>
      <c r="Q110" s="125">
        <v>44863</v>
      </c>
      <c r="R110" s="112">
        <v>1</v>
      </c>
      <c r="S110" s="112">
        <v>1</v>
      </c>
      <c r="T110" s="112">
        <v>1</v>
      </c>
      <c r="U110" s="113">
        <f>IF(ISBLANK(Table1[[#This Row],[OHC Date]]),$B$7-Table1[[#This Row],[HOC Date]]+1,Table1[[#This Row],[OHC Date]]-Table1[[#This Row],[HOC Date]]+1)/7</f>
        <v>1.5714285714285714</v>
      </c>
      <c r="V110" s="114">
        <v>32.75</v>
      </c>
      <c r="W110" s="114">
        <v>1.05</v>
      </c>
      <c r="X110" s="114">
        <f>ROUND(0.7*Table1[[#This Row],[E&amp;D Rate per unit]]*R110*Table1[[#This Row],[Quantity]],2)</f>
        <v>206.33</v>
      </c>
      <c r="Y110" s="114">
        <f t="shared" si="15"/>
        <v>14.85</v>
      </c>
      <c r="Z110" s="114">
        <f>ROUND(0.3*T110*Table1[[#This Row],[E&amp;D Rate per unit]]*Table1[[#This Row],[Quantity]],2)</f>
        <v>88.43</v>
      </c>
      <c r="AA110" s="112">
        <v>1</v>
      </c>
      <c r="AB110" s="21">
        <f>ROUND(X110+Z110+Y110,2)*Table1[[#This Row],[Until WA Approved Only Approved this %]]</f>
        <v>309.61</v>
      </c>
      <c r="AC110" s="136">
        <v>309.61</v>
      </c>
      <c r="AD110" s="136">
        <f>Table1[[#This Row],[Total Amount]]-Table1[[#This Row],[Previous Amount]]</f>
        <v>0</v>
      </c>
      <c r="AE110" s="115"/>
      <c r="AG110" s="174">
        <v>309.61</v>
      </c>
      <c r="AH110" s="178">
        <f>AG110-Table1[[#This Row],[Total Amount]]</f>
        <v>0</v>
      </c>
      <c r="AI110" s="171">
        <f t="shared" si="11"/>
        <v>0</v>
      </c>
    </row>
    <row r="111" spans="1:35" ht="30" customHeight="1" x14ac:dyDescent="0.3">
      <c r="A111" s="108" t="s">
        <v>91</v>
      </c>
      <c r="B111" s="91" t="s">
        <v>99</v>
      </c>
      <c r="C111" s="109">
        <v>26</v>
      </c>
      <c r="D111" s="109">
        <v>77654</v>
      </c>
      <c r="E111" s="109">
        <v>80501</v>
      </c>
      <c r="F111" s="110" t="s">
        <v>236</v>
      </c>
      <c r="G111" s="17" t="s">
        <v>237</v>
      </c>
      <c r="H111" s="109" t="s">
        <v>222</v>
      </c>
      <c r="I111" s="109">
        <v>1</v>
      </c>
      <c r="J111" s="109">
        <v>1.8</v>
      </c>
      <c r="K111" s="109">
        <v>1</v>
      </c>
      <c r="L111" s="109">
        <v>2</v>
      </c>
      <c r="M111" s="109">
        <v>1</v>
      </c>
      <c r="N111" s="111" t="s">
        <v>223</v>
      </c>
      <c r="O111" s="111">
        <f t="shared" si="14"/>
        <v>2</v>
      </c>
      <c r="P111" s="125">
        <v>44853</v>
      </c>
      <c r="Q111" s="125">
        <v>44869</v>
      </c>
      <c r="R111" s="112">
        <v>1</v>
      </c>
      <c r="S111" s="112">
        <v>1</v>
      </c>
      <c r="T111" s="112">
        <v>1</v>
      </c>
      <c r="U111" s="113">
        <f>IF(ISBLANK(Table1[[#This Row],[OHC Date]]),$B$7-Table1[[#This Row],[HOC Date]]+1,Table1[[#This Row],[OHC Date]]-Table1[[#This Row],[HOC Date]]+1)/7</f>
        <v>2.4285714285714284</v>
      </c>
      <c r="V111" s="114">
        <v>63.34</v>
      </c>
      <c r="W111" s="114">
        <v>7.28</v>
      </c>
      <c r="X111" s="114">
        <f>ROUND(0.7*Table1[[#This Row],[E&amp;D Rate per unit]]*R111*Table1[[#This Row],[Quantity]],2)</f>
        <v>88.68</v>
      </c>
      <c r="Y111" s="114">
        <f t="shared" si="15"/>
        <v>35.36</v>
      </c>
      <c r="Z111" s="114">
        <f>ROUND(0.3*T111*Table1[[#This Row],[E&amp;D Rate per unit]]*Table1[[#This Row],[Quantity]],2)</f>
        <v>38</v>
      </c>
      <c r="AA111" s="112">
        <v>1</v>
      </c>
      <c r="AB111" s="21">
        <f>ROUND(X111+Z111+Y111,2)*Table1[[#This Row],[Until WA Approved Only Approved this %]]</f>
        <v>162.04</v>
      </c>
      <c r="AC111" s="136">
        <v>162.04</v>
      </c>
      <c r="AD111" s="136">
        <f>Table1[[#This Row],[Total Amount]]-Table1[[#This Row],[Previous Amount]]</f>
        <v>0</v>
      </c>
      <c r="AE111" s="115"/>
      <c r="AG111" s="174">
        <v>162.04</v>
      </c>
      <c r="AH111" s="178">
        <f>AG111-Table1[[#This Row],[Total Amount]]</f>
        <v>0</v>
      </c>
      <c r="AI111" s="171">
        <f t="shared" si="11"/>
        <v>0</v>
      </c>
    </row>
    <row r="112" spans="1:35" ht="30" customHeight="1" x14ac:dyDescent="0.3">
      <c r="A112" s="108" t="s">
        <v>91</v>
      </c>
      <c r="B112" s="91" t="s">
        <v>99</v>
      </c>
      <c r="C112" s="109">
        <v>27</v>
      </c>
      <c r="D112" s="109">
        <v>77655</v>
      </c>
      <c r="E112" s="109">
        <v>80525</v>
      </c>
      <c r="F112" s="110" t="s">
        <v>227</v>
      </c>
      <c r="G112" s="17" t="s">
        <v>228</v>
      </c>
      <c r="H112" s="109" t="s">
        <v>207</v>
      </c>
      <c r="I112" s="109">
        <v>1</v>
      </c>
      <c r="J112" s="109">
        <v>5</v>
      </c>
      <c r="K112" s="109">
        <v>1.3</v>
      </c>
      <c r="L112" s="109">
        <v>4.5</v>
      </c>
      <c r="M112" s="109">
        <v>1</v>
      </c>
      <c r="N112" s="111" t="s">
        <v>208</v>
      </c>
      <c r="O112" s="111">
        <f t="shared" si="14"/>
        <v>22.5</v>
      </c>
      <c r="P112" s="125">
        <v>44853</v>
      </c>
      <c r="Q112" s="125">
        <v>44881</v>
      </c>
      <c r="R112" s="112">
        <v>1</v>
      </c>
      <c r="S112" s="112">
        <v>1</v>
      </c>
      <c r="T112" s="112">
        <v>1</v>
      </c>
      <c r="U112" s="113">
        <f>IF(ISBLANK(Table1[[#This Row],[OHC Date]]),$B$7-Table1[[#This Row],[HOC Date]]+1,Table1[[#This Row],[OHC Date]]-Table1[[#This Row],[HOC Date]]+1)/7</f>
        <v>4.1428571428571432</v>
      </c>
      <c r="V112" s="114">
        <v>12.01</v>
      </c>
      <c r="W112" s="114">
        <v>0.49</v>
      </c>
      <c r="X112" s="114">
        <f>ROUND(0.7*Table1[[#This Row],[E&amp;D Rate per unit]]*R112*Table1[[#This Row],[Quantity]],2)</f>
        <v>189.16</v>
      </c>
      <c r="Y112" s="114">
        <f t="shared" si="15"/>
        <v>45.68</v>
      </c>
      <c r="Z112" s="114">
        <f>ROUND(0.3*T112*Table1[[#This Row],[E&amp;D Rate per unit]]*Table1[[#This Row],[Quantity]],2)</f>
        <v>81.069999999999993</v>
      </c>
      <c r="AA112" s="112">
        <v>1</v>
      </c>
      <c r="AB112" s="21">
        <f>ROUND(X112+Z112+Y112,2)*Table1[[#This Row],[Until WA Approved Only Approved this %]]</f>
        <v>315.91000000000003</v>
      </c>
      <c r="AC112" s="136">
        <v>315.91000000000003</v>
      </c>
      <c r="AD112" s="136">
        <f>Table1[[#This Row],[Total Amount]]-Table1[[#This Row],[Previous Amount]]</f>
        <v>0</v>
      </c>
      <c r="AE112" s="115" t="s">
        <v>220</v>
      </c>
      <c r="AG112" s="174">
        <v>315.91000000000003</v>
      </c>
      <c r="AH112" s="178">
        <f>AG112-Table1[[#This Row],[Total Amount]]</f>
        <v>0</v>
      </c>
      <c r="AI112" s="171">
        <f t="shared" si="11"/>
        <v>0</v>
      </c>
    </row>
    <row r="113" spans="1:35" ht="30" customHeight="1" x14ac:dyDescent="0.3">
      <c r="A113" s="108" t="s">
        <v>91</v>
      </c>
      <c r="B113" s="91" t="s">
        <v>99</v>
      </c>
      <c r="C113" s="109">
        <v>28</v>
      </c>
      <c r="D113" s="109">
        <v>77656</v>
      </c>
      <c r="E113" s="109">
        <v>80507</v>
      </c>
      <c r="F113" s="110" t="s">
        <v>227</v>
      </c>
      <c r="G113" s="17" t="s">
        <v>228</v>
      </c>
      <c r="H113" s="109" t="s">
        <v>222</v>
      </c>
      <c r="I113" s="109">
        <v>1</v>
      </c>
      <c r="J113" s="109">
        <v>2.5</v>
      </c>
      <c r="K113" s="109">
        <v>1.8</v>
      </c>
      <c r="L113" s="109">
        <v>4.5</v>
      </c>
      <c r="M113" s="109">
        <v>1</v>
      </c>
      <c r="N113" s="111" t="s">
        <v>223</v>
      </c>
      <c r="O113" s="111">
        <f t="shared" si="14"/>
        <v>4.5</v>
      </c>
      <c r="P113" s="125">
        <v>44854</v>
      </c>
      <c r="Q113" s="125">
        <v>44876</v>
      </c>
      <c r="R113" s="112">
        <v>1</v>
      </c>
      <c r="S113" s="112">
        <v>1</v>
      </c>
      <c r="T113" s="112">
        <v>1</v>
      </c>
      <c r="U113" s="113">
        <f>IF(ISBLANK(Table1[[#This Row],[OHC Date]]),$B$7-Table1[[#This Row],[HOC Date]]+1,Table1[[#This Row],[OHC Date]]-Table1[[#This Row],[HOC Date]]+1)/7</f>
        <v>3.2857142857142856</v>
      </c>
      <c r="V113" s="114">
        <v>63.34</v>
      </c>
      <c r="W113" s="114">
        <v>7.28</v>
      </c>
      <c r="X113" s="114">
        <f>ROUND(0.7*Table1[[#This Row],[E&amp;D Rate per unit]]*R113*Table1[[#This Row],[Quantity]],2)</f>
        <v>199.52</v>
      </c>
      <c r="Y113" s="114">
        <f t="shared" si="15"/>
        <v>107.64</v>
      </c>
      <c r="Z113" s="114">
        <f>ROUND(0.3*T113*Table1[[#This Row],[E&amp;D Rate per unit]]*Table1[[#This Row],[Quantity]],2)</f>
        <v>85.51</v>
      </c>
      <c r="AA113" s="112">
        <v>1</v>
      </c>
      <c r="AB113" s="21">
        <f>ROUND(X113+Z113+Y113,2)*Table1[[#This Row],[Until WA Approved Only Approved this %]]</f>
        <v>392.67</v>
      </c>
      <c r="AC113" s="136">
        <v>392.67</v>
      </c>
      <c r="AD113" s="136">
        <f>Table1[[#This Row],[Total Amount]]-Table1[[#This Row],[Previous Amount]]</f>
        <v>0</v>
      </c>
      <c r="AE113" s="115" t="s">
        <v>220</v>
      </c>
      <c r="AG113" s="174">
        <v>392.67</v>
      </c>
      <c r="AH113" s="178">
        <f>AG113-Table1[[#This Row],[Total Amount]]</f>
        <v>0</v>
      </c>
      <c r="AI113" s="171">
        <f t="shared" si="11"/>
        <v>0</v>
      </c>
    </row>
    <row r="114" spans="1:35" ht="30" customHeight="1" x14ac:dyDescent="0.3">
      <c r="A114" s="108" t="s">
        <v>91</v>
      </c>
      <c r="B114" s="91" t="s">
        <v>99</v>
      </c>
      <c r="C114" s="109">
        <v>28</v>
      </c>
      <c r="D114" s="109">
        <v>77656</v>
      </c>
      <c r="E114" s="109">
        <v>80507</v>
      </c>
      <c r="F114" s="110" t="s">
        <v>227</v>
      </c>
      <c r="G114" s="17" t="s">
        <v>228</v>
      </c>
      <c r="H114" s="109" t="s">
        <v>178</v>
      </c>
      <c r="I114" s="109">
        <v>1</v>
      </c>
      <c r="J114" s="109">
        <v>2.5</v>
      </c>
      <c r="K114" s="109">
        <v>1.8</v>
      </c>
      <c r="L114" s="109"/>
      <c r="M114" s="109">
        <v>1</v>
      </c>
      <c r="N114" s="111" t="s">
        <v>162</v>
      </c>
      <c r="O114" s="111">
        <f t="shared" si="14"/>
        <v>4.5</v>
      </c>
      <c r="P114" s="125">
        <v>44854</v>
      </c>
      <c r="Q114" s="125">
        <v>44876</v>
      </c>
      <c r="R114" s="112">
        <v>1</v>
      </c>
      <c r="S114" s="112">
        <v>1</v>
      </c>
      <c r="T114" s="112">
        <v>1</v>
      </c>
      <c r="U114" s="113">
        <f>IF(ISBLANK(Table1[[#This Row],[OHC Date]]),$B$7-Table1[[#This Row],[HOC Date]]+1,Table1[[#This Row],[OHC Date]]-Table1[[#This Row],[HOC Date]]+1)/7</f>
        <v>3.2857142857142856</v>
      </c>
      <c r="V114" s="114">
        <v>6.63</v>
      </c>
      <c r="W114" s="114">
        <v>0.7</v>
      </c>
      <c r="X114" s="114">
        <f>ROUND(0.7*Table1[[#This Row],[E&amp;D Rate per unit]]*R114*Table1[[#This Row],[Quantity]],2)</f>
        <v>20.88</v>
      </c>
      <c r="Y114" s="114">
        <f t="shared" si="15"/>
        <v>10.35</v>
      </c>
      <c r="Z114" s="114">
        <f>ROUND(0.3*T114*Table1[[#This Row],[E&amp;D Rate per unit]]*Table1[[#This Row],[Quantity]],2)</f>
        <v>8.9499999999999993</v>
      </c>
      <c r="AA114" s="112">
        <v>1</v>
      </c>
      <c r="AB114" s="21">
        <f>ROUND(X114+Z114+Y114,2)*Table1[[#This Row],[Until WA Approved Only Approved this %]]</f>
        <v>40.18</v>
      </c>
      <c r="AC114" s="136">
        <v>40.18</v>
      </c>
      <c r="AD114" s="136">
        <f>Table1[[#This Row],[Total Amount]]-Table1[[#This Row],[Previous Amount]]</f>
        <v>0</v>
      </c>
      <c r="AE114" s="115" t="s">
        <v>220</v>
      </c>
      <c r="AG114" s="174">
        <v>40.18</v>
      </c>
      <c r="AH114" s="178">
        <f>AG114-Table1[[#This Row],[Total Amount]]</f>
        <v>0</v>
      </c>
      <c r="AI114" s="171">
        <f t="shared" si="11"/>
        <v>0</v>
      </c>
    </row>
    <row r="115" spans="1:35" ht="30" customHeight="1" x14ac:dyDescent="0.3">
      <c r="A115" s="108" t="s">
        <v>91</v>
      </c>
      <c r="B115" s="91" t="s">
        <v>99</v>
      </c>
      <c r="C115" s="109">
        <v>29</v>
      </c>
      <c r="D115" s="109">
        <v>77657</v>
      </c>
      <c r="E115" s="109">
        <v>80557</v>
      </c>
      <c r="F115" s="110" t="s">
        <v>227</v>
      </c>
      <c r="G115" s="17" t="s">
        <v>228</v>
      </c>
      <c r="H115" s="109" t="s">
        <v>222</v>
      </c>
      <c r="I115" s="109">
        <v>1</v>
      </c>
      <c r="J115" s="109">
        <v>2.5</v>
      </c>
      <c r="K115" s="109">
        <v>1.8</v>
      </c>
      <c r="L115" s="109">
        <v>4.5</v>
      </c>
      <c r="M115" s="109">
        <v>1</v>
      </c>
      <c r="N115" s="111" t="s">
        <v>223</v>
      </c>
      <c r="O115" s="111">
        <f t="shared" si="14"/>
        <v>4.5</v>
      </c>
      <c r="P115" s="125">
        <v>44854</v>
      </c>
      <c r="Q115" s="125">
        <v>44905</v>
      </c>
      <c r="R115" s="112">
        <v>1</v>
      </c>
      <c r="S115" s="112">
        <v>1</v>
      </c>
      <c r="T115" s="112">
        <v>1</v>
      </c>
      <c r="U115" s="113">
        <f>IF(ISBLANK(Table1[[#This Row],[OHC Date]]),$B$7-Table1[[#This Row],[HOC Date]]+1,Table1[[#This Row],[OHC Date]]-Table1[[#This Row],[HOC Date]]+1)/7</f>
        <v>7.4285714285714288</v>
      </c>
      <c r="V115" s="114">
        <v>63.34</v>
      </c>
      <c r="W115" s="114">
        <v>7.28</v>
      </c>
      <c r="X115" s="114">
        <f>ROUND(0.7*Table1[[#This Row],[E&amp;D Rate per unit]]*R115*Table1[[#This Row],[Quantity]],2)</f>
        <v>199.52</v>
      </c>
      <c r="Y115" s="114">
        <f t="shared" si="15"/>
        <v>243.36</v>
      </c>
      <c r="Z115" s="114">
        <f>ROUND(0.3*T115*Table1[[#This Row],[E&amp;D Rate per unit]]*Table1[[#This Row],[Quantity]],2)</f>
        <v>85.51</v>
      </c>
      <c r="AA115" s="112">
        <v>1</v>
      </c>
      <c r="AB115" s="21">
        <f>ROUND(X115+Z115+Y115,2)*Table1[[#This Row],[Until WA Approved Only Approved this %]]</f>
        <v>528.39</v>
      </c>
      <c r="AC115" s="136">
        <v>372.68</v>
      </c>
      <c r="AD115" s="136">
        <f>Table1[[#This Row],[Total Amount]]-Table1[[#This Row],[Previous Amount]]</f>
        <v>155.70999999999998</v>
      </c>
      <c r="AE115" s="115" t="s">
        <v>220</v>
      </c>
      <c r="AG115" s="174">
        <v>528.39</v>
      </c>
      <c r="AH115" s="178">
        <f>AG115-Table1[[#This Row],[Total Amount]]</f>
        <v>0</v>
      </c>
      <c r="AI115" s="171">
        <f t="shared" si="11"/>
        <v>0</v>
      </c>
    </row>
    <row r="116" spans="1:35" ht="30" customHeight="1" x14ac:dyDescent="0.3">
      <c r="A116" s="108" t="s">
        <v>91</v>
      </c>
      <c r="B116" s="91" t="s">
        <v>99</v>
      </c>
      <c r="C116" s="109" t="s">
        <v>238</v>
      </c>
      <c r="D116" s="109">
        <v>77661</v>
      </c>
      <c r="E116" s="109">
        <v>76774</v>
      </c>
      <c r="F116" s="110" t="s">
        <v>240</v>
      </c>
      <c r="G116" s="17" t="s">
        <v>161</v>
      </c>
      <c r="H116" s="109" t="s">
        <v>128</v>
      </c>
      <c r="I116" s="109">
        <v>1</v>
      </c>
      <c r="J116" s="109">
        <v>10.8</v>
      </c>
      <c r="K116" s="109">
        <v>0.5</v>
      </c>
      <c r="L116" s="109">
        <v>1</v>
      </c>
      <c r="M116" s="109">
        <v>1</v>
      </c>
      <c r="N116" s="111" t="s">
        <v>162</v>
      </c>
      <c r="O116" s="111">
        <f t="shared" si="14"/>
        <v>5.4</v>
      </c>
      <c r="P116" s="125">
        <v>44855</v>
      </c>
      <c r="Q116" s="125">
        <v>44863</v>
      </c>
      <c r="R116" s="112">
        <v>1</v>
      </c>
      <c r="S116" s="112">
        <v>1</v>
      </c>
      <c r="T116" s="112">
        <v>1</v>
      </c>
      <c r="U116" s="113">
        <f>IF(ISBLANK(Table1[[#This Row],[OHC Date]]),$B$7-Table1[[#This Row],[HOC Date]]+1,Table1[[#This Row],[OHC Date]]-Table1[[#This Row],[HOC Date]]+1)/7</f>
        <v>1.2857142857142858</v>
      </c>
      <c r="V116" s="114">
        <v>32.75</v>
      </c>
      <c r="W116" s="114">
        <v>1.05</v>
      </c>
      <c r="X116" s="114">
        <f>ROUND(0.7*Table1[[#This Row],[E&amp;D Rate per unit]]*R116*Table1[[#This Row],[Quantity]],2)</f>
        <v>123.8</v>
      </c>
      <c r="Y116" s="114">
        <f t="shared" si="15"/>
        <v>7.29</v>
      </c>
      <c r="Z116" s="114">
        <f>ROUND(0.3*T116*Table1[[#This Row],[E&amp;D Rate per unit]]*Table1[[#This Row],[Quantity]],2)</f>
        <v>53.06</v>
      </c>
      <c r="AA116" s="112">
        <v>1</v>
      </c>
      <c r="AB116" s="21">
        <f>ROUND(X116+Z116+Y116,2)*Table1[[#This Row],[Until WA Approved Only Approved this %]]</f>
        <v>184.15</v>
      </c>
      <c r="AC116" s="136">
        <v>184.15</v>
      </c>
      <c r="AD116" s="136">
        <f>Table1[[#This Row],[Total Amount]]-Table1[[#This Row],[Previous Amount]]</f>
        <v>0</v>
      </c>
      <c r="AE116" s="115"/>
      <c r="AG116" s="174">
        <v>184.15</v>
      </c>
      <c r="AH116" s="178">
        <f>AG116-Table1[[#This Row],[Total Amount]]</f>
        <v>0</v>
      </c>
      <c r="AI116" s="171">
        <f t="shared" si="11"/>
        <v>0</v>
      </c>
    </row>
    <row r="117" spans="1:35" ht="30" customHeight="1" x14ac:dyDescent="0.3">
      <c r="A117" s="108" t="s">
        <v>91</v>
      </c>
      <c r="B117" s="91" t="s">
        <v>99</v>
      </c>
      <c r="C117" s="109" t="s">
        <v>239</v>
      </c>
      <c r="D117" s="109">
        <v>77662</v>
      </c>
      <c r="E117" s="109"/>
      <c r="F117" s="110" t="s">
        <v>240</v>
      </c>
      <c r="G117" s="17" t="s">
        <v>192</v>
      </c>
      <c r="H117" s="109" t="s">
        <v>129</v>
      </c>
      <c r="I117" s="109">
        <v>1</v>
      </c>
      <c r="J117" s="109">
        <v>3.6</v>
      </c>
      <c r="K117" s="109">
        <v>0.75</v>
      </c>
      <c r="L117" s="109">
        <v>1</v>
      </c>
      <c r="M117" s="109">
        <v>1</v>
      </c>
      <c r="N117" s="111" t="s">
        <v>162</v>
      </c>
      <c r="O117" s="111">
        <f t="shared" si="14"/>
        <v>2.7</v>
      </c>
      <c r="P117" s="125">
        <v>44855</v>
      </c>
      <c r="Q117" s="125"/>
      <c r="R117" s="112">
        <v>1</v>
      </c>
      <c r="S117" s="112">
        <v>1</v>
      </c>
      <c r="T117" s="112">
        <v>0</v>
      </c>
      <c r="U117" s="113">
        <f>IF(ISBLANK(Table1[[#This Row],[OHC Date]]),$B$7-Table1[[#This Row],[HOC Date]]+1,Table1[[#This Row],[OHC Date]]-Table1[[#This Row],[HOC Date]]+1)/7</f>
        <v>9.4285714285714288</v>
      </c>
      <c r="V117" s="114">
        <v>36.520000000000003</v>
      </c>
      <c r="W117" s="114">
        <v>2.94</v>
      </c>
      <c r="X117" s="114">
        <f>ROUND(0.7*Table1[[#This Row],[E&amp;D Rate per unit]]*R117*Table1[[#This Row],[Quantity]],2)</f>
        <v>69.02</v>
      </c>
      <c r="Y117" s="114">
        <f t="shared" si="15"/>
        <v>74.84</v>
      </c>
      <c r="Z117" s="114">
        <f>ROUND(0.3*T117*Table1[[#This Row],[E&amp;D Rate per unit]]*Table1[[#This Row],[Quantity]],2)</f>
        <v>0</v>
      </c>
      <c r="AA117" s="112">
        <v>1</v>
      </c>
      <c r="AB117" s="21">
        <f>ROUND(X117+Z117+Y117,2)*Table1[[#This Row],[Until WA Approved Only Approved this %]]</f>
        <v>143.86000000000001</v>
      </c>
      <c r="AC117" s="136">
        <v>109.84</v>
      </c>
      <c r="AD117" s="136">
        <f>Table1[[#This Row],[Total Amount]]-Table1[[#This Row],[Previous Amount]]</f>
        <v>34.02000000000001</v>
      </c>
      <c r="AE117" s="115"/>
      <c r="AG117" s="174">
        <v>143.86000000000001</v>
      </c>
      <c r="AH117" s="178">
        <f>AG117-Table1[[#This Row],[Total Amount]]</f>
        <v>0</v>
      </c>
      <c r="AI117" s="171">
        <f t="shared" si="11"/>
        <v>0</v>
      </c>
    </row>
    <row r="118" spans="1:35" ht="30" customHeight="1" x14ac:dyDescent="0.3">
      <c r="A118" s="108" t="s">
        <v>241</v>
      </c>
      <c r="B118" s="91" t="s">
        <v>99</v>
      </c>
      <c r="C118" s="109">
        <v>30</v>
      </c>
      <c r="D118" s="109">
        <v>77667</v>
      </c>
      <c r="E118" s="109"/>
      <c r="F118" s="110" t="s">
        <v>242</v>
      </c>
      <c r="G118" s="17" t="s">
        <v>243</v>
      </c>
      <c r="H118" s="109" t="s">
        <v>207</v>
      </c>
      <c r="I118" s="109">
        <v>1</v>
      </c>
      <c r="J118" s="109">
        <v>4</v>
      </c>
      <c r="K118" s="109">
        <v>1.3</v>
      </c>
      <c r="L118" s="109">
        <v>2</v>
      </c>
      <c r="M118" s="109">
        <v>1</v>
      </c>
      <c r="N118" s="111" t="s">
        <v>56</v>
      </c>
      <c r="O118" s="111">
        <f t="shared" si="14"/>
        <v>1</v>
      </c>
      <c r="P118" s="125">
        <v>44855</v>
      </c>
      <c r="Q118" s="125"/>
      <c r="R118" s="112">
        <v>1</v>
      </c>
      <c r="S118" s="112">
        <v>1</v>
      </c>
      <c r="T118" s="112">
        <v>0</v>
      </c>
      <c r="U118" s="113">
        <f>IF(ISBLANK(Table1[[#This Row],[OHC Date]]),$B$7-Table1[[#This Row],[HOC Date]]+1,Table1[[#This Row],[OHC Date]]-Table1[[#This Row],[HOC Date]]+1)/7</f>
        <v>9.4285714285714288</v>
      </c>
      <c r="V118" s="114">
        <v>916.08</v>
      </c>
      <c r="W118" s="114">
        <v>3.92</v>
      </c>
      <c r="X118" s="114">
        <f>ROUND(0.7*Table1[[#This Row],[E&amp;D Rate per unit]]*R118*Table1[[#This Row],[Quantity]],2)</f>
        <v>641.26</v>
      </c>
      <c r="Y118" s="114">
        <f t="shared" si="15"/>
        <v>36.96</v>
      </c>
      <c r="Z118" s="114">
        <f>ROUND(0.3*T118*Table1[[#This Row],[E&amp;D Rate per unit]]*Table1[[#This Row],[Quantity]],2)</f>
        <v>0</v>
      </c>
      <c r="AA118" s="19">
        <v>1</v>
      </c>
      <c r="AB118" s="21">
        <f>ROUND(X118+Z118+Y118,2)*Table1[[#This Row],[Until WA Approved Only Approved this %]]</f>
        <v>678.22</v>
      </c>
      <c r="AC118" s="136">
        <v>661.42</v>
      </c>
      <c r="AD118" s="136">
        <f>Table1[[#This Row],[Total Amount]]-Table1[[#This Row],[Previous Amount]]</f>
        <v>16.800000000000068</v>
      </c>
      <c r="AE118" s="140" t="s">
        <v>245</v>
      </c>
      <c r="AG118" s="174">
        <v>678.22</v>
      </c>
      <c r="AH118" s="178">
        <f>AG118-Table1[[#This Row],[Total Amount]]</f>
        <v>0</v>
      </c>
      <c r="AI118" s="171">
        <f t="shared" si="11"/>
        <v>0</v>
      </c>
    </row>
    <row r="119" spans="1:35" ht="30" customHeight="1" x14ac:dyDescent="0.3">
      <c r="A119" s="108" t="s">
        <v>241</v>
      </c>
      <c r="B119" s="91" t="s">
        <v>99</v>
      </c>
      <c r="C119" s="109" t="s">
        <v>244</v>
      </c>
      <c r="D119" s="109">
        <v>77668</v>
      </c>
      <c r="E119" s="109"/>
      <c r="F119" s="110" t="s">
        <v>242</v>
      </c>
      <c r="G119" s="17" t="s">
        <v>243</v>
      </c>
      <c r="H119" s="109" t="s">
        <v>207</v>
      </c>
      <c r="I119" s="109">
        <v>1</v>
      </c>
      <c r="J119" s="109">
        <v>8</v>
      </c>
      <c r="K119" s="109">
        <v>1.3</v>
      </c>
      <c r="L119" s="109">
        <v>3</v>
      </c>
      <c r="M119" s="109">
        <v>2</v>
      </c>
      <c r="N119" s="111" t="s">
        <v>56</v>
      </c>
      <c r="O119" s="111">
        <f t="shared" si="14"/>
        <v>1</v>
      </c>
      <c r="P119" s="125">
        <v>44855</v>
      </c>
      <c r="Q119" s="125"/>
      <c r="R119" s="112">
        <v>1</v>
      </c>
      <c r="S119" s="112">
        <v>1</v>
      </c>
      <c r="T119" s="112">
        <v>0</v>
      </c>
      <c r="U119" s="113">
        <f>IF(ISBLANK(Table1[[#This Row],[OHC Date]]),$B$7-Table1[[#This Row],[HOC Date]]+1,Table1[[#This Row],[OHC Date]]-Table1[[#This Row],[HOC Date]]+1)/7</f>
        <v>9.4285714285714288</v>
      </c>
      <c r="V119" s="114">
        <v>2093.27</v>
      </c>
      <c r="W119" s="114">
        <v>22.96</v>
      </c>
      <c r="X119" s="114">
        <f>ROUND(0.7*Table1[[#This Row],[E&amp;D Rate per unit]]*R119*Table1[[#This Row],[Quantity]],2)</f>
        <v>1465.29</v>
      </c>
      <c r="Y119" s="114">
        <f t="shared" si="15"/>
        <v>216.48</v>
      </c>
      <c r="Z119" s="114">
        <f>ROUND(0.3*T119*Table1[[#This Row],[E&amp;D Rate per unit]]*Table1[[#This Row],[Quantity]],2)</f>
        <v>0</v>
      </c>
      <c r="AA119" s="19">
        <v>1</v>
      </c>
      <c r="AB119" s="21">
        <f>ROUND(X119+Z119+Y119,2)*Table1[[#This Row],[Until WA Approved Only Approved this %]]</f>
        <v>1681.77</v>
      </c>
      <c r="AC119" s="136">
        <v>1583.37</v>
      </c>
      <c r="AD119" s="136">
        <f>Table1[[#This Row],[Total Amount]]-Table1[[#This Row],[Previous Amount]]</f>
        <v>98.400000000000091</v>
      </c>
      <c r="AE119" s="140" t="s">
        <v>246</v>
      </c>
      <c r="AG119" s="174">
        <v>1681.77</v>
      </c>
      <c r="AH119" s="178">
        <f>AG119-Table1[[#This Row],[Total Amount]]</f>
        <v>0</v>
      </c>
      <c r="AI119" s="171">
        <f t="shared" si="11"/>
        <v>0</v>
      </c>
    </row>
    <row r="120" spans="1:35" ht="30" customHeight="1" x14ac:dyDescent="0.3">
      <c r="A120" s="141" t="s">
        <v>247</v>
      </c>
      <c r="B120" s="91" t="s">
        <v>99</v>
      </c>
      <c r="C120" s="109">
        <v>31</v>
      </c>
      <c r="D120" s="109">
        <v>77669</v>
      </c>
      <c r="E120" s="109"/>
      <c r="F120" s="17" t="s">
        <v>249</v>
      </c>
      <c r="G120" s="17" t="s">
        <v>202</v>
      </c>
      <c r="H120" s="109" t="s">
        <v>250</v>
      </c>
      <c r="I120" s="109">
        <v>1</v>
      </c>
      <c r="J120" s="109">
        <v>22.5</v>
      </c>
      <c r="K120" s="109">
        <v>3.6</v>
      </c>
      <c r="L120" s="109"/>
      <c r="M120" s="109">
        <v>1</v>
      </c>
      <c r="N120" s="111" t="s">
        <v>56</v>
      </c>
      <c r="O120" s="111">
        <f t="shared" si="14"/>
        <v>1</v>
      </c>
      <c r="P120" s="125">
        <v>44855</v>
      </c>
      <c r="Q120" s="125"/>
      <c r="R120" s="112">
        <v>1</v>
      </c>
      <c r="S120" s="112">
        <v>1</v>
      </c>
      <c r="T120" s="112">
        <v>0</v>
      </c>
      <c r="U120" s="113">
        <f>IF(ISBLANK(Table1[[#This Row],[OHC Date]]),$B$7-Table1[[#This Row],[HOC Date]]+1,Table1[[#This Row],[OHC Date]]-Table1[[#This Row],[HOC Date]]+1)/7</f>
        <v>9.4285714285714288</v>
      </c>
      <c r="V120" s="114">
        <v>13343.06</v>
      </c>
      <c r="W120" s="114">
        <v>660.1</v>
      </c>
      <c r="X120" s="114">
        <f>ROUND(0.7*Table1[[#This Row],[E&amp;D Rate per unit]]*R120*Table1[[#This Row],[Quantity]],2)</f>
        <v>9340.14</v>
      </c>
      <c r="Y120" s="114">
        <f t="shared" si="15"/>
        <v>6223.8</v>
      </c>
      <c r="Z120" s="114">
        <f>ROUND(0.3*T120*Table1[[#This Row],[E&amp;D Rate per unit]]*Table1[[#This Row],[Quantity]],2)</f>
        <v>0</v>
      </c>
      <c r="AA120" s="19">
        <v>1</v>
      </c>
      <c r="AB120" s="21">
        <f>ROUND(X120+Z120+Y120,2)*Table1[[#This Row],[Until WA Approved Only Approved this %]]</f>
        <v>15563.94</v>
      </c>
      <c r="AC120" s="136">
        <v>12734.94</v>
      </c>
      <c r="AD120" s="136">
        <f>Table1[[#This Row],[Total Amount]]-Table1[[#This Row],[Previous Amount]]</f>
        <v>2829</v>
      </c>
      <c r="AE120" s="137" t="s">
        <v>251</v>
      </c>
      <c r="AG120" s="174">
        <v>15563.94</v>
      </c>
      <c r="AH120" s="178">
        <f>AG120-Table1[[#This Row],[Total Amount]]</f>
        <v>0</v>
      </c>
      <c r="AI120" s="171">
        <f t="shared" si="11"/>
        <v>0</v>
      </c>
    </row>
    <row r="121" spans="1:35" ht="30" customHeight="1" x14ac:dyDescent="0.3">
      <c r="A121" s="108" t="s">
        <v>91</v>
      </c>
      <c r="B121" s="91" t="s">
        <v>99</v>
      </c>
      <c r="C121" s="109">
        <v>32</v>
      </c>
      <c r="D121" s="109">
        <v>77663</v>
      </c>
      <c r="E121" s="109">
        <v>76779</v>
      </c>
      <c r="F121" s="17" t="s">
        <v>252</v>
      </c>
      <c r="G121" s="17" t="s">
        <v>192</v>
      </c>
      <c r="H121" s="109" t="s">
        <v>207</v>
      </c>
      <c r="I121" s="109">
        <v>1</v>
      </c>
      <c r="J121" s="109">
        <v>3.6</v>
      </c>
      <c r="K121" s="109">
        <v>1.3</v>
      </c>
      <c r="L121" s="109">
        <v>4</v>
      </c>
      <c r="M121" s="109">
        <v>1</v>
      </c>
      <c r="N121" s="111" t="s">
        <v>208</v>
      </c>
      <c r="O121" s="111">
        <f t="shared" si="14"/>
        <v>14.4</v>
      </c>
      <c r="P121" s="125">
        <v>44856</v>
      </c>
      <c r="Q121" s="125">
        <v>44868</v>
      </c>
      <c r="R121" s="112">
        <v>1</v>
      </c>
      <c r="S121" s="112">
        <v>1</v>
      </c>
      <c r="T121" s="112">
        <v>1</v>
      </c>
      <c r="U121" s="113">
        <f>IF(ISBLANK(Table1[[#This Row],[OHC Date]]),$B$7-Table1[[#This Row],[HOC Date]]+1,Table1[[#This Row],[OHC Date]]-Table1[[#This Row],[HOC Date]]+1)/7</f>
        <v>1.8571428571428572</v>
      </c>
      <c r="V121" s="114">
        <v>12.01</v>
      </c>
      <c r="W121" s="114">
        <v>0.49</v>
      </c>
      <c r="X121" s="114">
        <f>ROUND(0.7*Table1[[#This Row],[E&amp;D Rate per unit]]*R121*Table1[[#This Row],[Quantity]],2)</f>
        <v>121.06</v>
      </c>
      <c r="Y121" s="114">
        <f t="shared" si="15"/>
        <v>13.1</v>
      </c>
      <c r="Z121" s="114">
        <f>ROUND(0.3*T121*Table1[[#This Row],[E&amp;D Rate per unit]]*Table1[[#This Row],[Quantity]],2)</f>
        <v>51.88</v>
      </c>
      <c r="AA121" s="112">
        <v>1</v>
      </c>
      <c r="AB121" s="21">
        <f>ROUND(X121+Z121+Y121,2)*Table1[[#This Row],[Until WA Approved Only Approved this %]]</f>
        <v>186.04</v>
      </c>
      <c r="AC121" s="136">
        <v>186.04</v>
      </c>
      <c r="AD121" s="136">
        <f>Table1[[#This Row],[Total Amount]]-Table1[[#This Row],[Previous Amount]]</f>
        <v>0</v>
      </c>
      <c r="AE121" s="115"/>
      <c r="AG121" s="174">
        <v>186.04</v>
      </c>
      <c r="AH121" s="178">
        <f>AG121-Table1[[#This Row],[Total Amount]]</f>
        <v>0</v>
      </c>
      <c r="AI121" s="171">
        <f t="shared" si="11"/>
        <v>0</v>
      </c>
    </row>
    <row r="122" spans="1:35" ht="30" customHeight="1" x14ac:dyDescent="0.3">
      <c r="A122" s="108" t="s">
        <v>91</v>
      </c>
      <c r="B122" s="91" t="s">
        <v>99</v>
      </c>
      <c r="C122" s="109">
        <v>32</v>
      </c>
      <c r="D122" s="109">
        <v>77663</v>
      </c>
      <c r="E122" s="109">
        <v>76779</v>
      </c>
      <c r="F122" s="17" t="s">
        <v>252</v>
      </c>
      <c r="G122" s="17" t="s">
        <v>192</v>
      </c>
      <c r="H122" s="109" t="s">
        <v>178</v>
      </c>
      <c r="I122" s="16">
        <v>1</v>
      </c>
      <c r="J122" s="16">
        <v>3.6</v>
      </c>
      <c r="K122" s="16">
        <v>1.3</v>
      </c>
      <c r="L122" s="16">
        <v>1</v>
      </c>
      <c r="M122" s="16">
        <v>1</v>
      </c>
      <c r="N122" s="92" t="s">
        <v>162</v>
      </c>
      <c r="O122" s="92">
        <f t="shared" si="14"/>
        <v>4.68</v>
      </c>
      <c r="P122" s="18">
        <v>44856</v>
      </c>
      <c r="Q122" s="125">
        <v>44868</v>
      </c>
      <c r="R122" s="19">
        <v>1</v>
      </c>
      <c r="S122" s="19">
        <v>1</v>
      </c>
      <c r="T122" s="112">
        <v>1</v>
      </c>
      <c r="U122" s="20">
        <f>IF(ISBLANK(Table1[[#This Row],[OHC Date]]),$B$7-Table1[[#This Row],[HOC Date]]+1,Table1[[#This Row],[OHC Date]]-Table1[[#This Row],[HOC Date]]+1)/7</f>
        <v>1.8571428571428572</v>
      </c>
      <c r="V122" s="21">
        <v>6.63</v>
      </c>
      <c r="W122" s="21">
        <v>0.7</v>
      </c>
      <c r="X122" s="21">
        <f>ROUND(0.7*Table1[[#This Row],[E&amp;D Rate per unit]]*R122*Table1[[#This Row],[Quantity]],2)</f>
        <v>21.72</v>
      </c>
      <c r="Y122" s="21">
        <f t="shared" si="15"/>
        <v>6.08</v>
      </c>
      <c r="Z122" s="21">
        <f>ROUND(0.3*T122*Table1[[#This Row],[E&amp;D Rate per unit]]*Table1[[#This Row],[Quantity]],2)</f>
        <v>9.31</v>
      </c>
      <c r="AA122" s="112">
        <v>1</v>
      </c>
      <c r="AB122" s="21">
        <f>ROUND(X122+Z122+Y122,2)*Table1[[#This Row],[Until WA Approved Only Approved this %]]</f>
        <v>37.11</v>
      </c>
      <c r="AC122" s="136">
        <v>37.11</v>
      </c>
      <c r="AD122" s="139">
        <f>Table1[[#This Row],[Total Amount]]-Table1[[#This Row],[Previous Amount]]</f>
        <v>0</v>
      </c>
      <c r="AE122" s="137"/>
      <c r="AG122" s="174">
        <v>37.11</v>
      </c>
      <c r="AH122" s="178">
        <f>AG122-Table1[[#This Row],[Total Amount]]</f>
        <v>0</v>
      </c>
      <c r="AI122" s="171">
        <f t="shared" si="11"/>
        <v>0</v>
      </c>
    </row>
    <row r="123" spans="1:35" ht="30" customHeight="1" x14ac:dyDescent="0.3">
      <c r="A123" s="108" t="s">
        <v>91</v>
      </c>
      <c r="B123" s="91" t="s">
        <v>99</v>
      </c>
      <c r="C123" s="16">
        <v>33</v>
      </c>
      <c r="D123" s="16">
        <v>77664</v>
      </c>
      <c r="E123" s="16">
        <v>76772</v>
      </c>
      <c r="F123" s="17" t="s">
        <v>254</v>
      </c>
      <c r="G123" s="17" t="s">
        <v>253</v>
      </c>
      <c r="H123" s="109" t="s">
        <v>222</v>
      </c>
      <c r="I123" s="16">
        <v>1</v>
      </c>
      <c r="J123" s="16">
        <v>1.8</v>
      </c>
      <c r="K123" s="16">
        <v>1.3</v>
      </c>
      <c r="L123" s="16">
        <v>1</v>
      </c>
      <c r="M123" s="16">
        <v>1</v>
      </c>
      <c r="N123" s="92" t="s">
        <v>223</v>
      </c>
      <c r="O123" s="92">
        <f t="shared" si="14"/>
        <v>1</v>
      </c>
      <c r="P123" s="18">
        <v>44856</v>
      </c>
      <c r="Q123" s="18">
        <v>44861</v>
      </c>
      <c r="R123" s="19">
        <v>1</v>
      </c>
      <c r="S123" s="19">
        <v>1</v>
      </c>
      <c r="T123" s="19">
        <v>1</v>
      </c>
      <c r="U123" s="20">
        <f>IF(ISBLANK(Table1[[#This Row],[OHC Date]]),$B$7-Table1[[#This Row],[HOC Date]]+1,Table1[[#This Row],[OHC Date]]-Table1[[#This Row],[HOC Date]]+1)/7</f>
        <v>0.8571428571428571</v>
      </c>
      <c r="V123" s="21">
        <v>63.34</v>
      </c>
      <c r="W123" s="21">
        <v>7.28</v>
      </c>
      <c r="X123" s="21">
        <f>ROUND(0.7*Table1[[#This Row],[E&amp;D Rate per unit]]*R123*Table1[[#This Row],[Quantity]],2)</f>
        <v>44.34</v>
      </c>
      <c r="Y123" s="21">
        <f t="shared" si="15"/>
        <v>6.24</v>
      </c>
      <c r="Z123" s="21">
        <f>ROUND(0.3*T123*Table1[[#This Row],[E&amp;D Rate per unit]]*Table1[[#This Row],[Quantity]],2)</f>
        <v>19</v>
      </c>
      <c r="AA123" s="112">
        <v>1</v>
      </c>
      <c r="AB123" s="21">
        <f>ROUND(X123+Z123+Y123,2)*Table1[[#This Row],[Until WA Approved Only Approved this %]]</f>
        <v>69.58</v>
      </c>
      <c r="AC123" s="136">
        <v>69.58</v>
      </c>
      <c r="AD123" s="139">
        <f>Table1[[#This Row],[Total Amount]]-Table1[[#This Row],[Previous Amount]]</f>
        <v>0</v>
      </c>
      <c r="AE123" s="137"/>
      <c r="AG123" s="174">
        <v>69.58</v>
      </c>
      <c r="AH123" s="178">
        <f>AG123-Table1[[#This Row],[Total Amount]]</f>
        <v>0</v>
      </c>
      <c r="AI123" s="171">
        <f t="shared" si="11"/>
        <v>0</v>
      </c>
    </row>
    <row r="124" spans="1:35" ht="30" customHeight="1" x14ac:dyDescent="0.3">
      <c r="A124" s="108" t="s">
        <v>91</v>
      </c>
      <c r="B124" s="91" t="s">
        <v>99</v>
      </c>
      <c r="C124" s="16">
        <v>34</v>
      </c>
      <c r="D124" s="16">
        <v>77665</v>
      </c>
      <c r="E124" s="16"/>
      <c r="F124" s="17" t="s">
        <v>254</v>
      </c>
      <c r="G124" s="17" t="s">
        <v>253</v>
      </c>
      <c r="H124" s="109" t="s">
        <v>222</v>
      </c>
      <c r="I124" s="16">
        <v>1</v>
      </c>
      <c r="J124" s="16">
        <v>1.8</v>
      </c>
      <c r="K124" s="16">
        <v>1.3</v>
      </c>
      <c r="L124" s="16">
        <v>1</v>
      </c>
      <c r="M124" s="16">
        <v>1</v>
      </c>
      <c r="N124" s="92" t="s">
        <v>223</v>
      </c>
      <c r="O124" s="92">
        <f t="shared" si="14"/>
        <v>1</v>
      </c>
      <c r="P124" s="18">
        <v>44856</v>
      </c>
      <c r="Q124" s="18"/>
      <c r="R124" s="19">
        <v>1</v>
      </c>
      <c r="S124" s="19">
        <v>1</v>
      </c>
      <c r="T124" s="19">
        <v>0</v>
      </c>
      <c r="U124" s="20">
        <f>IF(ISBLANK(Table1[[#This Row],[OHC Date]]),$B$7-Table1[[#This Row],[HOC Date]]+1,Table1[[#This Row],[OHC Date]]-Table1[[#This Row],[HOC Date]]+1)/7</f>
        <v>9.2857142857142865</v>
      </c>
      <c r="V124" s="21">
        <v>63.34</v>
      </c>
      <c r="W124" s="21">
        <v>7.28</v>
      </c>
      <c r="X124" s="21">
        <f>ROUND(0.7*Table1[[#This Row],[E&amp;D Rate per unit]]*R124*Table1[[#This Row],[Quantity]],2)</f>
        <v>44.34</v>
      </c>
      <c r="Y124" s="21">
        <f t="shared" si="15"/>
        <v>67.599999999999994</v>
      </c>
      <c r="Z124" s="21">
        <f>ROUND(0.3*T124*Table1[[#This Row],[E&amp;D Rate per unit]]*Table1[[#This Row],[Quantity]],2)</f>
        <v>0</v>
      </c>
      <c r="AA124" s="112">
        <v>1</v>
      </c>
      <c r="AB124" s="21">
        <f>ROUND(X124+Z124+Y124,2)*Table1[[#This Row],[Until WA Approved Only Approved this %]]</f>
        <v>111.94</v>
      </c>
      <c r="AC124" s="136">
        <v>80.739999999999995</v>
      </c>
      <c r="AD124" s="139">
        <f>Table1[[#This Row],[Total Amount]]-Table1[[#This Row],[Previous Amount]]</f>
        <v>31.200000000000003</v>
      </c>
      <c r="AE124" s="137"/>
      <c r="AG124" s="174">
        <v>111.94</v>
      </c>
      <c r="AH124" s="178">
        <f>AG124-Table1[[#This Row],[Total Amount]]</f>
        <v>0</v>
      </c>
      <c r="AI124" s="171">
        <f t="shared" si="11"/>
        <v>0</v>
      </c>
    </row>
    <row r="125" spans="1:35" ht="30" customHeight="1" x14ac:dyDescent="0.3">
      <c r="A125" s="108" t="s">
        <v>91</v>
      </c>
      <c r="B125" s="91" t="s">
        <v>99</v>
      </c>
      <c r="C125" s="16" t="s">
        <v>295</v>
      </c>
      <c r="D125" s="16">
        <v>77670</v>
      </c>
      <c r="E125" s="16">
        <v>76786</v>
      </c>
      <c r="F125" s="17" t="s">
        <v>296</v>
      </c>
      <c r="G125" s="17" t="s">
        <v>297</v>
      </c>
      <c r="H125" s="109" t="s">
        <v>178</v>
      </c>
      <c r="I125" s="16">
        <v>3</v>
      </c>
      <c r="J125" s="16">
        <v>1.8</v>
      </c>
      <c r="K125" s="16">
        <v>1.8</v>
      </c>
      <c r="L125" s="16">
        <v>1</v>
      </c>
      <c r="M125" s="16">
        <v>3</v>
      </c>
      <c r="N125" s="92" t="s">
        <v>162</v>
      </c>
      <c r="O125" s="92">
        <f>ROUND(IF(N125="m3",I125*J125*K125*L125,IF(N125="m2-LxH",I125*J125*L125,IF(N125="m2-LxW",I125*J125*K125,IF(N125="rm",I125*L125,IF(N125="lm",I125*J125,IF(N125="unit",I125,"NA")))))),2)</f>
        <v>9.7200000000000006</v>
      </c>
      <c r="P125" s="18">
        <v>44859</v>
      </c>
      <c r="Q125" s="18">
        <v>44870</v>
      </c>
      <c r="R125" s="19">
        <v>1</v>
      </c>
      <c r="S125" s="19">
        <v>1</v>
      </c>
      <c r="T125" s="19">
        <v>1</v>
      </c>
      <c r="U125" s="20">
        <f>IF(ISBLANK(Table1[[#This Row],[OHC Date]]),$B$7-Table1[[#This Row],[HOC Date]]+1,Table1[[#This Row],[OHC Date]]-Table1[[#This Row],[HOC Date]]+1)/7</f>
        <v>1.7142857142857142</v>
      </c>
      <c r="V125" s="21">
        <v>6.63</v>
      </c>
      <c r="W125" s="21">
        <v>0.7</v>
      </c>
      <c r="X125" s="21">
        <f>ROUND(0.7*Table1[[#This Row],[E&amp;D Rate per unit]]*R125*Table1[[#This Row],[Quantity]],2)</f>
        <v>45.11</v>
      </c>
      <c r="Y125" s="21">
        <f>ROUND(O125*U125*W125*S125,2)</f>
        <v>11.66</v>
      </c>
      <c r="Z125" s="21">
        <f>ROUND(0.3*T125*Table1[[#This Row],[E&amp;D Rate per unit]]*Table1[[#This Row],[Quantity]],2)</f>
        <v>19.329999999999998</v>
      </c>
      <c r="AA125" s="112">
        <v>1</v>
      </c>
      <c r="AB125" s="21">
        <f>ROUND(X125+Z125+Y125,2)*Table1[[#This Row],[Until WA Approved Only Approved this %]]</f>
        <v>76.099999999999994</v>
      </c>
      <c r="AC125" s="136">
        <v>76.099999999999994</v>
      </c>
      <c r="AD125" s="139">
        <f>Table1[[#This Row],[Total Amount]]-Table1[[#This Row],[Previous Amount]]</f>
        <v>0</v>
      </c>
      <c r="AE125" s="137"/>
      <c r="AG125" s="174">
        <v>76.099999999999994</v>
      </c>
      <c r="AH125" s="178">
        <f>AG125-Table1[[#This Row],[Total Amount]]</f>
        <v>0</v>
      </c>
      <c r="AI125" s="171">
        <f t="shared" si="11"/>
        <v>0</v>
      </c>
    </row>
    <row r="126" spans="1:35" ht="30" customHeight="1" x14ac:dyDescent="0.3">
      <c r="A126" s="108" t="s">
        <v>91</v>
      </c>
      <c r="B126" s="91" t="s">
        <v>98</v>
      </c>
      <c r="C126" s="16">
        <v>2</v>
      </c>
      <c r="D126" s="16">
        <v>74603</v>
      </c>
      <c r="E126" s="16">
        <v>76828</v>
      </c>
      <c r="F126" s="17" t="s">
        <v>255</v>
      </c>
      <c r="G126" s="17" t="s">
        <v>256</v>
      </c>
      <c r="H126" s="109" t="s">
        <v>120</v>
      </c>
      <c r="I126" s="16">
        <v>1</v>
      </c>
      <c r="J126" s="16">
        <v>4.9000000000000004</v>
      </c>
      <c r="K126" s="16">
        <v>1.8</v>
      </c>
      <c r="L126" s="16">
        <v>4.2</v>
      </c>
      <c r="M126" s="16">
        <v>1</v>
      </c>
      <c r="N126" s="92" t="s">
        <v>208</v>
      </c>
      <c r="O126" s="92">
        <f t="shared" si="14"/>
        <v>20.58</v>
      </c>
      <c r="P126" s="18">
        <v>44838</v>
      </c>
      <c r="Q126" s="18">
        <v>44886</v>
      </c>
      <c r="R126" s="19">
        <v>1</v>
      </c>
      <c r="S126" s="19">
        <v>1</v>
      </c>
      <c r="T126" s="19">
        <v>1</v>
      </c>
      <c r="U126" s="20">
        <f>IF(ISBLANK(Table1[[#This Row],[OHC Date]]),$B$7-Table1[[#This Row],[HOC Date]]+1,Table1[[#This Row],[OHC Date]]-Table1[[#This Row],[HOC Date]]+1)/7</f>
        <v>7</v>
      </c>
      <c r="V126" s="21">
        <v>16.760000000000002</v>
      </c>
      <c r="W126" s="21">
        <v>0.77</v>
      </c>
      <c r="X126" s="21">
        <f>ROUND(0.7*Table1[[#This Row],[E&amp;D Rate per unit]]*R126*Table1[[#This Row],[Quantity]],2)</f>
        <v>241.44</v>
      </c>
      <c r="Y126" s="21">
        <f t="shared" si="15"/>
        <v>110.93</v>
      </c>
      <c r="Z126" s="21">
        <f>ROUND(0.3*T126*Table1[[#This Row],[E&amp;D Rate per unit]]*Table1[[#This Row],[Quantity]],2)</f>
        <v>103.48</v>
      </c>
      <c r="AA126" s="112">
        <v>1</v>
      </c>
      <c r="AB126" s="21">
        <f>ROUND(X126+Z126+Y126,2)*Table1[[#This Row],[Until WA Approved Only Approved this %]]</f>
        <v>455.85</v>
      </c>
      <c r="AC126" s="136">
        <v>455.85</v>
      </c>
      <c r="AD126" s="139">
        <f>Table1[[#This Row],[Total Amount]]-Table1[[#This Row],[Previous Amount]]</f>
        <v>0</v>
      </c>
      <c r="AE126" s="137"/>
      <c r="AG126" s="174">
        <v>455.85</v>
      </c>
      <c r="AH126" s="178">
        <f>AG126-Table1[[#This Row],[Total Amount]]</f>
        <v>0</v>
      </c>
      <c r="AI126" s="171">
        <f t="shared" si="11"/>
        <v>0</v>
      </c>
    </row>
    <row r="127" spans="1:35" ht="30" customHeight="1" x14ac:dyDescent="0.3">
      <c r="A127" s="108" t="s">
        <v>91</v>
      </c>
      <c r="B127" s="91" t="s">
        <v>98</v>
      </c>
      <c r="C127" s="16" t="s">
        <v>177</v>
      </c>
      <c r="D127" s="16">
        <v>74604</v>
      </c>
      <c r="E127" s="16"/>
      <c r="F127" s="17" t="s">
        <v>255</v>
      </c>
      <c r="G127" s="17" t="s">
        <v>256</v>
      </c>
      <c r="H127" s="109" t="s">
        <v>120</v>
      </c>
      <c r="I127" s="16">
        <v>1</v>
      </c>
      <c r="J127" s="16">
        <v>15.1</v>
      </c>
      <c r="K127" s="16">
        <v>1.8</v>
      </c>
      <c r="L127" s="16">
        <v>4.2</v>
      </c>
      <c r="M127" s="16">
        <v>1</v>
      </c>
      <c r="N127" s="92" t="s">
        <v>208</v>
      </c>
      <c r="O127" s="92">
        <f t="shared" si="14"/>
        <v>63.42</v>
      </c>
      <c r="P127" s="18">
        <v>44839</v>
      </c>
      <c r="Q127" s="18"/>
      <c r="R127" s="19">
        <v>1</v>
      </c>
      <c r="S127" s="19">
        <v>1</v>
      </c>
      <c r="T127" s="19">
        <v>0</v>
      </c>
      <c r="U127" s="20">
        <f>IF(ISBLANK(Table1[[#This Row],[OHC Date]]),$B$7-Table1[[#This Row],[HOC Date]]+1,Table1[[#This Row],[OHC Date]]-Table1[[#This Row],[HOC Date]]+1)/7</f>
        <v>11.714285714285714</v>
      </c>
      <c r="V127" s="21">
        <v>16.760000000000002</v>
      </c>
      <c r="W127" s="21">
        <v>0.77</v>
      </c>
      <c r="X127" s="21">
        <f>ROUND(0.7*Table1[[#This Row],[E&amp;D Rate per unit]]*R127*Table1[[#This Row],[Quantity]],2)</f>
        <v>744.04</v>
      </c>
      <c r="Y127" s="21">
        <f t="shared" si="15"/>
        <v>572.04999999999995</v>
      </c>
      <c r="Z127" s="21">
        <f>ROUND(0.3*T127*Table1[[#This Row],[E&amp;D Rate per unit]]*Table1[[#This Row],[Quantity]],2)</f>
        <v>0</v>
      </c>
      <c r="AA127" s="112">
        <v>1</v>
      </c>
      <c r="AB127" s="21">
        <f>ROUND(X127+Z127+Y127,2)*Table1[[#This Row],[Until WA Approved Only Approved this %]]</f>
        <v>1316.09</v>
      </c>
      <c r="AC127" s="136">
        <v>1106.8</v>
      </c>
      <c r="AD127" s="139">
        <f>Table1[[#This Row],[Total Amount]]-Table1[[#This Row],[Previous Amount]]</f>
        <v>209.28999999999996</v>
      </c>
      <c r="AE127" s="137"/>
      <c r="AG127" s="174">
        <v>1316.09</v>
      </c>
      <c r="AH127" s="178">
        <f>AG127-Table1[[#This Row],[Total Amount]]</f>
        <v>0</v>
      </c>
      <c r="AI127" s="171">
        <f t="shared" si="11"/>
        <v>0</v>
      </c>
    </row>
    <row r="128" spans="1:35" ht="30" customHeight="1" x14ac:dyDescent="0.3">
      <c r="A128" s="108" t="s">
        <v>91</v>
      </c>
      <c r="B128" s="91" t="s">
        <v>98</v>
      </c>
      <c r="C128" s="16" t="s">
        <v>179</v>
      </c>
      <c r="D128" s="16">
        <v>74605</v>
      </c>
      <c r="E128" s="16">
        <v>80819</v>
      </c>
      <c r="F128" s="17" t="s">
        <v>257</v>
      </c>
      <c r="G128" s="17" t="s">
        <v>256</v>
      </c>
      <c r="H128" s="109" t="s">
        <v>178</v>
      </c>
      <c r="I128" s="16">
        <v>1</v>
      </c>
      <c r="J128" s="16">
        <v>6.8</v>
      </c>
      <c r="K128" s="16">
        <v>1.8</v>
      </c>
      <c r="L128" s="16">
        <v>1</v>
      </c>
      <c r="M128" s="16">
        <v>1</v>
      </c>
      <c r="N128" s="92" t="s">
        <v>162</v>
      </c>
      <c r="O128" s="92">
        <f t="shared" si="14"/>
        <v>12.24</v>
      </c>
      <c r="P128" s="18">
        <v>44839</v>
      </c>
      <c r="Q128" s="18">
        <v>44915</v>
      </c>
      <c r="R128" s="19">
        <v>1</v>
      </c>
      <c r="S128" s="19">
        <v>1</v>
      </c>
      <c r="T128" s="19">
        <v>1</v>
      </c>
      <c r="U128" s="20">
        <f>IF(ISBLANK(Table1[[#This Row],[OHC Date]]),$B$7-Table1[[#This Row],[HOC Date]]+1,Table1[[#This Row],[OHC Date]]-Table1[[#This Row],[HOC Date]]+1)/7</f>
        <v>11</v>
      </c>
      <c r="V128" s="21">
        <v>6.63</v>
      </c>
      <c r="W128" s="21">
        <v>0.7</v>
      </c>
      <c r="X128" s="21">
        <f>ROUND(0.7*Table1[[#This Row],[E&amp;D Rate per unit]]*R128*Table1[[#This Row],[Quantity]],2)</f>
        <v>56.81</v>
      </c>
      <c r="Y128" s="21">
        <f t="shared" si="15"/>
        <v>94.25</v>
      </c>
      <c r="Z128" s="21">
        <f>ROUND(0.3*T128*Table1[[#This Row],[E&amp;D Rate per unit]]*Table1[[#This Row],[Quantity]],2)</f>
        <v>24.35</v>
      </c>
      <c r="AA128" s="112">
        <v>1</v>
      </c>
      <c r="AB128" s="21">
        <f>ROUND(X128+Z128+Y128,2)*Table1[[#This Row],[Until WA Approved Only Approved this %]]</f>
        <v>175.41</v>
      </c>
      <c r="AC128" s="136">
        <v>120.46</v>
      </c>
      <c r="AD128" s="139">
        <f>Table1[[#This Row],[Total Amount]]-Table1[[#This Row],[Previous Amount]]</f>
        <v>54.95</v>
      </c>
      <c r="AE128" s="137"/>
      <c r="AG128" s="174">
        <v>175.41</v>
      </c>
      <c r="AH128" s="178">
        <f>AG128-Table1[[#This Row],[Total Amount]]</f>
        <v>0</v>
      </c>
      <c r="AI128" s="171">
        <f t="shared" si="11"/>
        <v>0</v>
      </c>
    </row>
    <row r="129" spans="1:35" ht="30" customHeight="1" x14ac:dyDescent="0.3">
      <c r="A129" s="108" t="s">
        <v>91</v>
      </c>
      <c r="B129" s="91" t="s">
        <v>98</v>
      </c>
      <c r="C129" s="16" t="s">
        <v>181</v>
      </c>
      <c r="D129" s="16">
        <v>74606</v>
      </c>
      <c r="E129" s="16">
        <v>80818</v>
      </c>
      <c r="F129" s="17" t="s">
        <v>255</v>
      </c>
      <c r="G129" s="17" t="s">
        <v>256</v>
      </c>
      <c r="H129" s="109" t="s">
        <v>129</v>
      </c>
      <c r="I129" s="16">
        <v>1</v>
      </c>
      <c r="J129" s="16">
        <v>1</v>
      </c>
      <c r="K129" s="16">
        <v>0.75</v>
      </c>
      <c r="L129" s="16">
        <v>1</v>
      </c>
      <c r="M129" s="16">
        <v>1</v>
      </c>
      <c r="N129" s="92" t="s">
        <v>162</v>
      </c>
      <c r="O129" s="92">
        <f t="shared" si="14"/>
        <v>0.75</v>
      </c>
      <c r="P129" s="18">
        <v>44839</v>
      </c>
      <c r="Q129" s="18">
        <v>44915</v>
      </c>
      <c r="R129" s="19">
        <v>1</v>
      </c>
      <c r="S129" s="19">
        <v>1</v>
      </c>
      <c r="T129" s="19">
        <v>1</v>
      </c>
      <c r="U129" s="20">
        <f>IF(ISBLANK(Table1[[#This Row],[OHC Date]]),$B$7-Table1[[#This Row],[HOC Date]]+1,Table1[[#This Row],[OHC Date]]-Table1[[#This Row],[HOC Date]]+1)/7</f>
        <v>11</v>
      </c>
      <c r="V129" s="21">
        <v>36.520000000000003</v>
      </c>
      <c r="W129" s="21">
        <v>2.94</v>
      </c>
      <c r="X129" s="21">
        <f>ROUND(0.7*Table1[[#This Row],[E&amp;D Rate per unit]]*R129*Table1[[#This Row],[Quantity]],2)</f>
        <v>19.170000000000002</v>
      </c>
      <c r="Y129" s="21">
        <f t="shared" si="15"/>
        <v>24.26</v>
      </c>
      <c r="Z129" s="21">
        <f>ROUND(0.3*T129*Table1[[#This Row],[E&amp;D Rate per unit]]*Table1[[#This Row],[Quantity]],2)</f>
        <v>8.2200000000000006</v>
      </c>
      <c r="AA129" s="112">
        <v>1</v>
      </c>
      <c r="AB129" s="21">
        <f>ROUND(X129+Z129+Y129,2)*Table1[[#This Row],[Until WA Approved Only Approved this %]]</f>
        <v>51.65</v>
      </c>
      <c r="AC129" s="136">
        <v>35.549999999999997</v>
      </c>
      <c r="AD129" s="139">
        <f>Table1[[#This Row],[Total Amount]]-Table1[[#This Row],[Previous Amount]]</f>
        <v>16.100000000000001</v>
      </c>
      <c r="AE129" s="137"/>
      <c r="AG129" s="174">
        <v>51.65</v>
      </c>
      <c r="AH129" s="178">
        <f>AG129-Table1[[#This Row],[Total Amount]]</f>
        <v>0</v>
      </c>
      <c r="AI129" s="171">
        <f t="shared" si="11"/>
        <v>0</v>
      </c>
    </row>
    <row r="130" spans="1:35" ht="30" customHeight="1" x14ac:dyDescent="0.3">
      <c r="A130" s="108" t="s">
        <v>91</v>
      </c>
      <c r="B130" s="91" t="s">
        <v>98</v>
      </c>
      <c r="C130" s="16">
        <v>3</v>
      </c>
      <c r="D130" s="16">
        <v>74607</v>
      </c>
      <c r="E130" s="16">
        <v>80820</v>
      </c>
      <c r="F130" s="17" t="s">
        <v>255</v>
      </c>
      <c r="G130" s="17" t="s">
        <v>256</v>
      </c>
      <c r="H130" s="109" t="s">
        <v>120</v>
      </c>
      <c r="I130" s="16">
        <v>1</v>
      </c>
      <c r="J130" s="16">
        <v>7.5</v>
      </c>
      <c r="K130" s="16">
        <v>1.8</v>
      </c>
      <c r="L130" s="16">
        <v>4.2</v>
      </c>
      <c r="M130" s="16">
        <v>1</v>
      </c>
      <c r="N130" s="92" t="s">
        <v>208</v>
      </c>
      <c r="O130" s="92">
        <f t="shared" si="14"/>
        <v>31.5</v>
      </c>
      <c r="P130" s="18">
        <v>44839</v>
      </c>
      <c r="Q130" s="18">
        <v>44915</v>
      </c>
      <c r="R130" s="19">
        <v>1</v>
      </c>
      <c r="S130" s="19">
        <v>1</v>
      </c>
      <c r="T130" s="19">
        <v>1</v>
      </c>
      <c r="U130" s="20">
        <f>IF(ISBLANK(Table1[[#This Row],[OHC Date]]),$B$7-Table1[[#This Row],[HOC Date]]+1,Table1[[#This Row],[OHC Date]]-Table1[[#This Row],[HOC Date]]+1)/7</f>
        <v>11</v>
      </c>
      <c r="V130" s="21">
        <v>16.760000000000002</v>
      </c>
      <c r="W130" s="21">
        <v>0.77</v>
      </c>
      <c r="X130" s="21">
        <f>ROUND(0.7*Table1[[#This Row],[E&amp;D Rate per unit]]*R130*Table1[[#This Row],[Quantity]],2)</f>
        <v>369.56</v>
      </c>
      <c r="Y130" s="21">
        <f t="shared" si="15"/>
        <v>266.81</v>
      </c>
      <c r="Z130" s="21">
        <f>ROUND(0.3*T130*Table1[[#This Row],[E&amp;D Rate per unit]]*Table1[[#This Row],[Quantity]],2)</f>
        <v>158.38</v>
      </c>
      <c r="AA130" s="112">
        <v>1</v>
      </c>
      <c r="AB130" s="21">
        <f>ROUND(X130+Z130+Y130,2)*Table1[[#This Row],[Until WA Approved Only Approved this %]]</f>
        <v>794.75</v>
      </c>
      <c r="AC130" s="136">
        <v>549.74</v>
      </c>
      <c r="AD130" s="139">
        <f>Table1[[#This Row],[Total Amount]]-Table1[[#This Row],[Previous Amount]]</f>
        <v>245.01</v>
      </c>
      <c r="AE130" s="137"/>
      <c r="AG130" s="174">
        <v>794.75</v>
      </c>
      <c r="AH130" s="178">
        <f>AG130-Table1[[#This Row],[Total Amount]]</f>
        <v>0</v>
      </c>
      <c r="AI130" s="171">
        <f t="shared" si="11"/>
        <v>0</v>
      </c>
    </row>
    <row r="131" spans="1:35" ht="30" customHeight="1" x14ac:dyDescent="0.3">
      <c r="A131" s="108" t="s">
        <v>91</v>
      </c>
      <c r="B131" s="91" t="s">
        <v>98</v>
      </c>
      <c r="C131" s="16" t="s">
        <v>185</v>
      </c>
      <c r="D131" s="16">
        <v>74608</v>
      </c>
      <c r="E131" s="16">
        <v>80821</v>
      </c>
      <c r="F131" s="17" t="s">
        <v>255</v>
      </c>
      <c r="G131" s="17" t="s">
        <v>256</v>
      </c>
      <c r="H131" s="109" t="s">
        <v>128</v>
      </c>
      <c r="I131" s="16">
        <v>1</v>
      </c>
      <c r="J131" s="16">
        <v>5</v>
      </c>
      <c r="K131" s="16">
        <v>0.25</v>
      </c>
      <c r="L131" s="16">
        <v>1</v>
      </c>
      <c r="M131" s="16">
        <v>1</v>
      </c>
      <c r="N131" s="92" t="s">
        <v>162</v>
      </c>
      <c r="O131" s="92">
        <f t="shared" si="14"/>
        <v>1.25</v>
      </c>
      <c r="P131" s="18">
        <v>44839</v>
      </c>
      <c r="Q131" s="18">
        <v>44915</v>
      </c>
      <c r="R131" s="19">
        <v>1</v>
      </c>
      <c r="S131" s="19">
        <v>1</v>
      </c>
      <c r="T131" s="19">
        <v>1</v>
      </c>
      <c r="U131" s="20">
        <f>IF(ISBLANK(Table1[[#This Row],[OHC Date]]),$B$7-Table1[[#This Row],[HOC Date]]+1,Table1[[#This Row],[OHC Date]]-Table1[[#This Row],[HOC Date]]+1)/7</f>
        <v>11</v>
      </c>
      <c r="V131" s="21">
        <v>32.75</v>
      </c>
      <c r="W131" s="21">
        <v>1.05</v>
      </c>
      <c r="X131" s="21">
        <f>ROUND(0.7*Table1[[#This Row],[E&amp;D Rate per unit]]*R131*Table1[[#This Row],[Quantity]],2)</f>
        <v>28.66</v>
      </c>
      <c r="Y131" s="21">
        <f t="shared" si="15"/>
        <v>14.44</v>
      </c>
      <c r="Z131" s="21">
        <f>ROUND(0.3*T131*Table1[[#This Row],[E&amp;D Rate per unit]]*Table1[[#This Row],[Quantity]],2)</f>
        <v>12.28</v>
      </c>
      <c r="AA131" s="112">
        <v>1</v>
      </c>
      <c r="AB131" s="21">
        <f>ROUND(X131+Z131+Y131,2)*Table1[[#This Row],[Until WA Approved Only Approved this %]]</f>
        <v>55.38</v>
      </c>
      <c r="AC131" s="136">
        <v>38.409999999999997</v>
      </c>
      <c r="AD131" s="139">
        <f>Table1[[#This Row],[Total Amount]]-Table1[[#This Row],[Previous Amount]]</f>
        <v>16.970000000000006</v>
      </c>
      <c r="AE131" s="137"/>
      <c r="AG131" s="174">
        <v>55.38</v>
      </c>
      <c r="AH131" s="178">
        <f>AG131-Table1[[#This Row],[Total Amount]]</f>
        <v>0</v>
      </c>
      <c r="AI131" s="171">
        <f t="shared" si="11"/>
        <v>0</v>
      </c>
    </row>
    <row r="132" spans="1:35" ht="30" customHeight="1" x14ac:dyDescent="0.3">
      <c r="A132" s="108" t="s">
        <v>91</v>
      </c>
      <c r="B132" s="91" t="s">
        <v>98</v>
      </c>
      <c r="C132" s="16">
        <v>4</v>
      </c>
      <c r="D132" s="16">
        <v>74609</v>
      </c>
      <c r="E132" s="16">
        <v>76802</v>
      </c>
      <c r="F132" s="17" t="s">
        <v>258</v>
      </c>
      <c r="G132" s="17" t="s">
        <v>228</v>
      </c>
      <c r="H132" s="109" t="s">
        <v>207</v>
      </c>
      <c r="I132" s="16">
        <v>1</v>
      </c>
      <c r="J132" s="16">
        <v>9.3000000000000007</v>
      </c>
      <c r="K132" s="16">
        <v>1.3</v>
      </c>
      <c r="L132" s="16">
        <v>5.9</v>
      </c>
      <c r="M132" s="16">
        <v>1</v>
      </c>
      <c r="N132" s="92" t="s">
        <v>208</v>
      </c>
      <c r="O132" s="92">
        <f t="shared" ref="O132:O150" si="18">ROUND(IF(N132="m3",I132*J132*K132*L132,IF(N132="m2-LxH",I132*J132*L132,IF(N132="m2-LxW",I132*J132*K132,IF(N132="rm",I132*L132,IF(N132="lm",I132*J132,IF(N132="unit",I132,"NA")))))),2)</f>
        <v>54.87</v>
      </c>
      <c r="P132" s="18">
        <v>44841</v>
      </c>
      <c r="Q132" s="18">
        <v>44846</v>
      </c>
      <c r="R132" s="19">
        <v>1</v>
      </c>
      <c r="S132" s="19">
        <v>1</v>
      </c>
      <c r="T132" s="19">
        <v>1</v>
      </c>
      <c r="U132" s="20">
        <f>IF(ISBLANK(Table1[[#This Row],[OHC Date]]),$B$7-Table1[[#This Row],[HOC Date]]+1,Table1[[#This Row],[OHC Date]]-Table1[[#This Row],[HOC Date]]+1)/7</f>
        <v>0.8571428571428571</v>
      </c>
      <c r="V132" s="21">
        <v>12.01</v>
      </c>
      <c r="W132" s="21">
        <v>0.49</v>
      </c>
      <c r="X132" s="21">
        <f>ROUND(0.7*Table1[[#This Row],[E&amp;D Rate per unit]]*R132*Table1[[#This Row],[Quantity]],2)</f>
        <v>461.29</v>
      </c>
      <c r="Y132" s="21">
        <f t="shared" ref="Y132:Y150" si="19">ROUND(O132*U132*W132*S132,2)</f>
        <v>23.05</v>
      </c>
      <c r="Z132" s="21">
        <f>ROUND(0.3*T132*Table1[[#This Row],[E&amp;D Rate per unit]]*Table1[[#This Row],[Quantity]],2)</f>
        <v>197.7</v>
      </c>
      <c r="AA132" s="112">
        <v>1</v>
      </c>
      <c r="AB132" s="21">
        <f>ROUND(X132+Z132+Y132,2)*Table1[[#This Row],[Until WA Approved Only Approved this %]]</f>
        <v>682.04</v>
      </c>
      <c r="AC132" s="136">
        <v>682.04</v>
      </c>
      <c r="AD132" s="139">
        <f>Table1[[#This Row],[Total Amount]]-Table1[[#This Row],[Previous Amount]]</f>
        <v>0</v>
      </c>
      <c r="AE132" s="137"/>
      <c r="AG132" s="174">
        <v>682.04</v>
      </c>
      <c r="AH132" s="178">
        <f>AG132-Table1[[#This Row],[Total Amount]]</f>
        <v>0</v>
      </c>
      <c r="AI132" s="171">
        <f t="shared" si="11"/>
        <v>0</v>
      </c>
    </row>
    <row r="133" spans="1:35" ht="30" customHeight="1" x14ac:dyDescent="0.3">
      <c r="A133" s="108" t="s">
        <v>91</v>
      </c>
      <c r="B133" s="91" t="s">
        <v>98</v>
      </c>
      <c r="C133" s="16" t="s">
        <v>259</v>
      </c>
      <c r="D133" s="16">
        <v>74610</v>
      </c>
      <c r="E133" s="16">
        <v>76803</v>
      </c>
      <c r="F133" s="17" t="s">
        <v>258</v>
      </c>
      <c r="G133" s="17" t="s">
        <v>228</v>
      </c>
      <c r="H133" s="109" t="s">
        <v>128</v>
      </c>
      <c r="I133" s="16">
        <v>1</v>
      </c>
      <c r="J133" s="16">
        <v>9.8000000000000007</v>
      </c>
      <c r="K133" s="16">
        <v>0.5</v>
      </c>
      <c r="L133" s="16">
        <v>1</v>
      </c>
      <c r="M133" s="16">
        <v>1</v>
      </c>
      <c r="N133" s="92" t="s">
        <v>162</v>
      </c>
      <c r="O133" s="92">
        <f t="shared" si="18"/>
        <v>4.9000000000000004</v>
      </c>
      <c r="P133" s="18">
        <v>44841</v>
      </c>
      <c r="Q133" s="18">
        <v>44846</v>
      </c>
      <c r="R133" s="19">
        <v>1</v>
      </c>
      <c r="S133" s="19">
        <v>1</v>
      </c>
      <c r="T133" s="19">
        <v>1</v>
      </c>
      <c r="U133" s="20">
        <f>IF(ISBLANK(Table1[[#This Row],[OHC Date]]),$B$7-Table1[[#This Row],[HOC Date]]+1,Table1[[#This Row],[OHC Date]]-Table1[[#This Row],[HOC Date]]+1)/7</f>
        <v>0.8571428571428571</v>
      </c>
      <c r="V133" s="21">
        <v>32.75</v>
      </c>
      <c r="W133" s="21">
        <v>1.05</v>
      </c>
      <c r="X133" s="21">
        <f>ROUND(0.7*Table1[[#This Row],[E&amp;D Rate per unit]]*R133*Table1[[#This Row],[Quantity]],2)</f>
        <v>112.33</v>
      </c>
      <c r="Y133" s="21">
        <f t="shared" si="19"/>
        <v>4.41</v>
      </c>
      <c r="Z133" s="21">
        <f>ROUND(0.3*T133*Table1[[#This Row],[E&amp;D Rate per unit]]*Table1[[#This Row],[Quantity]],2)</f>
        <v>48.14</v>
      </c>
      <c r="AA133" s="112">
        <v>1</v>
      </c>
      <c r="AB133" s="21">
        <f>ROUND(X133+Z133+Y133,2)*Table1[[#This Row],[Until WA Approved Only Approved this %]]</f>
        <v>164.88</v>
      </c>
      <c r="AC133" s="136">
        <v>164.88</v>
      </c>
      <c r="AD133" s="139">
        <f>Table1[[#This Row],[Total Amount]]-Table1[[#This Row],[Previous Amount]]</f>
        <v>0</v>
      </c>
      <c r="AE133" s="137"/>
      <c r="AG133" s="174">
        <v>164.88</v>
      </c>
      <c r="AH133" s="178">
        <f>AG133-Table1[[#This Row],[Total Amount]]</f>
        <v>0</v>
      </c>
      <c r="AI133" s="171">
        <f t="shared" si="11"/>
        <v>0</v>
      </c>
    </row>
    <row r="134" spans="1:35" ht="30" customHeight="1" x14ac:dyDescent="0.3">
      <c r="A134" s="141" t="s">
        <v>260</v>
      </c>
      <c r="B134" s="91" t="s">
        <v>98</v>
      </c>
      <c r="C134" s="16">
        <v>5</v>
      </c>
      <c r="D134" s="16">
        <v>74611</v>
      </c>
      <c r="E134" s="16">
        <v>76801</v>
      </c>
      <c r="F134" s="17" t="s">
        <v>262</v>
      </c>
      <c r="G134" s="17" t="s">
        <v>263</v>
      </c>
      <c r="H134" s="109" t="s">
        <v>264</v>
      </c>
      <c r="I134" s="16">
        <v>1</v>
      </c>
      <c r="J134" s="16">
        <v>4</v>
      </c>
      <c r="K134" s="16">
        <v>2.5</v>
      </c>
      <c r="L134" s="16">
        <v>2</v>
      </c>
      <c r="M134" s="16">
        <v>1</v>
      </c>
      <c r="N134" s="92" t="s">
        <v>56</v>
      </c>
      <c r="O134" s="92">
        <f t="shared" si="18"/>
        <v>1</v>
      </c>
      <c r="P134" s="18">
        <v>44841</v>
      </c>
      <c r="Q134" s="18">
        <v>44844</v>
      </c>
      <c r="R134" s="19">
        <v>1</v>
      </c>
      <c r="S134" s="19">
        <v>1</v>
      </c>
      <c r="T134" s="19">
        <v>1</v>
      </c>
      <c r="U134" s="20">
        <f>IF(ISBLANK(Table1[[#This Row],[OHC Date]]),$B$7-Table1[[#This Row],[HOC Date]]+1,Table1[[#This Row],[OHC Date]]-Table1[[#This Row],[HOC Date]]+1)/7</f>
        <v>0.5714285714285714</v>
      </c>
      <c r="V134" s="21">
        <v>4033.1</v>
      </c>
      <c r="W134" s="21">
        <v>49.28</v>
      </c>
      <c r="X134" s="21">
        <f>ROUND(0.7*Table1[[#This Row],[E&amp;D Rate per unit]]*R134*Table1[[#This Row],[Quantity]],2)</f>
        <v>2823.17</v>
      </c>
      <c r="Y134" s="21">
        <f t="shared" si="19"/>
        <v>28.16</v>
      </c>
      <c r="Z134" s="21">
        <f>ROUND(0.3*T134*Table1[[#This Row],[E&amp;D Rate per unit]]*Table1[[#This Row],[Quantity]],2)</f>
        <v>1209.93</v>
      </c>
      <c r="AA134" s="19">
        <v>1</v>
      </c>
      <c r="AB134" s="21">
        <f>ROUND(X134+Z134+Y134,2)*Table1[[#This Row],[Until WA Approved Only Approved this %]]</f>
        <v>4061.26</v>
      </c>
      <c r="AC134" s="139">
        <v>4061.26</v>
      </c>
      <c r="AD134" s="139">
        <f>Table1[[#This Row],[Total Amount]]-Table1[[#This Row],[Previous Amount]]</f>
        <v>0</v>
      </c>
      <c r="AE134" s="137" t="s">
        <v>265</v>
      </c>
      <c r="AG134" s="174">
        <v>4061.26</v>
      </c>
      <c r="AH134" s="178">
        <f>AG134-Table1[[#This Row],[Total Amount]]</f>
        <v>0</v>
      </c>
      <c r="AI134" s="171">
        <f t="shared" si="11"/>
        <v>0</v>
      </c>
    </row>
    <row r="135" spans="1:35" ht="30" customHeight="1" x14ac:dyDescent="0.3">
      <c r="A135" s="141" t="s">
        <v>260</v>
      </c>
      <c r="B135" s="91" t="s">
        <v>98</v>
      </c>
      <c r="C135" s="16">
        <v>6</v>
      </c>
      <c r="D135" s="16">
        <v>74612</v>
      </c>
      <c r="E135" s="16">
        <v>76804</v>
      </c>
      <c r="F135" s="17" t="s">
        <v>266</v>
      </c>
      <c r="G135" s="17" t="s">
        <v>263</v>
      </c>
      <c r="H135" s="109" t="s">
        <v>264</v>
      </c>
      <c r="I135" s="16">
        <v>1</v>
      </c>
      <c r="J135" s="16">
        <v>4</v>
      </c>
      <c r="K135" s="16">
        <v>2.5</v>
      </c>
      <c r="L135" s="16">
        <v>2</v>
      </c>
      <c r="M135" s="16">
        <v>1</v>
      </c>
      <c r="N135" s="92" t="s">
        <v>56</v>
      </c>
      <c r="O135" s="92">
        <f t="shared" si="18"/>
        <v>1</v>
      </c>
      <c r="P135" s="18">
        <v>44844</v>
      </c>
      <c r="Q135" s="18">
        <v>44860</v>
      </c>
      <c r="R135" s="19">
        <v>1</v>
      </c>
      <c r="S135" s="19">
        <v>1</v>
      </c>
      <c r="T135" s="19">
        <v>1</v>
      </c>
      <c r="U135" s="20">
        <f>IF(ISBLANK(Table1[[#This Row],[OHC Date]]),$B$7-Table1[[#This Row],[HOC Date]]+1,Table1[[#This Row],[OHC Date]]-Table1[[#This Row],[HOC Date]]+1)/7</f>
        <v>2.4285714285714284</v>
      </c>
      <c r="V135" s="21">
        <v>4033.1</v>
      </c>
      <c r="W135" s="21">
        <v>49.28</v>
      </c>
      <c r="X135" s="21">
        <f>ROUND(0.7*Table1[[#This Row],[E&amp;D Rate per unit]]*R135*Table1[[#This Row],[Quantity]],2)</f>
        <v>2823.17</v>
      </c>
      <c r="Y135" s="21">
        <f t="shared" si="19"/>
        <v>119.68</v>
      </c>
      <c r="Z135" s="21">
        <f>ROUND(0.3*T135*Table1[[#This Row],[E&amp;D Rate per unit]]*Table1[[#This Row],[Quantity]],2)</f>
        <v>1209.93</v>
      </c>
      <c r="AA135" s="19">
        <v>1</v>
      </c>
      <c r="AB135" s="21">
        <f>ROUND(X135+Z135+Y135,2)*Table1[[#This Row],[Until WA Approved Only Approved this %]]</f>
        <v>4152.78</v>
      </c>
      <c r="AC135" s="139">
        <v>4152.78</v>
      </c>
      <c r="AD135" s="139">
        <f>Table1[[#This Row],[Total Amount]]-Table1[[#This Row],[Previous Amount]]</f>
        <v>0</v>
      </c>
      <c r="AE135" s="137" t="s">
        <v>265</v>
      </c>
      <c r="AG135" s="174">
        <v>4152.78</v>
      </c>
      <c r="AH135" s="178">
        <f>AG135-Table1[[#This Row],[Total Amount]]</f>
        <v>0</v>
      </c>
      <c r="AI135" s="171">
        <f t="shared" si="11"/>
        <v>0</v>
      </c>
    </row>
    <row r="136" spans="1:35" ht="30" customHeight="1" x14ac:dyDescent="0.3">
      <c r="A136" s="108" t="s">
        <v>91</v>
      </c>
      <c r="B136" s="91" t="s">
        <v>98</v>
      </c>
      <c r="C136" s="16">
        <v>7</v>
      </c>
      <c r="D136" s="16">
        <v>74613</v>
      </c>
      <c r="E136" s="16">
        <v>76807</v>
      </c>
      <c r="F136" s="17" t="s">
        <v>267</v>
      </c>
      <c r="G136" s="17" t="s">
        <v>228</v>
      </c>
      <c r="H136" s="109" t="s">
        <v>222</v>
      </c>
      <c r="I136" s="16">
        <v>1</v>
      </c>
      <c r="J136" s="16">
        <v>1.8</v>
      </c>
      <c r="K136" s="16">
        <v>1.3</v>
      </c>
      <c r="L136" s="16">
        <v>2.5</v>
      </c>
      <c r="M136" s="16">
        <v>1</v>
      </c>
      <c r="N136" s="92" t="s">
        <v>223</v>
      </c>
      <c r="O136" s="92">
        <f t="shared" si="18"/>
        <v>2.5</v>
      </c>
      <c r="P136" s="18">
        <v>44846</v>
      </c>
      <c r="Q136" s="18">
        <v>44868</v>
      </c>
      <c r="R136" s="19">
        <v>1</v>
      </c>
      <c r="S136" s="19">
        <v>1</v>
      </c>
      <c r="T136" s="19">
        <v>1</v>
      </c>
      <c r="U136" s="20">
        <f>IF(ISBLANK(Table1[[#This Row],[OHC Date]]),$B$7-Table1[[#This Row],[HOC Date]]+1,Table1[[#This Row],[OHC Date]]-Table1[[#This Row],[HOC Date]]+1)/7</f>
        <v>3.2857142857142856</v>
      </c>
      <c r="V136" s="21">
        <v>63.34</v>
      </c>
      <c r="W136" s="21">
        <v>7.28</v>
      </c>
      <c r="X136" s="21">
        <f>ROUND(0.7*Table1[[#This Row],[E&amp;D Rate per unit]]*R136*Table1[[#This Row],[Quantity]],2)</f>
        <v>110.85</v>
      </c>
      <c r="Y136" s="21">
        <f t="shared" si="19"/>
        <v>59.8</v>
      </c>
      <c r="Z136" s="21">
        <f>ROUND(0.3*T136*Table1[[#This Row],[E&amp;D Rate per unit]]*Table1[[#This Row],[Quantity]],2)</f>
        <v>47.51</v>
      </c>
      <c r="AA136" s="112">
        <v>1</v>
      </c>
      <c r="AB136" s="21">
        <f>ROUND(X136+Z136+Y136,2)*Table1[[#This Row],[Until WA Approved Only Approved this %]]</f>
        <v>218.16</v>
      </c>
      <c r="AC136" s="139">
        <v>218.16</v>
      </c>
      <c r="AD136" s="139">
        <f>Table1[[#This Row],[Total Amount]]-Table1[[#This Row],[Previous Amount]]</f>
        <v>0</v>
      </c>
      <c r="AE136" s="137"/>
      <c r="AG136" s="174">
        <v>218.16</v>
      </c>
      <c r="AH136" s="178">
        <f>AG136-Table1[[#This Row],[Total Amount]]</f>
        <v>0</v>
      </c>
      <c r="AI136" s="171">
        <f t="shared" si="11"/>
        <v>0</v>
      </c>
    </row>
    <row r="137" spans="1:35" ht="30" customHeight="1" x14ac:dyDescent="0.3">
      <c r="A137" s="108" t="s">
        <v>91</v>
      </c>
      <c r="B137" s="91" t="s">
        <v>98</v>
      </c>
      <c r="C137" s="16" t="s">
        <v>183</v>
      </c>
      <c r="D137" s="16">
        <v>74614</v>
      </c>
      <c r="E137" s="16">
        <v>80822</v>
      </c>
      <c r="F137" s="17" t="s">
        <v>268</v>
      </c>
      <c r="G137" s="17" t="s">
        <v>256</v>
      </c>
      <c r="H137" s="109" t="s">
        <v>178</v>
      </c>
      <c r="I137" s="16">
        <v>1</v>
      </c>
      <c r="J137" s="16">
        <v>4.3</v>
      </c>
      <c r="K137" s="16">
        <v>1.5</v>
      </c>
      <c r="L137" s="16">
        <v>1</v>
      </c>
      <c r="M137" s="16">
        <v>1</v>
      </c>
      <c r="N137" s="92" t="s">
        <v>162</v>
      </c>
      <c r="O137" s="92">
        <f t="shared" si="18"/>
        <v>6.45</v>
      </c>
      <c r="P137" s="18">
        <v>44846</v>
      </c>
      <c r="Q137" s="18">
        <v>44915</v>
      </c>
      <c r="R137" s="19">
        <v>1</v>
      </c>
      <c r="S137" s="19">
        <v>1</v>
      </c>
      <c r="T137" s="19">
        <v>1</v>
      </c>
      <c r="U137" s="20">
        <f>IF(ISBLANK(Table1[[#This Row],[OHC Date]]),$B$7-Table1[[#This Row],[HOC Date]]+1,Table1[[#This Row],[OHC Date]]-Table1[[#This Row],[HOC Date]]+1)/7</f>
        <v>10</v>
      </c>
      <c r="V137" s="21">
        <v>6.63</v>
      </c>
      <c r="W137" s="21">
        <v>0.7</v>
      </c>
      <c r="X137" s="21">
        <f>ROUND(0.7*Table1[[#This Row],[E&amp;D Rate per unit]]*R137*Table1[[#This Row],[Quantity]],2)</f>
        <v>29.93</v>
      </c>
      <c r="Y137" s="21">
        <f t="shared" si="19"/>
        <v>45.15</v>
      </c>
      <c r="Z137" s="21">
        <f>ROUND(0.3*T137*Table1[[#This Row],[E&amp;D Rate per unit]]*Table1[[#This Row],[Quantity]],2)</f>
        <v>12.83</v>
      </c>
      <c r="AA137" s="112">
        <v>1</v>
      </c>
      <c r="AB137" s="21">
        <f>ROUND(X137+Z137+Y137,2)*Table1[[#This Row],[Until WA Approved Only Approved this %]]</f>
        <v>87.91</v>
      </c>
      <c r="AC137" s="139">
        <v>58.96</v>
      </c>
      <c r="AD137" s="139">
        <f>Table1[[#This Row],[Total Amount]]-Table1[[#This Row],[Previous Amount]]</f>
        <v>28.949999999999996</v>
      </c>
      <c r="AE137" s="137"/>
      <c r="AG137" s="174">
        <v>87.91</v>
      </c>
      <c r="AH137" s="178">
        <f>AG137-Table1[[#This Row],[Total Amount]]</f>
        <v>0</v>
      </c>
      <c r="AI137" s="171">
        <f t="shared" si="11"/>
        <v>0</v>
      </c>
    </row>
    <row r="138" spans="1:35" ht="30" customHeight="1" x14ac:dyDescent="0.3">
      <c r="A138" s="108" t="s">
        <v>91</v>
      </c>
      <c r="B138" s="91" t="s">
        <v>98</v>
      </c>
      <c r="C138" s="16" t="s">
        <v>187</v>
      </c>
      <c r="D138" s="16">
        <v>74615</v>
      </c>
      <c r="E138" s="16">
        <v>80823</v>
      </c>
      <c r="F138" s="17" t="s">
        <v>268</v>
      </c>
      <c r="G138" s="17" t="s">
        <v>256</v>
      </c>
      <c r="H138" s="109" t="s">
        <v>120</v>
      </c>
      <c r="I138" s="16">
        <v>1</v>
      </c>
      <c r="J138" s="16">
        <v>3</v>
      </c>
      <c r="K138" s="16">
        <v>1.8</v>
      </c>
      <c r="L138" s="16">
        <v>4.2</v>
      </c>
      <c r="M138" s="16">
        <v>1</v>
      </c>
      <c r="N138" s="92" t="s">
        <v>208</v>
      </c>
      <c r="O138" s="92">
        <f t="shared" si="18"/>
        <v>12.6</v>
      </c>
      <c r="P138" s="18">
        <v>44846</v>
      </c>
      <c r="Q138" s="18">
        <v>44915</v>
      </c>
      <c r="R138" s="19">
        <v>1</v>
      </c>
      <c r="S138" s="19">
        <v>1</v>
      </c>
      <c r="T138" s="19">
        <v>1</v>
      </c>
      <c r="U138" s="20">
        <f>IF(ISBLANK(Table1[[#This Row],[OHC Date]]),$B$7-Table1[[#This Row],[HOC Date]]+1,Table1[[#This Row],[OHC Date]]-Table1[[#This Row],[HOC Date]]+1)/7</f>
        <v>10</v>
      </c>
      <c r="V138" s="21">
        <v>16.760000000000002</v>
      </c>
      <c r="W138" s="21">
        <v>0.77</v>
      </c>
      <c r="X138" s="21">
        <f>ROUND(0.7*Table1[[#This Row],[E&amp;D Rate per unit]]*R138*Table1[[#This Row],[Quantity]],2)</f>
        <v>147.82</v>
      </c>
      <c r="Y138" s="21">
        <f t="shared" si="19"/>
        <v>97.02</v>
      </c>
      <c r="Z138" s="21">
        <f>ROUND(0.3*T138*Table1[[#This Row],[E&amp;D Rate per unit]]*Table1[[#This Row],[Quantity]],2)</f>
        <v>63.35</v>
      </c>
      <c r="AA138" s="112">
        <v>1</v>
      </c>
      <c r="AB138" s="21">
        <f>ROUND(X138+Z138+Y138,2)*Table1[[#This Row],[Until WA Approved Only Approved this %]]</f>
        <v>308.19</v>
      </c>
      <c r="AC138" s="139">
        <v>210.19</v>
      </c>
      <c r="AD138" s="139">
        <f>Table1[[#This Row],[Total Amount]]-Table1[[#This Row],[Previous Amount]]</f>
        <v>98</v>
      </c>
      <c r="AE138" s="137"/>
      <c r="AG138" s="174">
        <v>308.19</v>
      </c>
      <c r="AH138" s="178">
        <f>AG138-Table1[[#This Row],[Total Amount]]</f>
        <v>0</v>
      </c>
      <c r="AI138" s="171">
        <f t="shared" si="11"/>
        <v>0</v>
      </c>
    </row>
    <row r="139" spans="1:35" ht="30" customHeight="1" x14ac:dyDescent="0.3">
      <c r="A139" s="108" t="s">
        <v>91</v>
      </c>
      <c r="B139" s="91" t="s">
        <v>98</v>
      </c>
      <c r="C139" s="16" t="s">
        <v>269</v>
      </c>
      <c r="D139" s="16">
        <v>74616</v>
      </c>
      <c r="E139" s="16">
        <v>80824</v>
      </c>
      <c r="F139" s="17" t="s">
        <v>268</v>
      </c>
      <c r="G139" s="17" t="s">
        <v>256</v>
      </c>
      <c r="H139" s="109" t="s">
        <v>207</v>
      </c>
      <c r="I139" s="16">
        <v>1</v>
      </c>
      <c r="J139" s="16">
        <v>5</v>
      </c>
      <c r="K139" s="16">
        <v>1.3</v>
      </c>
      <c r="L139" s="16">
        <v>4.2</v>
      </c>
      <c r="M139" s="16">
        <v>1</v>
      </c>
      <c r="N139" s="92" t="s">
        <v>208</v>
      </c>
      <c r="O139" s="92">
        <f t="shared" si="18"/>
        <v>21</v>
      </c>
      <c r="P139" s="18">
        <v>44846</v>
      </c>
      <c r="Q139" s="18">
        <v>44915</v>
      </c>
      <c r="R139" s="19">
        <v>1</v>
      </c>
      <c r="S139" s="19">
        <v>1</v>
      </c>
      <c r="T139" s="19">
        <v>1</v>
      </c>
      <c r="U139" s="20">
        <f>IF(ISBLANK(Table1[[#This Row],[OHC Date]]),$B$7-Table1[[#This Row],[HOC Date]]+1,Table1[[#This Row],[OHC Date]]-Table1[[#This Row],[HOC Date]]+1)/7</f>
        <v>10</v>
      </c>
      <c r="V139" s="21">
        <v>12.01</v>
      </c>
      <c r="W139" s="21">
        <v>0.49</v>
      </c>
      <c r="X139" s="21">
        <f>ROUND(0.7*Table1[[#This Row],[E&amp;D Rate per unit]]*R139*Table1[[#This Row],[Quantity]],2)</f>
        <v>176.55</v>
      </c>
      <c r="Y139" s="21">
        <f t="shared" si="19"/>
        <v>102.9</v>
      </c>
      <c r="Z139" s="21">
        <f>ROUND(0.3*T139*Table1[[#This Row],[E&amp;D Rate per unit]]*Table1[[#This Row],[Quantity]],2)</f>
        <v>75.66</v>
      </c>
      <c r="AA139" s="112">
        <v>1</v>
      </c>
      <c r="AB139" s="21">
        <f>ROUND(X139+Z139+Y139,2)*Table1[[#This Row],[Until WA Approved Only Approved this %]]</f>
        <v>355.11</v>
      </c>
      <c r="AC139" s="139">
        <v>242.7</v>
      </c>
      <c r="AD139" s="139">
        <f>Table1[[#This Row],[Total Amount]]-Table1[[#This Row],[Previous Amount]]</f>
        <v>112.41000000000003</v>
      </c>
      <c r="AE139" s="137"/>
      <c r="AG139" s="174">
        <v>355.11</v>
      </c>
      <c r="AH139" s="178">
        <f>AG139-Table1[[#This Row],[Total Amount]]</f>
        <v>0</v>
      </c>
      <c r="AI139" s="171">
        <f t="shared" ref="AI139:AI202" si="20">AH139/AG139</f>
        <v>0</v>
      </c>
    </row>
    <row r="140" spans="1:35" ht="30" customHeight="1" x14ac:dyDescent="0.3">
      <c r="A140" s="108" t="s">
        <v>91</v>
      </c>
      <c r="B140" s="91" t="s">
        <v>98</v>
      </c>
      <c r="C140" s="16">
        <v>8</v>
      </c>
      <c r="D140" s="16">
        <v>74617</v>
      </c>
      <c r="E140" s="16">
        <v>80813</v>
      </c>
      <c r="F140" s="17" t="s">
        <v>268</v>
      </c>
      <c r="G140" s="17" t="s">
        <v>256</v>
      </c>
      <c r="H140" s="109" t="s">
        <v>120</v>
      </c>
      <c r="I140" s="16">
        <v>1</v>
      </c>
      <c r="J140" s="16">
        <v>10.8</v>
      </c>
      <c r="K140" s="16">
        <v>1.8</v>
      </c>
      <c r="L140" s="16">
        <v>3.8</v>
      </c>
      <c r="M140" s="16">
        <v>1</v>
      </c>
      <c r="N140" s="92" t="s">
        <v>208</v>
      </c>
      <c r="O140" s="92">
        <f t="shared" si="18"/>
        <v>41.04</v>
      </c>
      <c r="P140" s="18">
        <v>44847</v>
      </c>
      <c r="Q140" s="18">
        <v>44915</v>
      </c>
      <c r="R140" s="19">
        <v>1</v>
      </c>
      <c r="S140" s="19">
        <v>1</v>
      </c>
      <c r="T140" s="19">
        <v>1</v>
      </c>
      <c r="U140" s="20">
        <f>IF(ISBLANK(Table1[[#This Row],[OHC Date]]),$B$7-Table1[[#This Row],[HOC Date]]+1,Table1[[#This Row],[OHC Date]]-Table1[[#This Row],[HOC Date]]+1)/7</f>
        <v>9.8571428571428577</v>
      </c>
      <c r="V140" s="21">
        <v>16.760000000000002</v>
      </c>
      <c r="W140" s="21">
        <v>0.77</v>
      </c>
      <c r="X140" s="21">
        <f>ROUND(0.7*Table1[[#This Row],[E&amp;D Rate per unit]]*R140*Table1[[#This Row],[Quantity]],2)</f>
        <v>481.48</v>
      </c>
      <c r="Y140" s="21">
        <f t="shared" si="19"/>
        <v>311.49</v>
      </c>
      <c r="Z140" s="21">
        <f>ROUND(0.3*T140*Table1[[#This Row],[E&amp;D Rate per unit]]*Table1[[#This Row],[Quantity]],2)</f>
        <v>206.35</v>
      </c>
      <c r="AA140" s="112">
        <v>1</v>
      </c>
      <c r="AB140" s="21">
        <f>ROUND(X140+Z140+Y140,2)*Table1[[#This Row],[Until WA Approved Only Approved this %]]</f>
        <v>999.32</v>
      </c>
      <c r="AC140" s="139">
        <v>680.11</v>
      </c>
      <c r="AD140" s="139">
        <f>Table1[[#This Row],[Total Amount]]-Table1[[#This Row],[Previous Amount]]</f>
        <v>319.21000000000004</v>
      </c>
      <c r="AE140" s="137"/>
      <c r="AG140" s="174">
        <v>999.32</v>
      </c>
      <c r="AH140" s="178">
        <f>AG140-Table1[[#This Row],[Total Amount]]</f>
        <v>0</v>
      </c>
      <c r="AI140" s="171">
        <f t="shared" si="20"/>
        <v>0</v>
      </c>
    </row>
    <row r="141" spans="1:35" ht="30" customHeight="1" x14ac:dyDescent="0.3">
      <c r="A141" s="108" t="s">
        <v>91</v>
      </c>
      <c r="B141" s="91" t="s">
        <v>98</v>
      </c>
      <c r="C141" s="16" t="s">
        <v>270</v>
      </c>
      <c r="D141" s="16">
        <v>74618</v>
      </c>
      <c r="E141" s="16">
        <v>80814</v>
      </c>
      <c r="F141" s="17" t="s">
        <v>268</v>
      </c>
      <c r="G141" s="17" t="s">
        <v>256</v>
      </c>
      <c r="H141" s="109" t="s">
        <v>128</v>
      </c>
      <c r="I141" s="16">
        <v>1</v>
      </c>
      <c r="J141" s="16">
        <v>10.8</v>
      </c>
      <c r="K141" s="16">
        <v>0.5</v>
      </c>
      <c r="L141" s="16">
        <v>1</v>
      </c>
      <c r="M141" s="16">
        <v>1</v>
      </c>
      <c r="N141" s="92" t="s">
        <v>162</v>
      </c>
      <c r="O141" s="92">
        <f t="shared" si="18"/>
        <v>5.4</v>
      </c>
      <c r="P141" s="18">
        <v>44847</v>
      </c>
      <c r="Q141" s="18">
        <v>44915</v>
      </c>
      <c r="R141" s="19">
        <v>1</v>
      </c>
      <c r="S141" s="19">
        <v>1</v>
      </c>
      <c r="T141" s="19">
        <v>1</v>
      </c>
      <c r="U141" s="20">
        <f>IF(ISBLANK(Table1[[#This Row],[OHC Date]]),$B$7-Table1[[#This Row],[HOC Date]]+1,Table1[[#This Row],[OHC Date]]-Table1[[#This Row],[HOC Date]]+1)/7</f>
        <v>9.8571428571428577</v>
      </c>
      <c r="V141" s="21">
        <v>32.75</v>
      </c>
      <c r="W141" s="21">
        <v>1.05</v>
      </c>
      <c r="X141" s="21">
        <f>ROUND(0.7*Table1[[#This Row],[E&amp;D Rate per unit]]*R141*Table1[[#This Row],[Quantity]],2)</f>
        <v>123.8</v>
      </c>
      <c r="Y141" s="21">
        <f t="shared" si="19"/>
        <v>55.89</v>
      </c>
      <c r="Z141" s="21">
        <f>ROUND(0.3*T141*Table1[[#This Row],[E&amp;D Rate per unit]]*Table1[[#This Row],[Quantity]],2)</f>
        <v>53.06</v>
      </c>
      <c r="AA141" s="112">
        <v>1</v>
      </c>
      <c r="AB141" s="21">
        <f>ROUND(X141+Z141+Y141,2)*Table1[[#This Row],[Until WA Approved Only Approved this %]]</f>
        <v>232.75</v>
      </c>
      <c r="AC141" s="139">
        <v>159.44</v>
      </c>
      <c r="AD141" s="139">
        <f>Table1[[#This Row],[Total Amount]]-Table1[[#This Row],[Previous Amount]]</f>
        <v>73.31</v>
      </c>
      <c r="AE141" s="137"/>
      <c r="AG141" s="174">
        <v>232.75</v>
      </c>
      <c r="AH141" s="178">
        <f>AG141-Table1[[#This Row],[Total Amount]]</f>
        <v>0</v>
      </c>
      <c r="AI141" s="171">
        <f t="shared" si="20"/>
        <v>0</v>
      </c>
    </row>
    <row r="142" spans="1:35" ht="30" customHeight="1" x14ac:dyDescent="0.3">
      <c r="A142" s="108" t="s">
        <v>91</v>
      </c>
      <c r="B142" s="91" t="s">
        <v>98</v>
      </c>
      <c r="C142" s="16" t="s">
        <v>271</v>
      </c>
      <c r="D142" s="16">
        <v>74619</v>
      </c>
      <c r="E142" s="16">
        <v>80817</v>
      </c>
      <c r="F142" s="17" t="s">
        <v>272</v>
      </c>
      <c r="G142" s="17" t="s">
        <v>256</v>
      </c>
      <c r="H142" s="109" t="s">
        <v>129</v>
      </c>
      <c r="I142" s="16">
        <v>1</v>
      </c>
      <c r="J142" s="16">
        <v>1.5</v>
      </c>
      <c r="K142" s="16">
        <v>1</v>
      </c>
      <c r="L142" s="16">
        <v>1</v>
      </c>
      <c r="M142" s="16">
        <v>1</v>
      </c>
      <c r="N142" s="92" t="s">
        <v>162</v>
      </c>
      <c r="O142" s="92">
        <f t="shared" si="18"/>
        <v>1.5</v>
      </c>
      <c r="P142" s="18">
        <v>44849</v>
      </c>
      <c r="Q142" s="18">
        <v>44915</v>
      </c>
      <c r="R142" s="19">
        <v>1</v>
      </c>
      <c r="S142" s="19">
        <v>1</v>
      </c>
      <c r="T142" s="19">
        <v>1</v>
      </c>
      <c r="U142" s="20">
        <f>IF(ISBLANK(Table1[[#This Row],[OHC Date]]),$B$7-Table1[[#This Row],[HOC Date]]+1,Table1[[#This Row],[OHC Date]]-Table1[[#This Row],[HOC Date]]+1)/7</f>
        <v>9.5714285714285712</v>
      </c>
      <c r="V142" s="21">
        <v>36.520000000000003</v>
      </c>
      <c r="W142" s="21">
        <v>2.94</v>
      </c>
      <c r="X142" s="21">
        <f>ROUND(0.7*Table1[[#This Row],[E&amp;D Rate per unit]]*R142*Table1[[#This Row],[Quantity]],2)</f>
        <v>38.35</v>
      </c>
      <c r="Y142" s="21">
        <f t="shared" si="19"/>
        <v>42.21</v>
      </c>
      <c r="Z142" s="21">
        <f>ROUND(0.3*T142*Table1[[#This Row],[E&amp;D Rate per unit]]*Table1[[#This Row],[Quantity]],2)</f>
        <v>16.43</v>
      </c>
      <c r="AA142" s="112">
        <v>1</v>
      </c>
      <c r="AB142" s="21">
        <f>ROUND(X142+Z142+Y142,2)*Table1[[#This Row],[Until WA Approved Only Approved this %]]</f>
        <v>96.99</v>
      </c>
      <c r="AC142" s="139">
        <v>64.81</v>
      </c>
      <c r="AD142" s="139">
        <f>Table1[[#This Row],[Total Amount]]-Table1[[#This Row],[Previous Amount]]</f>
        <v>32.179999999999993</v>
      </c>
      <c r="AE142" s="137" t="s">
        <v>220</v>
      </c>
      <c r="AG142" s="174">
        <v>96.99</v>
      </c>
      <c r="AH142" s="178">
        <f>AG142-Table1[[#This Row],[Total Amount]]</f>
        <v>0</v>
      </c>
      <c r="AI142" s="171">
        <f t="shared" si="20"/>
        <v>0</v>
      </c>
    </row>
    <row r="143" spans="1:35" ht="30" customHeight="1" x14ac:dyDescent="0.3">
      <c r="A143" s="108" t="s">
        <v>91</v>
      </c>
      <c r="B143" s="91" t="s">
        <v>98</v>
      </c>
      <c r="C143" s="16" t="s">
        <v>273</v>
      </c>
      <c r="D143" s="16">
        <v>74620</v>
      </c>
      <c r="E143" s="16">
        <v>80815</v>
      </c>
      <c r="F143" s="17" t="s">
        <v>272</v>
      </c>
      <c r="G143" s="17" t="s">
        <v>256</v>
      </c>
      <c r="H143" s="109" t="s">
        <v>222</v>
      </c>
      <c r="I143" s="16">
        <v>1</v>
      </c>
      <c r="J143" s="16">
        <v>2.5</v>
      </c>
      <c r="K143" s="16">
        <v>1.8</v>
      </c>
      <c r="L143" s="16">
        <v>3.5</v>
      </c>
      <c r="M143" s="16">
        <v>1</v>
      </c>
      <c r="N143" s="92" t="s">
        <v>223</v>
      </c>
      <c r="O143" s="92">
        <f t="shared" si="18"/>
        <v>3.5</v>
      </c>
      <c r="P143" s="18">
        <v>44849</v>
      </c>
      <c r="Q143" s="18">
        <v>44915</v>
      </c>
      <c r="R143" s="19">
        <v>1</v>
      </c>
      <c r="S143" s="19">
        <v>1</v>
      </c>
      <c r="T143" s="19">
        <v>1</v>
      </c>
      <c r="U143" s="20">
        <f>IF(ISBLANK(Table1[[#This Row],[OHC Date]]),$B$7-Table1[[#This Row],[HOC Date]]+1,Table1[[#This Row],[OHC Date]]-Table1[[#This Row],[HOC Date]]+1)/7</f>
        <v>9.5714285714285712</v>
      </c>
      <c r="V143" s="21">
        <v>63.34</v>
      </c>
      <c r="W143" s="21">
        <v>7.28</v>
      </c>
      <c r="X143" s="21">
        <f>ROUND(0.7*Table1[[#This Row],[E&amp;D Rate per unit]]*R143*Table1[[#This Row],[Quantity]],2)</f>
        <v>155.18</v>
      </c>
      <c r="Y143" s="21">
        <f t="shared" si="19"/>
        <v>243.88</v>
      </c>
      <c r="Z143" s="21">
        <f>ROUND(0.3*T143*Table1[[#This Row],[E&amp;D Rate per unit]]*Table1[[#This Row],[Quantity]],2)</f>
        <v>66.510000000000005</v>
      </c>
      <c r="AA143" s="112">
        <v>1</v>
      </c>
      <c r="AB143" s="21">
        <f>ROUND(X143+Z143+Y143,2)*Table1[[#This Row],[Until WA Approved Only Approved this %]]</f>
        <v>465.57</v>
      </c>
      <c r="AC143" s="139">
        <v>308.06</v>
      </c>
      <c r="AD143" s="139">
        <f>Table1[[#This Row],[Total Amount]]-Table1[[#This Row],[Previous Amount]]</f>
        <v>157.51</v>
      </c>
      <c r="AE143" s="137" t="s">
        <v>220</v>
      </c>
      <c r="AG143" s="174">
        <v>465.57</v>
      </c>
      <c r="AH143" s="178">
        <f>AG143-Table1[[#This Row],[Total Amount]]</f>
        <v>0</v>
      </c>
      <c r="AI143" s="171">
        <f t="shared" si="20"/>
        <v>0</v>
      </c>
    </row>
    <row r="144" spans="1:35" ht="30" customHeight="1" x14ac:dyDescent="0.3">
      <c r="A144" s="108" t="s">
        <v>91</v>
      </c>
      <c r="B144" s="91" t="s">
        <v>98</v>
      </c>
      <c r="C144" s="16" t="s">
        <v>274</v>
      </c>
      <c r="D144" s="16">
        <v>74621</v>
      </c>
      <c r="E144" s="16">
        <v>80816</v>
      </c>
      <c r="F144" s="17" t="s">
        <v>272</v>
      </c>
      <c r="G144" s="17" t="s">
        <v>256</v>
      </c>
      <c r="H144" s="109" t="s">
        <v>128</v>
      </c>
      <c r="I144" s="16">
        <v>1</v>
      </c>
      <c r="J144" s="16">
        <v>4.8</v>
      </c>
      <c r="K144" s="16">
        <v>0.5</v>
      </c>
      <c r="L144" s="16">
        <v>1</v>
      </c>
      <c r="M144" s="16">
        <v>1</v>
      </c>
      <c r="N144" s="92" t="s">
        <v>162</v>
      </c>
      <c r="O144" s="92">
        <f t="shared" si="18"/>
        <v>2.4</v>
      </c>
      <c r="P144" s="18">
        <v>44849</v>
      </c>
      <c r="Q144" s="18">
        <v>44915</v>
      </c>
      <c r="R144" s="19">
        <v>1</v>
      </c>
      <c r="S144" s="19">
        <v>1</v>
      </c>
      <c r="T144" s="19">
        <v>1</v>
      </c>
      <c r="U144" s="20">
        <f>IF(ISBLANK(Table1[[#This Row],[OHC Date]]),$B$7-Table1[[#This Row],[HOC Date]]+1,Table1[[#This Row],[OHC Date]]-Table1[[#This Row],[HOC Date]]+1)/7</f>
        <v>9.5714285714285712</v>
      </c>
      <c r="V144" s="21">
        <v>32.75</v>
      </c>
      <c r="W144" s="21">
        <v>1.05</v>
      </c>
      <c r="X144" s="21">
        <f>ROUND(0.7*Table1[[#This Row],[E&amp;D Rate per unit]]*R144*Table1[[#This Row],[Quantity]],2)</f>
        <v>55.02</v>
      </c>
      <c r="Y144" s="21">
        <f t="shared" si="19"/>
        <v>24.12</v>
      </c>
      <c r="Z144" s="21">
        <f>ROUND(0.3*T144*Table1[[#This Row],[E&amp;D Rate per unit]]*Table1[[#This Row],[Quantity]],2)</f>
        <v>23.58</v>
      </c>
      <c r="AA144" s="112">
        <v>1</v>
      </c>
      <c r="AB144" s="21">
        <f>ROUND(X144+Z144+Y144,2)*Table1[[#This Row],[Until WA Approved Only Approved this %]]</f>
        <v>102.72</v>
      </c>
      <c r="AC144" s="139">
        <v>70.14</v>
      </c>
      <c r="AD144" s="139">
        <f>Table1[[#This Row],[Total Amount]]-Table1[[#This Row],[Previous Amount]]</f>
        <v>32.58</v>
      </c>
      <c r="AE144" s="137" t="s">
        <v>220</v>
      </c>
      <c r="AG144" s="174">
        <v>102.72</v>
      </c>
      <c r="AH144" s="178">
        <f>AG144-Table1[[#This Row],[Total Amount]]</f>
        <v>0</v>
      </c>
      <c r="AI144" s="171">
        <f t="shared" si="20"/>
        <v>0</v>
      </c>
    </row>
    <row r="145" spans="1:35" ht="30" customHeight="1" x14ac:dyDescent="0.3">
      <c r="A145" s="108" t="s">
        <v>91</v>
      </c>
      <c r="B145" s="91" t="s">
        <v>98</v>
      </c>
      <c r="C145" s="16">
        <v>9</v>
      </c>
      <c r="D145" s="16">
        <v>74622</v>
      </c>
      <c r="E145" s="16">
        <v>80825</v>
      </c>
      <c r="F145" s="17" t="s">
        <v>272</v>
      </c>
      <c r="G145" s="17" t="s">
        <v>256</v>
      </c>
      <c r="H145" s="109" t="s">
        <v>207</v>
      </c>
      <c r="I145" s="16">
        <v>1</v>
      </c>
      <c r="J145" s="16">
        <v>4.5</v>
      </c>
      <c r="K145" s="16">
        <v>1.5</v>
      </c>
      <c r="L145" s="16">
        <v>2.2999999999999998</v>
      </c>
      <c r="M145" s="16">
        <v>1</v>
      </c>
      <c r="N145" s="92" t="s">
        <v>208</v>
      </c>
      <c r="O145" s="92">
        <f t="shared" si="18"/>
        <v>10.35</v>
      </c>
      <c r="P145" s="18">
        <v>44849</v>
      </c>
      <c r="Q145" s="18">
        <v>44915</v>
      </c>
      <c r="R145" s="19">
        <v>1</v>
      </c>
      <c r="S145" s="19">
        <v>1</v>
      </c>
      <c r="T145" s="19">
        <v>1</v>
      </c>
      <c r="U145" s="20">
        <f>IF(ISBLANK(Table1[[#This Row],[OHC Date]]),$B$7-Table1[[#This Row],[HOC Date]]+1,Table1[[#This Row],[OHC Date]]-Table1[[#This Row],[HOC Date]]+1)/7</f>
        <v>9.5714285714285712</v>
      </c>
      <c r="V145" s="21">
        <v>12.01</v>
      </c>
      <c r="W145" s="21">
        <v>0.49</v>
      </c>
      <c r="X145" s="21">
        <f>ROUND(0.7*Table1[[#This Row],[E&amp;D Rate per unit]]*R145*Table1[[#This Row],[Quantity]],2)</f>
        <v>87.01</v>
      </c>
      <c r="Y145" s="21">
        <f t="shared" si="19"/>
        <v>48.54</v>
      </c>
      <c r="Z145" s="21">
        <f>ROUND(0.3*T145*Table1[[#This Row],[E&amp;D Rate per unit]]*Table1[[#This Row],[Quantity]],2)</f>
        <v>37.29</v>
      </c>
      <c r="AA145" s="112">
        <v>1</v>
      </c>
      <c r="AB145" s="21">
        <f>ROUND(X145+Z145+Y145,2)*Table1[[#This Row],[Until WA Approved Only Approved this %]]</f>
        <v>172.84</v>
      </c>
      <c r="AC145" s="139">
        <v>117.44</v>
      </c>
      <c r="AD145" s="139">
        <f>Table1[[#This Row],[Total Amount]]-Table1[[#This Row],[Previous Amount]]</f>
        <v>55.400000000000006</v>
      </c>
      <c r="AE145" s="137" t="s">
        <v>220</v>
      </c>
      <c r="AG145" s="174">
        <v>172.84</v>
      </c>
      <c r="AH145" s="178">
        <f>AG145-Table1[[#This Row],[Total Amount]]</f>
        <v>0</v>
      </c>
      <c r="AI145" s="171">
        <f t="shared" si="20"/>
        <v>0</v>
      </c>
    </row>
    <row r="146" spans="1:35" ht="30" customHeight="1" x14ac:dyDescent="0.3">
      <c r="A146" s="108" t="s">
        <v>97</v>
      </c>
      <c r="B146" s="91" t="s">
        <v>98</v>
      </c>
      <c r="C146" s="109">
        <v>10</v>
      </c>
      <c r="D146" s="109">
        <v>74633</v>
      </c>
      <c r="E146" s="109"/>
      <c r="F146" s="110" t="s">
        <v>283</v>
      </c>
      <c r="G146" s="17" t="s">
        <v>165</v>
      </c>
      <c r="H146" s="109" t="s">
        <v>301</v>
      </c>
      <c r="I146" s="109">
        <v>1</v>
      </c>
      <c r="J146" s="109">
        <v>50</v>
      </c>
      <c r="K146" s="109">
        <v>1.8</v>
      </c>
      <c r="L146" s="109">
        <v>4</v>
      </c>
      <c r="M146" s="109">
        <v>1</v>
      </c>
      <c r="N146" s="111" t="s">
        <v>285</v>
      </c>
      <c r="O146" s="111">
        <f>ROUND(IF(N146="m3",I146*J146*K146*L146,IF(N146="m2-LxH",I146*J146*L146,IF(N146="m2-LxW",I146*J146*K146,IF(N146="rm",I146*L146,IF(N146="lm",I146*J146,IF(N146="unit",I146,"NA")))))),2)</f>
        <v>50</v>
      </c>
      <c r="P146" s="125">
        <v>44854</v>
      </c>
      <c r="Q146" s="125"/>
      <c r="R146" s="112">
        <v>1</v>
      </c>
      <c r="S146" s="112">
        <v>1</v>
      </c>
      <c r="T146" s="112">
        <v>0</v>
      </c>
      <c r="U146" s="113">
        <f>IF(ISBLANK(Table1[[#This Row],[OHC Date]]),$B$7-Table1[[#This Row],[HOC Date]]+1,Table1[[#This Row],[OHC Date]]-Table1[[#This Row],[HOC Date]]+1)/7</f>
        <v>9.5714285714285712</v>
      </c>
      <c r="V146" s="114">
        <v>1002.22</v>
      </c>
      <c r="W146" s="114">
        <v>98.12</v>
      </c>
      <c r="X146" s="114">
        <f>ROUND(0.7*Table1[[#This Row],[E&amp;D Rate per unit]]*R146*Table1[[#This Row],[Quantity]],2)</f>
        <v>35077.699999999997</v>
      </c>
      <c r="Y146" s="114">
        <f>ROUND(O146*U146*W146*S146,2)</f>
        <v>46957.43</v>
      </c>
      <c r="Z146" s="114">
        <f>ROUND(0.3*T146*Table1[[#This Row],[E&amp;D Rate per unit]]*Table1[[#This Row],[Quantity]],2)</f>
        <v>0</v>
      </c>
      <c r="AA146" s="112">
        <v>1</v>
      </c>
      <c r="AB146" s="21">
        <f>ROUND(X146+Z146+Y146,2)*Table1[[#This Row],[Until WA Approved Only Approved this %]]</f>
        <v>82035.13</v>
      </c>
      <c r="AC146" s="139">
        <v>61009.41</v>
      </c>
      <c r="AD146" s="136">
        <f>Table1[[#This Row],[Total Amount]]-Table1[[#This Row],[Previous Amount]]</f>
        <v>21025.72</v>
      </c>
      <c r="AE146" s="115" t="s">
        <v>284</v>
      </c>
      <c r="AG146" s="174">
        <v>82035.13</v>
      </c>
      <c r="AH146" s="178">
        <f>AG146-Table1[[#This Row],[Total Amount]]</f>
        <v>0</v>
      </c>
      <c r="AI146" s="171">
        <f t="shared" si="20"/>
        <v>0</v>
      </c>
    </row>
    <row r="147" spans="1:35" ht="30" customHeight="1" x14ac:dyDescent="0.3">
      <c r="A147" s="141" t="s">
        <v>275</v>
      </c>
      <c r="B147" s="91" t="s">
        <v>98</v>
      </c>
      <c r="C147" s="16">
        <v>11</v>
      </c>
      <c r="D147" s="16">
        <v>74623</v>
      </c>
      <c r="E147" s="16">
        <v>80803</v>
      </c>
      <c r="F147" s="17" t="s">
        <v>277</v>
      </c>
      <c r="G147" s="17" t="s">
        <v>276</v>
      </c>
      <c r="H147" s="109" t="s">
        <v>207</v>
      </c>
      <c r="I147" s="16">
        <v>1</v>
      </c>
      <c r="J147" s="16">
        <v>5.7</v>
      </c>
      <c r="K147" s="16">
        <v>1.3</v>
      </c>
      <c r="L147" s="16">
        <v>1.5</v>
      </c>
      <c r="M147" s="16">
        <v>1</v>
      </c>
      <c r="N147" s="92" t="s">
        <v>56</v>
      </c>
      <c r="O147" s="92">
        <f t="shared" si="18"/>
        <v>1</v>
      </c>
      <c r="P147" s="18">
        <v>44854</v>
      </c>
      <c r="Q147" s="18">
        <v>44910</v>
      </c>
      <c r="R147" s="19">
        <v>1</v>
      </c>
      <c r="S147" s="19">
        <v>1</v>
      </c>
      <c r="T147" s="19">
        <v>1</v>
      </c>
      <c r="U147" s="20">
        <f>IF(ISBLANK(Table1[[#This Row],[OHC Date]]),$B$7-Table1[[#This Row],[HOC Date]]+1,Table1[[#This Row],[OHC Date]]-Table1[[#This Row],[HOC Date]]+1)/7</f>
        <v>8.1428571428571423</v>
      </c>
      <c r="V147" s="21">
        <v>1368.99</v>
      </c>
      <c r="W147" s="21">
        <v>6.17</v>
      </c>
      <c r="X147" s="21">
        <f>ROUND(0.7*Table1[[#This Row],[E&amp;D Rate per unit]]*R147*Table1[[#This Row],[Quantity]],2)</f>
        <v>958.29</v>
      </c>
      <c r="Y147" s="21">
        <f t="shared" si="19"/>
        <v>50.24</v>
      </c>
      <c r="Z147" s="21">
        <f>ROUND(0.3*T147*Table1[[#This Row],[E&amp;D Rate per unit]]*Table1[[#This Row],[Quantity]],2)</f>
        <v>410.7</v>
      </c>
      <c r="AA147" s="19">
        <v>1</v>
      </c>
      <c r="AB147" s="21">
        <f>ROUND(X147+Z147+Y147,2)*Table1[[#This Row],[Until WA Approved Only Approved this %]]</f>
        <v>1419.23</v>
      </c>
      <c r="AC147" s="139">
        <v>990.9</v>
      </c>
      <c r="AD147" s="139">
        <f>Table1[[#This Row],[Total Amount]]-Table1[[#This Row],[Previous Amount]]</f>
        <v>428.33000000000004</v>
      </c>
      <c r="AE147" s="142" t="s">
        <v>279</v>
      </c>
      <c r="AG147" s="174">
        <v>1419.23</v>
      </c>
      <c r="AH147" s="178">
        <f>AG147-Table1[[#This Row],[Total Amount]]</f>
        <v>0</v>
      </c>
      <c r="AI147" s="171">
        <f t="shared" si="20"/>
        <v>0</v>
      </c>
    </row>
    <row r="148" spans="1:35" ht="30" customHeight="1" x14ac:dyDescent="0.3">
      <c r="A148" s="141" t="s">
        <v>275</v>
      </c>
      <c r="B148" s="91" t="s">
        <v>98</v>
      </c>
      <c r="C148" s="16">
        <v>12</v>
      </c>
      <c r="D148" s="16">
        <v>74625</v>
      </c>
      <c r="E148" s="16">
        <v>80834</v>
      </c>
      <c r="F148" s="17" t="s">
        <v>277</v>
      </c>
      <c r="G148" s="17" t="s">
        <v>278</v>
      </c>
      <c r="H148" s="109" t="s">
        <v>207</v>
      </c>
      <c r="I148" s="16">
        <v>1</v>
      </c>
      <c r="J148" s="16">
        <v>5.7</v>
      </c>
      <c r="K148" s="16">
        <v>1.3</v>
      </c>
      <c r="L148" s="16">
        <v>1.5</v>
      </c>
      <c r="M148" s="16">
        <v>1</v>
      </c>
      <c r="N148" s="92" t="s">
        <v>56</v>
      </c>
      <c r="O148" s="92">
        <f t="shared" si="18"/>
        <v>1</v>
      </c>
      <c r="P148" s="18">
        <v>44854</v>
      </c>
      <c r="Q148" s="18">
        <v>44916</v>
      </c>
      <c r="R148" s="19">
        <v>1</v>
      </c>
      <c r="S148" s="19">
        <v>1</v>
      </c>
      <c r="T148" s="19">
        <v>1</v>
      </c>
      <c r="U148" s="20">
        <f>IF(ISBLANK(Table1[[#This Row],[OHC Date]]),$B$7-Table1[[#This Row],[HOC Date]]+1,Table1[[#This Row],[OHC Date]]-Table1[[#This Row],[HOC Date]]+1)/7</f>
        <v>9</v>
      </c>
      <c r="V148" s="21">
        <v>1368.99</v>
      </c>
      <c r="W148" s="21">
        <v>6.17</v>
      </c>
      <c r="X148" s="21">
        <f>ROUND(0.7*Table1[[#This Row],[E&amp;D Rate per unit]]*R148*Table1[[#This Row],[Quantity]],2)</f>
        <v>958.29</v>
      </c>
      <c r="Y148" s="21">
        <f t="shared" si="19"/>
        <v>55.53</v>
      </c>
      <c r="Z148" s="21">
        <f>ROUND(0.3*T148*Table1[[#This Row],[E&amp;D Rate per unit]]*Table1[[#This Row],[Quantity]],2)</f>
        <v>410.7</v>
      </c>
      <c r="AA148" s="19">
        <v>1</v>
      </c>
      <c r="AB148" s="21">
        <f>ROUND(X148+Z148+Y148,2)*Table1[[#This Row],[Until WA Approved Only Approved this %]]</f>
        <v>1424.52</v>
      </c>
      <c r="AC148" s="139">
        <v>990.9</v>
      </c>
      <c r="AD148" s="139">
        <f>Table1[[#This Row],[Total Amount]]-Table1[[#This Row],[Previous Amount]]</f>
        <v>433.62</v>
      </c>
      <c r="AE148" s="142" t="s">
        <v>279</v>
      </c>
      <c r="AG148" s="174">
        <v>1424.52</v>
      </c>
      <c r="AH148" s="178">
        <f>AG148-Table1[[#This Row],[Total Amount]]</f>
        <v>0</v>
      </c>
      <c r="AI148" s="171">
        <f t="shared" si="20"/>
        <v>0</v>
      </c>
    </row>
    <row r="149" spans="1:35" ht="30" customHeight="1" x14ac:dyDescent="0.3">
      <c r="A149" s="141" t="s">
        <v>275</v>
      </c>
      <c r="B149" s="91" t="s">
        <v>98</v>
      </c>
      <c r="C149" s="16">
        <v>13</v>
      </c>
      <c r="D149" s="16">
        <v>74624</v>
      </c>
      <c r="E149" s="16">
        <v>80809</v>
      </c>
      <c r="F149" s="17" t="s">
        <v>277</v>
      </c>
      <c r="G149" s="17" t="s">
        <v>253</v>
      </c>
      <c r="H149" s="109" t="s">
        <v>207</v>
      </c>
      <c r="I149" s="16">
        <v>1</v>
      </c>
      <c r="J149" s="16">
        <v>5.7</v>
      </c>
      <c r="K149" s="16">
        <v>1.3</v>
      </c>
      <c r="L149" s="16">
        <v>1.5</v>
      </c>
      <c r="M149" s="16">
        <v>1</v>
      </c>
      <c r="N149" s="92" t="s">
        <v>56</v>
      </c>
      <c r="O149" s="92">
        <f t="shared" si="18"/>
        <v>1</v>
      </c>
      <c r="P149" s="18">
        <v>44855</v>
      </c>
      <c r="Q149" s="18">
        <v>44912</v>
      </c>
      <c r="R149" s="19">
        <v>1</v>
      </c>
      <c r="S149" s="19">
        <v>1</v>
      </c>
      <c r="T149" s="19">
        <v>1</v>
      </c>
      <c r="U149" s="20">
        <f>IF(ISBLANK(Table1[[#This Row],[OHC Date]]),$B$7-Table1[[#This Row],[HOC Date]]+1,Table1[[#This Row],[OHC Date]]-Table1[[#This Row],[HOC Date]]+1)/7</f>
        <v>8.2857142857142865</v>
      </c>
      <c r="V149" s="21">
        <v>1368.99</v>
      </c>
      <c r="W149" s="21">
        <v>6.17</v>
      </c>
      <c r="X149" s="21">
        <f>ROUND(0.7*Table1[[#This Row],[E&amp;D Rate per unit]]*R149*Table1[[#This Row],[Quantity]],2)</f>
        <v>958.29</v>
      </c>
      <c r="Y149" s="21">
        <f t="shared" si="19"/>
        <v>51.12</v>
      </c>
      <c r="Z149" s="21">
        <f>ROUND(0.3*T149*Table1[[#This Row],[E&amp;D Rate per unit]]*Table1[[#This Row],[Quantity]],2)</f>
        <v>410.7</v>
      </c>
      <c r="AA149" s="19">
        <v>1</v>
      </c>
      <c r="AB149" s="21">
        <f>ROUND(X149+Z149+Y149,2)*Table1[[#This Row],[Until WA Approved Only Approved this %]]</f>
        <v>1420.11</v>
      </c>
      <c r="AC149" s="139">
        <v>990.02</v>
      </c>
      <c r="AD149" s="139">
        <f>Table1[[#This Row],[Total Amount]]-Table1[[#This Row],[Previous Amount]]</f>
        <v>430.08999999999992</v>
      </c>
      <c r="AE149" s="142" t="s">
        <v>279</v>
      </c>
      <c r="AG149" s="174">
        <v>1420.11</v>
      </c>
      <c r="AH149" s="178">
        <f>AG149-Table1[[#This Row],[Total Amount]]</f>
        <v>0</v>
      </c>
      <c r="AI149" s="171">
        <f t="shared" si="20"/>
        <v>0</v>
      </c>
    </row>
    <row r="150" spans="1:35" ht="30" customHeight="1" x14ac:dyDescent="0.3">
      <c r="A150" s="141" t="s">
        <v>275</v>
      </c>
      <c r="B150" s="91" t="s">
        <v>98</v>
      </c>
      <c r="C150" s="16">
        <v>14</v>
      </c>
      <c r="D150" s="16">
        <v>74626</v>
      </c>
      <c r="E150" s="16">
        <v>80804</v>
      </c>
      <c r="F150" s="17" t="s">
        <v>277</v>
      </c>
      <c r="G150" s="17" t="s">
        <v>280</v>
      </c>
      <c r="H150" s="109" t="s">
        <v>207</v>
      </c>
      <c r="I150" s="16">
        <v>1</v>
      </c>
      <c r="J150" s="16">
        <v>5.7</v>
      </c>
      <c r="K150" s="16">
        <v>1.3</v>
      </c>
      <c r="L150" s="16">
        <v>1.5</v>
      </c>
      <c r="M150" s="16">
        <v>1</v>
      </c>
      <c r="N150" s="92" t="s">
        <v>56</v>
      </c>
      <c r="O150" s="92">
        <f t="shared" si="18"/>
        <v>1</v>
      </c>
      <c r="P150" s="18">
        <v>44855</v>
      </c>
      <c r="Q150" s="18">
        <v>44910</v>
      </c>
      <c r="R150" s="19">
        <v>1</v>
      </c>
      <c r="S150" s="19">
        <v>1</v>
      </c>
      <c r="T150" s="19">
        <v>1</v>
      </c>
      <c r="U150" s="20">
        <f>IF(ISBLANK(Table1[[#This Row],[OHC Date]]),$B$7-Table1[[#This Row],[HOC Date]]+1,Table1[[#This Row],[OHC Date]]-Table1[[#This Row],[HOC Date]]+1)/7</f>
        <v>8</v>
      </c>
      <c r="V150" s="21">
        <v>1368.99</v>
      </c>
      <c r="W150" s="21">
        <v>6.17</v>
      </c>
      <c r="X150" s="21">
        <f>ROUND(0.7*Table1[[#This Row],[E&amp;D Rate per unit]]*R150*Table1[[#This Row],[Quantity]],2)</f>
        <v>958.29</v>
      </c>
      <c r="Y150" s="21">
        <f t="shared" si="19"/>
        <v>49.36</v>
      </c>
      <c r="Z150" s="21">
        <f>ROUND(0.3*T150*Table1[[#This Row],[E&amp;D Rate per unit]]*Table1[[#This Row],[Quantity]],2)</f>
        <v>410.7</v>
      </c>
      <c r="AA150" s="19">
        <v>1</v>
      </c>
      <c r="AB150" s="21">
        <f>ROUND(X150+Z150+Y150,2)*Table1[[#This Row],[Until WA Approved Only Approved this %]]</f>
        <v>1418.35</v>
      </c>
      <c r="AC150" s="139">
        <v>990.02</v>
      </c>
      <c r="AD150" s="139">
        <f>Table1[[#This Row],[Total Amount]]-Table1[[#This Row],[Previous Amount]]</f>
        <v>428.32999999999993</v>
      </c>
      <c r="AE150" s="142" t="s">
        <v>279</v>
      </c>
      <c r="AG150" s="174">
        <v>1418.35</v>
      </c>
      <c r="AH150" s="178">
        <f>AG150-Table1[[#This Row],[Total Amount]]</f>
        <v>0</v>
      </c>
      <c r="AI150" s="171">
        <f t="shared" si="20"/>
        <v>0</v>
      </c>
    </row>
    <row r="151" spans="1:35" ht="30" customHeight="1" x14ac:dyDescent="0.3">
      <c r="A151" s="108" t="s">
        <v>91</v>
      </c>
      <c r="B151" s="91" t="s">
        <v>98</v>
      </c>
      <c r="C151" s="109" t="s">
        <v>281</v>
      </c>
      <c r="D151" s="109">
        <v>74635</v>
      </c>
      <c r="E151" s="109">
        <v>76805</v>
      </c>
      <c r="F151" s="110" t="s">
        <v>282</v>
      </c>
      <c r="G151" s="17" t="s">
        <v>165</v>
      </c>
      <c r="H151" s="109" t="s">
        <v>178</v>
      </c>
      <c r="I151" s="109">
        <v>1</v>
      </c>
      <c r="J151" s="109">
        <v>50</v>
      </c>
      <c r="K151" s="109">
        <v>1</v>
      </c>
      <c r="L151" s="109">
        <v>1</v>
      </c>
      <c r="M151" s="109">
        <v>1</v>
      </c>
      <c r="N151" s="111" t="s">
        <v>162</v>
      </c>
      <c r="O151" s="111">
        <f t="shared" ref="O151:O157" si="21">ROUND(IF(N151="m3",I151*J151*K151*L151,IF(N151="m2-LxH",I151*J151*L151,IF(N151="m2-LxW",I151*J151*K151,IF(N151="rm",I151*L151,IF(N151="lm",I151*J151,IF(N151="unit",I151,"NA")))))),2)</f>
        <v>50</v>
      </c>
      <c r="P151" s="125">
        <v>44854</v>
      </c>
      <c r="Q151" s="125">
        <v>44865</v>
      </c>
      <c r="R151" s="112">
        <v>1</v>
      </c>
      <c r="S151" s="112">
        <v>1</v>
      </c>
      <c r="T151" s="112">
        <v>1</v>
      </c>
      <c r="U151" s="113">
        <f>IF(ISBLANK(Table1[[#This Row],[OHC Date]]),$B$7-Table1[[#This Row],[HOC Date]]+1,Table1[[#This Row],[OHC Date]]-Table1[[#This Row],[HOC Date]]+1)/7</f>
        <v>1.7142857142857142</v>
      </c>
      <c r="V151" s="114">
        <v>6.63</v>
      </c>
      <c r="W151" s="114">
        <v>0.7</v>
      </c>
      <c r="X151" s="114">
        <f>ROUND(0.7*Table1[[#This Row],[E&amp;D Rate per unit]]*R151*Table1[[#This Row],[Quantity]],2)</f>
        <v>232.05</v>
      </c>
      <c r="Y151" s="114">
        <f t="shared" ref="Y151:Y157" si="22">ROUND(O151*U151*W151*S151,2)</f>
        <v>60</v>
      </c>
      <c r="Z151" s="114">
        <f>ROUND(0.3*T151*Table1[[#This Row],[E&amp;D Rate per unit]]*Table1[[#This Row],[Quantity]],2)</f>
        <v>99.45</v>
      </c>
      <c r="AA151" s="112">
        <v>1</v>
      </c>
      <c r="AB151" s="21">
        <f>ROUND(X151+Z151+Y151,2)*Table1[[#This Row],[Until WA Approved Only Approved this %]]</f>
        <v>391.5</v>
      </c>
      <c r="AC151" s="139">
        <v>391.5</v>
      </c>
      <c r="AD151" s="136">
        <f>Table1[[#This Row],[Total Amount]]-Table1[[#This Row],[Previous Amount]]</f>
        <v>0</v>
      </c>
      <c r="AE151" s="115"/>
      <c r="AG151" s="174">
        <v>391.5</v>
      </c>
      <c r="AH151" s="178">
        <f>AG151-Table1[[#This Row],[Total Amount]]</f>
        <v>0</v>
      </c>
      <c r="AI151" s="171">
        <f t="shared" si="20"/>
        <v>0</v>
      </c>
    </row>
    <row r="152" spans="1:35" ht="30" customHeight="1" x14ac:dyDescent="0.3">
      <c r="A152" s="108" t="s">
        <v>97</v>
      </c>
      <c r="B152" s="91" t="s">
        <v>98</v>
      </c>
      <c r="C152" s="109">
        <v>15</v>
      </c>
      <c r="D152" s="109">
        <v>74634</v>
      </c>
      <c r="E152" s="109"/>
      <c r="F152" s="110" t="s">
        <v>283</v>
      </c>
      <c r="G152" s="17" t="s">
        <v>165</v>
      </c>
      <c r="H152" s="109" t="s">
        <v>301</v>
      </c>
      <c r="I152" s="109">
        <v>1</v>
      </c>
      <c r="J152" s="109">
        <v>33</v>
      </c>
      <c r="K152" s="109">
        <v>1.8</v>
      </c>
      <c r="L152" s="109">
        <v>4</v>
      </c>
      <c r="M152" s="109">
        <v>1</v>
      </c>
      <c r="N152" s="111" t="s">
        <v>285</v>
      </c>
      <c r="O152" s="111">
        <f t="shared" si="21"/>
        <v>33</v>
      </c>
      <c r="P152" s="125">
        <v>44856</v>
      </c>
      <c r="Q152" s="125"/>
      <c r="R152" s="112">
        <v>1</v>
      </c>
      <c r="S152" s="112">
        <v>1</v>
      </c>
      <c r="T152" s="112">
        <v>0</v>
      </c>
      <c r="U152" s="113">
        <f>IF(ISBLANK(Table1[[#This Row],[OHC Date]]),$B$7-Table1[[#This Row],[HOC Date]]+1,Table1[[#This Row],[OHC Date]]-Table1[[#This Row],[HOC Date]]+1)/7</f>
        <v>9.2857142857142865</v>
      </c>
      <c r="V152" s="114">
        <v>1002.22</v>
      </c>
      <c r="W152" s="114">
        <v>98.12</v>
      </c>
      <c r="X152" s="114">
        <f>ROUND(0.7*Table1[[#This Row],[E&amp;D Rate per unit]]*R152*Table1[[#This Row],[Quantity]],2)</f>
        <v>23151.279999999999</v>
      </c>
      <c r="Y152" s="114">
        <f>ROUND(O152*U152*W152*S152,2)</f>
        <v>30066.77</v>
      </c>
      <c r="Z152" s="114">
        <f>ROUND(0.3*T152*Table1[[#This Row],[E&amp;D Rate per unit]]*Table1[[#This Row],[Quantity]],2)</f>
        <v>0</v>
      </c>
      <c r="AA152" s="112">
        <v>1</v>
      </c>
      <c r="AB152" s="21">
        <f>ROUND(X152+Z152+Y152,2)*Table1[[#This Row],[Until WA Approved Only Approved this %]]</f>
        <v>53218.05</v>
      </c>
      <c r="AC152" s="139">
        <v>39341.08</v>
      </c>
      <c r="AD152" s="136">
        <f>Table1[[#This Row],[Total Amount]]-Table1[[#This Row],[Previous Amount]]</f>
        <v>13876.970000000001</v>
      </c>
      <c r="AE152" s="115" t="s">
        <v>284</v>
      </c>
      <c r="AG152" s="174">
        <v>53218.05</v>
      </c>
      <c r="AH152" s="178">
        <f>AG152-Table1[[#This Row],[Total Amount]]</f>
        <v>0</v>
      </c>
      <c r="AI152" s="171">
        <f t="shared" si="20"/>
        <v>0</v>
      </c>
    </row>
    <row r="153" spans="1:35" ht="30" customHeight="1" x14ac:dyDescent="0.3">
      <c r="A153" s="108" t="s">
        <v>97</v>
      </c>
      <c r="B153" s="91" t="s">
        <v>98</v>
      </c>
      <c r="C153" s="109">
        <v>15</v>
      </c>
      <c r="D153" s="109">
        <v>74634</v>
      </c>
      <c r="E153" s="109"/>
      <c r="F153" s="110" t="s">
        <v>283</v>
      </c>
      <c r="G153" s="17" t="s">
        <v>165</v>
      </c>
      <c r="H153" s="109" t="s">
        <v>300</v>
      </c>
      <c r="I153" s="109">
        <v>1</v>
      </c>
      <c r="J153" s="109"/>
      <c r="K153" s="109"/>
      <c r="L153" s="109"/>
      <c r="M153" s="109"/>
      <c r="N153" s="111" t="s">
        <v>56</v>
      </c>
      <c r="O153" s="111">
        <f>ROUND(IF(N153="m3",I153*J153*K153*L153,IF(N153="m2-LxH",I153*J153*L153,IF(N153="m2-LxW",I153*J153*K153,IF(N153="rm",I153*L153,IF(N153="lm",I153*J153,IF(N153="unit",I153,"NA")))))),2)</f>
        <v>1</v>
      </c>
      <c r="P153" s="125">
        <v>44856</v>
      </c>
      <c r="Q153" s="125">
        <v>44856</v>
      </c>
      <c r="R153" s="112">
        <v>1</v>
      </c>
      <c r="S153" s="112">
        <v>1</v>
      </c>
      <c r="T153" s="112">
        <v>1</v>
      </c>
      <c r="U153" s="113">
        <f>IF(ISBLANK(Table1[[#This Row],[OHC Date]]),$B$7-Table1[[#This Row],[HOC Date]]+1,Table1[[#This Row],[OHC Date]]-Table1[[#This Row],[HOC Date]]+1)/7</f>
        <v>0.14285714285714285</v>
      </c>
      <c r="V153" s="114">
        <v>1230</v>
      </c>
      <c r="W153" s="114">
        <v>0</v>
      </c>
      <c r="X153" s="114">
        <v>1230</v>
      </c>
      <c r="Y153" s="114">
        <f>ROUND(O153*U153*W153*S153,2)</f>
        <v>0</v>
      </c>
      <c r="Z153" s="114">
        <v>0</v>
      </c>
      <c r="AA153" s="112">
        <v>1</v>
      </c>
      <c r="AB153" s="21">
        <f>ROUND(X153+Z153+Y153,2)*Table1[[#This Row],[Until WA Approved Only Approved this %]]</f>
        <v>1230</v>
      </c>
      <c r="AC153" s="136">
        <v>1230</v>
      </c>
      <c r="AD153" s="136">
        <f>Table1[[#This Row],[Total Amount]]-Table1[[#This Row],[Previous Amount]]</f>
        <v>0</v>
      </c>
      <c r="AE153" s="115" t="s">
        <v>299</v>
      </c>
      <c r="AG153" s="174">
        <v>1230</v>
      </c>
      <c r="AH153" s="178">
        <f>AG153-Table1[[#This Row],[Total Amount]]</f>
        <v>0</v>
      </c>
      <c r="AI153" s="171">
        <f t="shared" si="20"/>
        <v>0</v>
      </c>
    </row>
    <row r="154" spans="1:35" ht="30" customHeight="1" x14ac:dyDescent="0.3">
      <c r="A154" s="108" t="s">
        <v>91</v>
      </c>
      <c r="B154" s="91" t="s">
        <v>98</v>
      </c>
      <c r="C154" s="109" t="s">
        <v>286</v>
      </c>
      <c r="D154" s="109">
        <v>74636</v>
      </c>
      <c r="E154" s="109">
        <v>76806</v>
      </c>
      <c r="F154" s="110" t="s">
        <v>282</v>
      </c>
      <c r="G154" s="17" t="s">
        <v>165</v>
      </c>
      <c r="H154" s="109" t="s">
        <v>178</v>
      </c>
      <c r="I154" s="109">
        <v>1</v>
      </c>
      <c r="J154" s="109">
        <v>33</v>
      </c>
      <c r="K154" s="109">
        <v>1</v>
      </c>
      <c r="L154" s="109">
        <v>1</v>
      </c>
      <c r="M154" s="109">
        <v>1</v>
      </c>
      <c r="N154" s="111" t="s">
        <v>162</v>
      </c>
      <c r="O154" s="111">
        <f t="shared" si="21"/>
        <v>33</v>
      </c>
      <c r="P154" s="125">
        <v>44856</v>
      </c>
      <c r="Q154" s="125">
        <v>44866</v>
      </c>
      <c r="R154" s="112">
        <v>1</v>
      </c>
      <c r="S154" s="112">
        <v>1</v>
      </c>
      <c r="T154" s="112">
        <v>1</v>
      </c>
      <c r="U154" s="113">
        <f>IF(ISBLANK(Table1[[#This Row],[OHC Date]]),$B$7-Table1[[#This Row],[HOC Date]]+1,Table1[[#This Row],[OHC Date]]-Table1[[#This Row],[HOC Date]]+1)/7</f>
        <v>1.5714285714285714</v>
      </c>
      <c r="V154" s="114">
        <v>6.63</v>
      </c>
      <c r="W154" s="114">
        <v>0.7</v>
      </c>
      <c r="X154" s="114">
        <f>ROUND(0.7*Table1[[#This Row],[E&amp;D Rate per unit]]*R154*Table1[[#This Row],[Quantity]],2)</f>
        <v>153.15</v>
      </c>
      <c r="Y154" s="114">
        <f t="shared" si="22"/>
        <v>36.299999999999997</v>
      </c>
      <c r="Z154" s="114">
        <f>ROUND(0.3*T154*Table1[[#This Row],[E&amp;D Rate per unit]]*Table1[[#This Row],[Quantity]],2)</f>
        <v>65.64</v>
      </c>
      <c r="AA154" s="112">
        <v>1</v>
      </c>
      <c r="AB154" s="21">
        <f>ROUND(X154+Z154+Y154,2)*Table1[[#This Row],[Until WA Approved Only Approved this %]]</f>
        <v>255.09</v>
      </c>
      <c r="AC154" s="139">
        <v>255.09</v>
      </c>
      <c r="AD154" s="136">
        <f>Table1[[#This Row],[Total Amount]]-Table1[[#This Row],[Previous Amount]]</f>
        <v>0</v>
      </c>
      <c r="AE154" s="115"/>
      <c r="AG154" s="174">
        <v>255.09</v>
      </c>
      <c r="AH154" s="178">
        <f>AG154-Table1[[#This Row],[Total Amount]]</f>
        <v>0</v>
      </c>
      <c r="AI154" s="171">
        <f t="shared" si="20"/>
        <v>0</v>
      </c>
    </row>
    <row r="155" spans="1:35" ht="30" customHeight="1" x14ac:dyDescent="0.3">
      <c r="A155" s="108" t="s">
        <v>91</v>
      </c>
      <c r="B155" s="91" t="s">
        <v>98</v>
      </c>
      <c r="C155" s="109">
        <v>16</v>
      </c>
      <c r="D155" s="109">
        <v>74627</v>
      </c>
      <c r="E155" s="109">
        <v>76810</v>
      </c>
      <c r="F155" s="110" t="s">
        <v>287</v>
      </c>
      <c r="G155" s="17" t="s">
        <v>288</v>
      </c>
      <c r="H155" s="109" t="s">
        <v>120</v>
      </c>
      <c r="I155" s="109">
        <v>1</v>
      </c>
      <c r="J155" s="109">
        <v>6.8</v>
      </c>
      <c r="K155" s="109">
        <v>1.8</v>
      </c>
      <c r="L155" s="109">
        <v>8</v>
      </c>
      <c r="M155" s="109">
        <v>1</v>
      </c>
      <c r="N155" s="111" t="s">
        <v>208</v>
      </c>
      <c r="O155" s="111">
        <f t="shared" si="21"/>
        <v>54.4</v>
      </c>
      <c r="P155" s="125">
        <v>44858</v>
      </c>
      <c r="Q155" s="125">
        <v>44874</v>
      </c>
      <c r="R155" s="112">
        <v>1</v>
      </c>
      <c r="S155" s="112">
        <v>1</v>
      </c>
      <c r="T155" s="112">
        <v>1</v>
      </c>
      <c r="U155" s="113">
        <f>IF(ISBLANK(Table1[[#This Row],[OHC Date]]),$B$7-Table1[[#This Row],[HOC Date]]+1,Table1[[#This Row],[OHC Date]]-Table1[[#This Row],[HOC Date]]+1)/7</f>
        <v>2.4285714285714284</v>
      </c>
      <c r="V155" s="114">
        <v>16.760000000000002</v>
      </c>
      <c r="W155" s="114">
        <v>0.77</v>
      </c>
      <c r="X155" s="114">
        <f>ROUND(0.7*Table1[[#This Row],[E&amp;D Rate per unit]]*R155*Table1[[#This Row],[Quantity]],2)</f>
        <v>638.22</v>
      </c>
      <c r="Y155" s="114">
        <f t="shared" si="22"/>
        <v>101.73</v>
      </c>
      <c r="Z155" s="114">
        <f>ROUND(0.3*T155*Table1[[#This Row],[E&amp;D Rate per unit]]*Table1[[#This Row],[Quantity]],2)</f>
        <v>273.52</v>
      </c>
      <c r="AA155" s="112">
        <v>1</v>
      </c>
      <c r="AB155" s="21">
        <f>ROUND(X155+Z155+Y155,2)*Table1[[#This Row],[Until WA Approved Only Approved this %]]</f>
        <v>1013.47</v>
      </c>
      <c r="AC155" s="136">
        <v>1013.47</v>
      </c>
      <c r="AD155" s="136">
        <f>Table1[[#This Row],[Total Amount]]-Table1[[#This Row],[Previous Amount]]</f>
        <v>0</v>
      </c>
      <c r="AE155" s="115"/>
      <c r="AG155" s="174">
        <v>1013.47</v>
      </c>
      <c r="AH155" s="178">
        <f>AG155-Table1[[#This Row],[Total Amount]]</f>
        <v>0</v>
      </c>
      <c r="AI155" s="171">
        <f t="shared" si="20"/>
        <v>0</v>
      </c>
    </row>
    <row r="156" spans="1:35" ht="30" customHeight="1" x14ac:dyDescent="0.3">
      <c r="A156" s="108" t="s">
        <v>91</v>
      </c>
      <c r="B156" s="91" t="s">
        <v>98</v>
      </c>
      <c r="C156" s="109" t="s">
        <v>231</v>
      </c>
      <c r="D156" s="109">
        <v>74628</v>
      </c>
      <c r="E156" s="109">
        <v>76811</v>
      </c>
      <c r="F156" s="110" t="s">
        <v>287</v>
      </c>
      <c r="G156" s="17" t="s">
        <v>206</v>
      </c>
      <c r="H156" s="109" t="s">
        <v>129</v>
      </c>
      <c r="I156" s="109">
        <v>1</v>
      </c>
      <c r="J156" s="109">
        <v>6.8</v>
      </c>
      <c r="K156" s="109">
        <v>1</v>
      </c>
      <c r="L156" s="109">
        <v>1</v>
      </c>
      <c r="M156" s="109">
        <v>1</v>
      </c>
      <c r="N156" s="111" t="s">
        <v>162</v>
      </c>
      <c r="O156" s="111">
        <f t="shared" si="21"/>
        <v>6.8</v>
      </c>
      <c r="P156" s="125">
        <v>44858</v>
      </c>
      <c r="Q156" s="125">
        <v>44874</v>
      </c>
      <c r="R156" s="112">
        <v>1</v>
      </c>
      <c r="S156" s="112">
        <v>1</v>
      </c>
      <c r="T156" s="112">
        <v>1</v>
      </c>
      <c r="U156" s="113">
        <f>IF(ISBLANK(Table1[[#This Row],[OHC Date]]),$B$7-Table1[[#This Row],[HOC Date]]+1,Table1[[#This Row],[OHC Date]]-Table1[[#This Row],[HOC Date]]+1)/7</f>
        <v>2.4285714285714284</v>
      </c>
      <c r="V156" s="114">
        <v>36.520000000000003</v>
      </c>
      <c r="W156" s="114">
        <v>2.94</v>
      </c>
      <c r="X156" s="114">
        <f>ROUND(0.7*Table1[[#This Row],[E&amp;D Rate per unit]]*R156*Table1[[#This Row],[Quantity]],2)</f>
        <v>173.84</v>
      </c>
      <c r="Y156" s="114">
        <f t="shared" si="22"/>
        <v>48.55</v>
      </c>
      <c r="Z156" s="114">
        <f>ROUND(0.3*T156*Table1[[#This Row],[E&amp;D Rate per unit]]*Table1[[#This Row],[Quantity]],2)</f>
        <v>74.5</v>
      </c>
      <c r="AA156" s="112">
        <v>1</v>
      </c>
      <c r="AB156" s="21">
        <f>ROUND(X156+Z156+Y156,2)*Table1[[#This Row],[Until WA Approved Only Approved this %]]</f>
        <v>296.89</v>
      </c>
      <c r="AC156" s="136">
        <v>296.89</v>
      </c>
      <c r="AD156" s="136">
        <f>Table1[[#This Row],[Total Amount]]-Table1[[#This Row],[Previous Amount]]</f>
        <v>0</v>
      </c>
      <c r="AE156" s="115"/>
      <c r="AG156" s="174">
        <v>296.89</v>
      </c>
      <c r="AH156" s="178">
        <f>AG156-Table1[[#This Row],[Total Amount]]</f>
        <v>0</v>
      </c>
      <c r="AI156" s="171">
        <f t="shared" si="20"/>
        <v>0</v>
      </c>
    </row>
    <row r="157" spans="1:35" ht="30" customHeight="1" x14ac:dyDescent="0.3">
      <c r="A157" s="108" t="s">
        <v>91</v>
      </c>
      <c r="B157" s="91" t="s">
        <v>98</v>
      </c>
      <c r="C157" s="109" t="s">
        <v>289</v>
      </c>
      <c r="D157" s="109">
        <v>74629</v>
      </c>
      <c r="E157" s="109">
        <v>76812</v>
      </c>
      <c r="F157" s="110" t="s">
        <v>287</v>
      </c>
      <c r="G157" s="17" t="s">
        <v>225</v>
      </c>
      <c r="H157" s="109" t="s">
        <v>290</v>
      </c>
      <c r="I157" s="109">
        <v>1</v>
      </c>
      <c r="J157" s="109">
        <v>2.5</v>
      </c>
      <c r="K157" s="109">
        <v>1.8</v>
      </c>
      <c r="L157" s="109">
        <v>5</v>
      </c>
      <c r="M157" s="109"/>
      <c r="N157" s="111" t="s">
        <v>226</v>
      </c>
      <c r="O157" s="111">
        <f t="shared" si="21"/>
        <v>22.5</v>
      </c>
      <c r="P157" s="125">
        <v>44858</v>
      </c>
      <c r="Q157" s="125">
        <v>44874</v>
      </c>
      <c r="R157" s="112">
        <v>1</v>
      </c>
      <c r="S157" s="112">
        <v>1</v>
      </c>
      <c r="T157" s="112">
        <v>1</v>
      </c>
      <c r="U157" s="113">
        <f>IF(ISBLANK(Table1[[#This Row],[OHC Date]]),$B$7-Table1[[#This Row],[HOC Date]]+1,Table1[[#This Row],[OHC Date]]-Table1[[#This Row],[HOC Date]]+1)/7</f>
        <v>2.4285714285714284</v>
      </c>
      <c r="V157" s="114">
        <v>5.29</v>
      </c>
      <c r="W157" s="114">
        <v>0.35</v>
      </c>
      <c r="X157" s="114">
        <f>ROUND(0.7*Table1[[#This Row],[E&amp;D Rate per unit]]*R157*Table1[[#This Row],[Quantity]],2)</f>
        <v>83.32</v>
      </c>
      <c r="Y157" s="114">
        <f t="shared" si="22"/>
        <v>19.13</v>
      </c>
      <c r="Z157" s="114">
        <f>ROUND(0.3*T157*Table1[[#This Row],[E&amp;D Rate per unit]]*Table1[[#This Row],[Quantity]],2)</f>
        <v>35.71</v>
      </c>
      <c r="AA157" s="112">
        <v>1</v>
      </c>
      <c r="AB157" s="21">
        <f>ROUND(X157+Z157+Y157,2)*Table1[[#This Row],[Until WA Approved Only Approved this %]]</f>
        <v>138.16</v>
      </c>
      <c r="AC157" s="136">
        <v>138.16</v>
      </c>
      <c r="AD157" s="136">
        <f>Table1[[#This Row],[Total Amount]]-Table1[[#This Row],[Previous Amount]]</f>
        <v>0</v>
      </c>
      <c r="AE157" s="115"/>
      <c r="AG157" s="174">
        <v>138.16</v>
      </c>
      <c r="AH157" s="178">
        <f>AG157-Table1[[#This Row],[Total Amount]]</f>
        <v>0</v>
      </c>
      <c r="AI157" s="171">
        <f t="shared" si="20"/>
        <v>0</v>
      </c>
    </row>
    <row r="158" spans="1:35" ht="30" customHeight="1" x14ac:dyDescent="0.3">
      <c r="A158" s="108" t="s">
        <v>91</v>
      </c>
      <c r="B158" s="91" t="s">
        <v>98</v>
      </c>
      <c r="C158" s="109" t="s">
        <v>291</v>
      </c>
      <c r="D158" s="109">
        <v>74630</v>
      </c>
      <c r="E158" s="109">
        <v>80826</v>
      </c>
      <c r="F158" s="110" t="s">
        <v>292</v>
      </c>
      <c r="G158" s="17" t="s">
        <v>256</v>
      </c>
      <c r="H158" s="109" t="s">
        <v>178</v>
      </c>
      <c r="I158" s="109">
        <v>1</v>
      </c>
      <c r="J158" s="109">
        <v>4.5</v>
      </c>
      <c r="K158" s="109">
        <v>1</v>
      </c>
      <c r="L158" s="109">
        <v>1</v>
      </c>
      <c r="M158" s="109">
        <v>1</v>
      </c>
      <c r="N158" s="111" t="s">
        <v>162</v>
      </c>
      <c r="O158" s="111">
        <f t="shared" ref="O158:O187" si="23">ROUND(IF(N158="m3",I158*J158*K158*L158,IF(N158="m2-LxH",I158*J158*L158,IF(N158="m2-LxW",I158*J158*K158,IF(N158="rm",I158*L158,IF(N158="lm",I158*J158,IF(N158="unit",I158,"NA")))))),2)</f>
        <v>4.5</v>
      </c>
      <c r="P158" s="125">
        <v>44858</v>
      </c>
      <c r="Q158" s="125">
        <v>44915</v>
      </c>
      <c r="R158" s="112">
        <v>1</v>
      </c>
      <c r="S158" s="112">
        <v>1</v>
      </c>
      <c r="T158" s="112">
        <v>1</v>
      </c>
      <c r="U158" s="113">
        <f>IF(ISBLANK(Table1[[#This Row],[OHC Date]]),$B$7-Table1[[#This Row],[HOC Date]]+1,Table1[[#This Row],[OHC Date]]-Table1[[#This Row],[HOC Date]]+1)/7</f>
        <v>8.2857142857142865</v>
      </c>
      <c r="V158" s="114">
        <v>6.63</v>
      </c>
      <c r="W158" s="114">
        <v>0.7</v>
      </c>
      <c r="X158" s="114">
        <f>ROUND(0.7*Table1[[#This Row],[E&amp;D Rate per unit]]*R158*Table1[[#This Row],[Quantity]],2)</f>
        <v>20.88</v>
      </c>
      <c r="Y158" s="114">
        <f t="shared" ref="Y158:Y187" si="24">ROUND(O158*U158*W158*S158,2)</f>
        <v>26.1</v>
      </c>
      <c r="Z158" s="114">
        <f>ROUND(0.3*T158*Table1[[#This Row],[E&amp;D Rate per unit]]*Table1[[#This Row],[Quantity]],2)</f>
        <v>8.9499999999999993</v>
      </c>
      <c r="AA158" s="112">
        <v>1</v>
      </c>
      <c r="AB158" s="21">
        <f>ROUND(X158+Z158+Y158,2)*Table1[[#This Row],[Until WA Approved Only Approved this %]]</f>
        <v>55.93</v>
      </c>
      <c r="AC158" s="136">
        <v>35.729999999999997</v>
      </c>
      <c r="AD158" s="136">
        <f>Table1[[#This Row],[Total Amount]]-Table1[[#This Row],[Previous Amount]]</f>
        <v>20.200000000000003</v>
      </c>
      <c r="AE158" s="115" t="s">
        <v>220</v>
      </c>
      <c r="AG158" s="174">
        <v>55.93</v>
      </c>
      <c r="AH158" s="178">
        <f>AG158-Table1[[#This Row],[Total Amount]]</f>
        <v>0</v>
      </c>
      <c r="AI158" s="171">
        <f t="shared" si="20"/>
        <v>0</v>
      </c>
    </row>
    <row r="159" spans="1:35" ht="30" customHeight="1" x14ac:dyDescent="0.3">
      <c r="A159" s="108" t="s">
        <v>91</v>
      </c>
      <c r="B159" s="91" t="s">
        <v>98</v>
      </c>
      <c r="C159" s="109" t="s">
        <v>293</v>
      </c>
      <c r="D159" s="109">
        <v>74632</v>
      </c>
      <c r="E159" s="109">
        <v>80827</v>
      </c>
      <c r="F159" s="110" t="s">
        <v>292</v>
      </c>
      <c r="G159" s="17" t="s">
        <v>256</v>
      </c>
      <c r="H159" s="109" t="s">
        <v>178</v>
      </c>
      <c r="I159" s="109">
        <v>1</v>
      </c>
      <c r="J159" s="109">
        <v>2.5</v>
      </c>
      <c r="K159" s="109">
        <v>0.75</v>
      </c>
      <c r="L159" s="109">
        <v>1</v>
      </c>
      <c r="M159" s="109">
        <v>1</v>
      </c>
      <c r="N159" s="111" t="s">
        <v>162</v>
      </c>
      <c r="O159" s="111">
        <f t="shared" si="23"/>
        <v>1.88</v>
      </c>
      <c r="P159" s="125">
        <v>44858</v>
      </c>
      <c r="Q159" s="125">
        <v>44915</v>
      </c>
      <c r="R159" s="112">
        <v>1</v>
      </c>
      <c r="S159" s="112">
        <v>1</v>
      </c>
      <c r="T159" s="112">
        <v>1</v>
      </c>
      <c r="U159" s="113">
        <f>IF(ISBLANK(Table1[[#This Row],[OHC Date]]),$B$7-Table1[[#This Row],[HOC Date]]+1,Table1[[#This Row],[OHC Date]]-Table1[[#This Row],[HOC Date]]+1)/7</f>
        <v>8.2857142857142865</v>
      </c>
      <c r="V159" s="114">
        <v>6.63</v>
      </c>
      <c r="W159" s="114">
        <v>0.7</v>
      </c>
      <c r="X159" s="114">
        <f>ROUND(0.7*Table1[[#This Row],[E&amp;D Rate per unit]]*R159*Table1[[#This Row],[Quantity]],2)</f>
        <v>8.73</v>
      </c>
      <c r="Y159" s="114">
        <f t="shared" si="24"/>
        <v>10.9</v>
      </c>
      <c r="Z159" s="114">
        <f>ROUND(0.3*T159*Table1[[#This Row],[E&amp;D Rate per unit]]*Table1[[#This Row],[Quantity]],2)</f>
        <v>3.74</v>
      </c>
      <c r="AA159" s="112">
        <v>1</v>
      </c>
      <c r="AB159" s="21">
        <f>ROUND(X159+Z159+Y159,2)*Table1[[#This Row],[Until WA Approved Only Approved this %]]</f>
        <v>23.37</v>
      </c>
      <c r="AC159" s="136">
        <v>14.93</v>
      </c>
      <c r="AD159" s="136">
        <f>Table1[[#This Row],[Total Amount]]-Table1[[#This Row],[Previous Amount]]</f>
        <v>8.4400000000000013</v>
      </c>
      <c r="AE159" s="115" t="s">
        <v>220</v>
      </c>
      <c r="AG159" s="174">
        <v>23.37</v>
      </c>
      <c r="AH159" s="178">
        <f>AG159-Table1[[#This Row],[Total Amount]]</f>
        <v>0</v>
      </c>
      <c r="AI159" s="171">
        <f t="shared" si="20"/>
        <v>0</v>
      </c>
    </row>
    <row r="160" spans="1:35" ht="30" customHeight="1" x14ac:dyDescent="0.3">
      <c r="A160" s="108" t="s">
        <v>91</v>
      </c>
      <c r="B160" s="91" t="s">
        <v>98</v>
      </c>
      <c r="C160" s="109">
        <v>17</v>
      </c>
      <c r="D160" s="109">
        <v>74637</v>
      </c>
      <c r="E160" s="109">
        <v>80828</v>
      </c>
      <c r="F160" s="110" t="s">
        <v>292</v>
      </c>
      <c r="G160" s="17" t="s">
        <v>256</v>
      </c>
      <c r="H160" s="109" t="s">
        <v>222</v>
      </c>
      <c r="I160" s="109">
        <v>1</v>
      </c>
      <c r="J160" s="109">
        <v>2.5</v>
      </c>
      <c r="K160" s="109">
        <v>1.3</v>
      </c>
      <c r="L160" s="109">
        <v>2.5</v>
      </c>
      <c r="M160" s="109">
        <v>1</v>
      </c>
      <c r="N160" s="111" t="s">
        <v>223</v>
      </c>
      <c r="O160" s="111">
        <f t="shared" si="23"/>
        <v>2.5</v>
      </c>
      <c r="P160" s="125">
        <v>44859</v>
      </c>
      <c r="Q160" s="125">
        <v>44915</v>
      </c>
      <c r="R160" s="112">
        <v>1</v>
      </c>
      <c r="S160" s="112">
        <v>1</v>
      </c>
      <c r="T160" s="112">
        <v>1</v>
      </c>
      <c r="U160" s="113">
        <f>IF(ISBLANK(Table1[[#This Row],[OHC Date]]),$B$7-Table1[[#This Row],[HOC Date]]+1,Table1[[#This Row],[OHC Date]]-Table1[[#This Row],[HOC Date]]+1)/7</f>
        <v>8.1428571428571423</v>
      </c>
      <c r="V160" s="114">
        <v>63.34</v>
      </c>
      <c r="W160" s="114">
        <v>7.28</v>
      </c>
      <c r="X160" s="114">
        <f>ROUND(0.7*Table1[[#This Row],[E&amp;D Rate per unit]]*R160*Table1[[#This Row],[Quantity]],2)</f>
        <v>110.85</v>
      </c>
      <c r="Y160" s="114">
        <f t="shared" si="24"/>
        <v>148.19999999999999</v>
      </c>
      <c r="Z160" s="114">
        <f>ROUND(0.3*T160*Table1[[#This Row],[E&amp;D Rate per unit]]*Table1[[#This Row],[Quantity]],2)</f>
        <v>47.51</v>
      </c>
      <c r="AA160" s="112">
        <v>1</v>
      </c>
      <c r="AB160" s="21">
        <f>ROUND(X160+Z160+Y160,2)*Table1[[#This Row],[Until WA Approved Only Approved this %]]</f>
        <v>306.56</v>
      </c>
      <c r="AC160" s="136">
        <v>194.05</v>
      </c>
      <c r="AD160" s="136">
        <f>Table1[[#This Row],[Total Amount]]-Table1[[#This Row],[Previous Amount]]</f>
        <v>112.50999999999999</v>
      </c>
      <c r="AE160" s="115" t="s">
        <v>220</v>
      </c>
      <c r="AG160" s="174">
        <v>306.56</v>
      </c>
      <c r="AH160" s="178">
        <f>AG160-Table1[[#This Row],[Total Amount]]</f>
        <v>0</v>
      </c>
      <c r="AI160" s="171">
        <f t="shared" si="20"/>
        <v>0</v>
      </c>
    </row>
    <row r="161" spans="1:35" ht="30" customHeight="1" x14ac:dyDescent="0.3">
      <c r="A161" s="108" t="s">
        <v>91</v>
      </c>
      <c r="B161" s="91" t="s">
        <v>98</v>
      </c>
      <c r="C161" s="109" t="s">
        <v>294</v>
      </c>
      <c r="D161" s="109">
        <v>74638</v>
      </c>
      <c r="E161" s="109">
        <v>80829</v>
      </c>
      <c r="F161" s="110" t="s">
        <v>292</v>
      </c>
      <c r="G161" s="17" t="s">
        <v>256</v>
      </c>
      <c r="H161" s="109" t="s">
        <v>128</v>
      </c>
      <c r="I161" s="109">
        <v>1</v>
      </c>
      <c r="J161" s="109">
        <v>1.5</v>
      </c>
      <c r="K161" s="109">
        <v>0.5</v>
      </c>
      <c r="L161" s="109">
        <v>1</v>
      </c>
      <c r="M161" s="109">
        <v>1</v>
      </c>
      <c r="N161" s="111" t="s">
        <v>162</v>
      </c>
      <c r="O161" s="111">
        <f t="shared" si="23"/>
        <v>0.75</v>
      </c>
      <c r="P161" s="125">
        <v>44859</v>
      </c>
      <c r="Q161" s="125">
        <v>44915</v>
      </c>
      <c r="R161" s="112">
        <v>1</v>
      </c>
      <c r="S161" s="112">
        <v>1</v>
      </c>
      <c r="T161" s="112">
        <v>1</v>
      </c>
      <c r="U161" s="113">
        <f>IF(ISBLANK(Table1[[#This Row],[OHC Date]]),$B$7-Table1[[#This Row],[HOC Date]]+1,Table1[[#This Row],[OHC Date]]-Table1[[#This Row],[HOC Date]]+1)/7</f>
        <v>8.1428571428571423</v>
      </c>
      <c r="V161" s="114">
        <v>32.75</v>
      </c>
      <c r="W161" s="114">
        <v>1.05</v>
      </c>
      <c r="X161" s="114">
        <f>ROUND(0.7*Table1[[#This Row],[E&amp;D Rate per unit]]*R161*Table1[[#This Row],[Quantity]],2)</f>
        <v>17.190000000000001</v>
      </c>
      <c r="Y161" s="114">
        <f t="shared" si="24"/>
        <v>6.41</v>
      </c>
      <c r="Z161" s="114">
        <f>ROUND(0.3*T161*Table1[[#This Row],[E&amp;D Rate per unit]]*Table1[[#This Row],[Quantity]],2)</f>
        <v>7.37</v>
      </c>
      <c r="AA161" s="112">
        <v>1</v>
      </c>
      <c r="AB161" s="21">
        <f>ROUND(X161+Z161+Y161,2)*Table1[[#This Row],[Until WA Approved Only Approved this %]]</f>
        <v>30.97</v>
      </c>
      <c r="AC161" s="136">
        <v>20.79</v>
      </c>
      <c r="AD161" s="136">
        <f>Table1[[#This Row],[Total Amount]]-Table1[[#This Row],[Previous Amount]]</f>
        <v>10.18</v>
      </c>
      <c r="AE161" s="115" t="s">
        <v>220</v>
      </c>
      <c r="AG161" s="174">
        <v>30.97</v>
      </c>
      <c r="AH161" s="178">
        <f>AG161-Table1[[#This Row],[Total Amount]]</f>
        <v>0</v>
      </c>
      <c r="AI161" s="171">
        <f t="shared" si="20"/>
        <v>0</v>
      </c>
    </row>
    <row r="162" spans="1:35" ht="30" customHeight="1" x14ac:dyDescent="0.3">
      <c r="A162" s="141" t="s">
        <v>302</v>
      </c>
      <c r="B162" s="91" t="s">
        <v>99</v>
      </c>
      <c r="C162" s="109">
        <v>35</v>
      </c>
      <c r="D162" s="109">
        <v>77666</v>
      </c>
      <c r="E162" s="109">
        <v>80509</v>
      </c>
      <c r="F162" s="17" t="s">
        <v>303</v>
      </c>
      <c r="G162" s="17" t="s">
        <v>243</v>
      </c>
      <c r="H162" s="16" t="s">
        <v>121</v>
      </c>
      <c r="I162" s="109">
        <v>1</v>
      </c>
      <c r="J162" s="109">
        <v>5</v>
      </c>
      <c r="K162" s="109">
        <v>4.3</v>
      </c>
      <c r="L162" s="109">
        <v>3</v>
      </c>
      <c r="M162" s="109">
        <v>2</v>
      </c>
      <c r="N162" s="111" t="s">
        <v>56</v>
      </c>
      <c r="O162" s="111">
        <f t="shared" si="23"/>
        <v>1</v>
      </c>
      <c r="P162" s="125">
        <v>44858</v>
      </c>
      <c r="Q162" s="125">
        <v>44877</v>
      </c>
      <c r="R162" s="112">
        <v>1</v>
      </c>
      <c r="S162" s="112">
        <v>1</v>
      </c>
      <c r="T162" s="112">
        <v>1</v>
      </c>
      <c r="U162" s="113">
        <f>IF(ISBLANK(Table1[[#This Row],[OHC Date]]),$B$7-Table1[[#This Row],[HOC Date]]+1,Table1[[#This Row],[OHC Date]]-Table1[[#This Row],[HOC Date]]+1)/7</f>
        <v>2.8571428571428572</v>
      </c>
      <c r="V162" s="114">
        <v>2391.4299999999998</v>
      </c>
      <c r="W162" s="114">
        <v>57.19</v>
      </c>
      <c r="X162" s="114">
        <f>ROUND(0.7*Table1[[#This Row],[E&amp;D Rate per unit]]*R162*Table1[[#This Row],[Quantity]],2)</f>
        <v>1674</v>
      </c>
      <c r="Y162" s="114">
        <f t="shared" si="24"/>
        <v>163.4</v>
      </c>
      <c r="Z162" s="114">
        <f>ROUND(0.3*T162*Table1[[#This Row],[E&amp;D Rate per unit]]*Table1[[#This Row],[Quantity]],2)</f>
        <v>717.43</v>
      </c>
      <c r="AA162" s="19">
        <v>1</v>
      </c>
      <c r="AB162" s="21">
        <f>ROUND(X162+Z162+Y162,2)*Table1[[#This Row],[Until WA Approved Only Approved this %]]</f>
        <v>2554.83</v>
      </c>
      <c r="AC162" s="136">
        <v>2554.83</v>
      </c>
      <c r="AD162" s="136">
        <f>Table1[[#This Row],[Total Amount]]-Table1[[#This Row],[Previous Amount]]</f>
        <v>0</v>
      </c>
      <c r="AE162" s="142" t="s">
        <v>304</v>
      </c>
      <c r="AG162" s="174">
        <v>2554.83</v>
      </c>
      <c r="AH162" s="178">
        <f>AG162-Table1[[#This Row],[Total Amount]]</f>
        <v>0</v>
      </c>
      <c r="AI162" s="171">
        <f t="shared" si="20"/>
        <v>0</v>
      </c>
    </row>
    <row r="163" spans="1:35" ht="30" customHeight="1" x14ac:dyDescent="0.3">
      <c r="A163" s="141" t="s">
        <v>199</v>
      </c>
      <c r="B163" s="91" t="s">
        <v>99</v>
      </c>
      <c r="C163" s="16">
        <v>36</v>
      </c>
      <c r="D163" s="16">
        <v>77671</v>
      </c>
      <c r="E163" s="16"/>
      <c r="F163" s="110" t="s">
        <v>201</v>
      </c>
      <c r="G163" s="17" t="s">
        <v>202</v>
      </c>
      <c r="H163" s="109" t="s">
        <v>203</v>
      </c>
      <c r="I163" s="16">
        <v>1</v>
      </c>
      <c r="J163" s="16"/>
      <c r="K163" s="16"/>
      <c r="L163" s="16"/>
      <c r="M163" s="16"/>
      <c r="N163" s="92" t="s">
        <v>56</v>
      </c>
      <c r="O163" s="92">
        <f t="shared" si="23"/>
        <v>1</v>
      </c>
      <c r="P163" s="125">
        <v>44860</v>
      </c>
      <c r="Q163" s="18"/>
      <c r="R163" s="19">
        <v>1</v>
      </c>
      <c r="S163" s="19">
        <v>1</v>
      </c>
      <c r="T163" s="19">
        <v>0</v>
      </c>
      <c r="U163" s="20">
        <f>IF(ISBLANK(Table1[[#This Row],[OHC Date]]),$B$7-Table1[[#This Row],[HOC Date]]+1,Table1[[#This Row],[OHC Date]]-Table1[[#This Row],[HOC Date]]+1)/7</f>
        <v>8.7142857142857135</v>
      </c>
      <c r="V163" s="114">
        <v>4959.7700000000004</v>
      </c>
      <c r="W163" s="114">
        <v>123.48</v>
      </c>
      <c r="X163" s="21">
        <f>ROUND(0.7*Table1[[#This Row],[E&amp;D Rate per unit]]*R163*Table1[[#This Row],[Quantity]],2)</f>
        <v>3471.84</v>
      </c>
      <c r="Y163" s="21">
        <f t="shared" si="24"/>
        <v>1076.04</v>
      </c>
      <c r="Z163" s="21">
        <f>ROUND(0.3*T163*Table1[[#This Row],[E&amp;D Rate per unit]]*Table1[[#This Row],[Quantity]],2)</f>
        <v>0</v>
      </c>
      <c r="AA163" s="19">
        <v>1</v>
      </c>
      <c r="AB163" s="21">
        <f>ROUND(X163+Z163+Y163,2)*Table1[[#This Row],[Until WA Approved Only Approved this %]]</f>
        <v>4547.88</v>
      </c>
      <c r="AC163" s="139">
        <v>4018.68</v>
      </c>
      <c r="AD163" s="139">
        <f>Table1[[#This Row],[Total Amount]]-Table1[[#This Row],[Previous Amount]]</f>
        <v>529.20000000000027</v>
      </c>
      <c r="AE163" s="137" t="s">
        <v>204</v>
      </c>
      <c r="AG163" s="174">
        <v>4547.88</v>
      </c>
      <c r="AH163" s="178">
        <f>AG163-Table1[[#This Row],[Total Amount]]</f>
        <v>0</v>
      </c>
      <c r="AI163" s="171">
        <f t="shared" si="20"/>
        <v>0</v>
      </c>
    </row>
    <row r="164" spans="1:35" ht="30" customHeight="1" x14ac:dyDescent="0.3">
      <c r="A164" s="108" t="s">
        <v>91</v>
      </c>
      <c r="B164" s="91" t="s">
        <v>99</v>
      </c>
      <c r="C164" s="16" t="s">
        <v>305</v>
      </c>
      <c r="D164" s="16">
        <v>77672</v>
      </c>
      <c r="E164" s="16">
        <v>76773</v>
      </c>
      <c r="F164" s="17" t="s">
        <v>240</v>
      </c>
      <c r="G164" s="17" t="s">
        <v>192</v>
      </c>
      <c r="H164" s="16" t="s">
        <v>178</v>
      </c>
      <c r="I164" s="16">
        <v>1</v>
      </c>
      <c r="J164" s="16">
        <v>10.8</v>
      </c>
      <c r="K164" s="16">
        <v>0.5</v>
      </c>
      <c r="L164" s="16">
        <v>1</v>
      </c>
      <c r="M164" s="16">
        <v>1</v>
      </c>
      <c r="N164" s="92" t="s">
        <v>162</v>
      </c>
      <c r="O164" s="92">
        <f t="shared" si="23"/>
        <v>5.4</v>
      </c>
      <c r="P164" s="125">
        <v>44860</v>
      </c>
      <c r="Q164" s="18">
        <v>44862</v>
      </c>
      <c r="R164" s="19">
        <v>1</v>
      </c>
      <c r="S164" s="19">
        <v>1</v>
      </c>
      <c r="T164" s="19">
        <v>1</v>
      </c>
      <c r="U164" s="20">
        <f>IF(ISBLANK(Table1[[#This Row],[OHC Date]]),$B$7-Table1[[#This Row],[HOC Date]]+1,Table1[[#This Row],[OHC Date]]-Table1[[#This Row],[HOC Date]]+1)/7</f>
        <v>0.42857142857142855</v>
      </c>
      <c r="V164" s="21">
        <v>6.63</v>
      </c>
      <c r="W164" s="21">
        <v>0.7</v>
      </c>
      <c r="X164" s="21">
        <f>ROUND(0.7*Table1[[#This Row],[E&amp;D Rate per unit]]*R164*Table1[[#This Row],[Quantity]],2)</f>
        <v>25.06</v>
      </c>
      <c r="Y164" s="21">
        <f t="shared" si="24"/>
        <v>1.62</v>
      </c>
      <c r="Z164" s="21">
        <f>ROUND(0.3*T164*Table1[[#This Row],[E&amp;D Rate per unit]]*Table1[[#This Row],[Quantity]],2)</f>
        <v>10.74</v>
      </c>
      <c r="AA164" s="112">
        <v>1</v>
      </c>
      <c r="AB164" s="21">
        <f>ROUND(X164+Z164+Y164,2)*Table1[[#This Row],[Until WA Approved Only Approved this %]]</f>
        <v>37.42</v>
      </c>
      <c r="AC164" s="139">
        <v>37.42</v>
      </c>
      <c r="AD164" s="139">
        <f>Table1[[#This Row],[Total Amount]]-Table1[[#This Row],[Previous Amount]]</f>
        <v>0</v>
      </c>
      <c r="AE164" s="137"/>
      <c r="AG164" s="174">
        <v>37.42</v>
      </c>
      <c r="AH164" s="178">
        <f>AG164-Table1[[#This Row],[Total Amount]]</f>
        <v>0</v>
      </c>
      <c r="AI164" s="171">
        <f t="shared" si="20"/>
        <v>0</v>
      </c>
    </row>
    <row r="165" spans="1:35" ht="30" customHeight="1" x14ac:dyDescent="0.3">
      <c r="A165" s="108" t="s">
        <v>91</v>
      </c>
      <c r="B165" s="91" t="s">
        <v>99</v>
      </c>
      <c r="C165" s="16" t="s">
        <v>306</v>
      </c>
      <c r="D165" s="16">
        <v>77673</v>
      </c>
      <c r="E165" s="16"/>
      <c r="F165" s="17" t="s">
        <v>240</v>
      </c>
      <c r="G165" s="17" t="s">
        <v>192</v>
      </c>
      <c r="H165" s="16" t="s">
        <v>178</v>
      </c>
      <c r="I165" s="16">
        <v>2</v>
      </c>
      <c r="J165" s="16">
        <v>10.8</v>
      </c>
      <c r="K165" s="16">
        <v>0.25</v>
      </c>
      <c r="L165" s="16">
        <v>1</v>
      </c>
      <c r="M165" s="16">
        <v>2</v>
      </c>
      <c r="N165" s="92" t="s">
        <v>162</v>
      </c>
      <c r="O165" s="92">
        <f t="shared" si="23"/>
        <v>5.4</v>
      </c>
      <c r="P165" s="125">
        <v>44860</v>
      </c>
      <c r="Q165" s="18"/>
      <c r="R165" s="19">
        <v>1</v>
      </c>
      <c r="S165" s="19">
        <v>1</v>
      </c>
      <c r="T165" s="19">
        <v>0</v>
      </c>
      <c r="U165" s="20">
        <f>IF(ISBLANK(Table1[[#This Row],[OHC Date]]),$B$7-Table1[[#This Row],[HOC Date]]+1,Table1[[#This Row],[OHC Date]]-Table1[[#This Row],[HOC Date]]+1)/7</f>
        <v>8.7142857142857135</v>
      </c>
      <c r="V165" s="21">
        <v>6.63</v>
      </c>
      <c r="W165" s="21">
        <v>0.7</v>
      </c>
      <c r="X165" s="21">
        <f>ROUND(0.7*Table1[[#This Row],[E&amp;D Rate per unit]]*R165*Table1[[#This Row],[Quantity]],2)</f>
        <v>25.06</v>
      </c>
      <c r="Y165" s="21">
        <f t="shared" si="24"/>
        <v>32.94</v>
      </c>
      <c r="Z165" s="21">
        <f>ROUND(0.3*T165*Table1[[#This Row],[E&amp;D Rate per unit]]*Table1[[#This Row],[Quantity]],2)</f>
        <v>0</v>
      </c>
      <c r="AA165" s="112">
        <v>1</v>
      </c>
      <c r="AB165" s="21">
        <f>ROUND(X165+Z165+Y165,2)*Table1[[#This Row],[Until WA Approved Only Approved this %]]</f>
        <v>58</v>
      </c>
      <c r="AC165" s="139">
        <v>41.8</v>
      </c>
      <c r="AD165" s="139">
        <f>Table1[[#This Row],[Total Amount]]-Table1[[#This Row],[Previous Amount]]</f>
        <v>16.200000000000003</v>
      </c>
      <c r="AE165" s="137"/>
      <c r="AG165" s="174">
        <v>58</v>
      </c>
      <c r="AH165" s="178">
        <f>AG165-Table1[[#This Row],[Total Amount]]</f>
        <v>0</v>
      </c>
      <c r="AI165" s="171">
        <f t="shared" si="20"/>
        <v>0</v>
      </c>
    </row>
    <row r="166" spans="1:35" ht="30" customHeight="1" x14ac:dyDescent="0.3">
      <c r="A166" s="108" t="s">
        <v>91</v>
      </c>
      <c r="B166" s="91" t="s">
        <v>99</v>
      </c>
      <c r="C166" s="16">
        <v>37</v>
      </c>
      <c r="D166" s="16">
        <v>77674</v>
      </c>
      <c r="E166" s="16"/>
      <c r="F166" s="17" t="s">
        <v>240</v>
      </c>
      <c r="G166" s="17" t="s">
        <v>307</v>
      </c>
      <c r="H166" s="16" t="s">
        <v>222</v>
      </c>
      <c r="I166" s="16">
        <v>1</v>
      </c>
      <c r="J166" s="16">
        <v>2.5</v>
      </c>
      <c r="K166" s="16">
        <v>1.3</v>
      </c>
      <c r="L166" s="16">
        <v>1</v>
      </c>
      <c r="M166" s="16">
        <v>1</v>
      </c>
      <c r="N166" s="92" t="s">
        <v>223</v>
      </c>
      <c r="O166" s="92">
        <f t="shared" si="23"/>
        <v>1</v>
      </c>
      <c r="P166" s="125">
        <v>44862</v>
      </c>
      <c r="Q166" s="18"/>
      <c r="R166" s="19">
        <v>1</v>
      </c>
      <c r="S166" s="19">
        <v>1</v>
      </c>
      <c r="T166" s="19">
        <v>0</v>
      </c>
      <c r="U166" s="20">
        <f>IF(ISBLANK(Table1[[#This Row],[OHC Date]]),$B$7-Table1[[#This Row],[HOC Date]]+1,Table1[[#This Row],[OHC Date]]-Table1[[#This Row],[HOC Date]]+1)/7</f>
        <v>8.4285714285714288</v>
      </c>
      <c r="V166" s="21">
        <v>63.34</v>
      </c>
      <c r="W166" s="21">
        <v>7.28</v>
      </c>
      <c r="X166" s="21">
        <f>ROUND(0.7*Table1[[#This Row],[E&amp;D Rate per unit]]*R166*Table1[[#This Row],[Quantity]],2)</f>
        <v>44.34</v>
      </c>
      <c r="Y166" s="21">
        <f t="shared" si="24"/>
        <v>61.36</v>
      </c>
      <c r="Z166" s="21">
        <f>ROUND(0.3*T166*Table1[[#This Row],[E&amp;D Rate per unit]]*Table1[[#This Row],[Quantity]],2)</f>
        <v>0</v>
      </c>
      <c r="AA166" s="112">
        <v>1</v>
      </c>
      <c r="AB166" s="21">
        <f>ROUND(X166+Z166+Y166,2)*Table1[[#This Row],[Until WA Approved Only Approved this %]]</f>
        <v>105.7</v>
      </c>
      <c r="AC166" s="139">
        <v>74.5</v>
      </c>
      <c r="AD166" s="139">
        <f>Table1[[#This Row],[Total Amount]]-Table1[[#This Row],[Previous Amount]]</f>
        <v>31.200000000000003</v>
      </c>
      <c r="AE166" s="137"/>
      <c r="AG166" s="174">
        <v>105.7</v>
      </c>
      <c r="AH166" s="178">
        <f>AG166-Table1[[#This Row],[Total Amount]]</f>
        <v>0</v>
      </c>
      <c r="AI166" s="171">
        <f t="shared" si="20"/>
        <v>0</v>
      </c>
    </row>
    <row r="167" spans="1:35" ht="30" customHeight="1" x14ac:dyDescent="0.3">
      <c r="A167" s="108" t="s">
        <v>91</v>
      </c>
      <c r="B167" s="91" t="s">
        <v>99</v>
      </c>
      <c r="C167" s="16">
        <v>38</v>
      </c>
      <c r="D167" s="16">
        <v>77675</v>
      </c>
      <c r="E167" s="16">
        <v>76795</v>
      </c>
      <c r="F167" s="17" t="s">
        <v>308</v>
      </c>
      <c r="G167" s="17" t="s">
        <v>202</v>
      </c>
      <c r="H167" s="16" t="s">
        <v>207</v>
      </c>
      <c r="I167" s="16">
        <v>1</v>
      </c>
      <c r="J167" s="16">
        <v>3.1</v>
      </c>
      <c r="K167" s="16">
        <v>1.3</v>
      </c>
      <c r="L167" s="16">
        <v>4.2</v>
      </c>
      <c r="M167" s="16">
        <v>1</v>
      </c>
      <c r="N167" s="92" t="s">
        <v>208</v>
      </c>
      <c r="O167" s="92">
        <f t="shared" si="23"/>
        <v>13.02</v>
      </c>
      <c r="P167" s="125">
        <v>44862</v>
      </c>
      <c r="Q167" s="18">
        <v>44869</v>
      </c>
      <c r="R167" s="19">
        <v>1</v>
      </c>
      <c r="S167" s="19">
        <v>1</v>
      </c>
      <c r="T167" s="19">
        <v>1</v>
      </c>
      <c r="U167" s="20">
        <f>IF(ISBLANK(Table1[[#This Row],[OHC Date]]),$B$7-Table1[[#This Row],[HOC Date]]+1,Table1[[#This Row],[OHC Date]]-Table1[[#This Row],[HOC Date]]+1)/7</f>
        <v>1.1428571428571428</v>
      </c>
      <c r="V167" s="21">
        <v>12.01</v>
      </c>
      <c r="W167" s="21">
        <v>0.49</v>
      </c>
      <c r="X167" s="21">
        <f>ROUND(0.7*Table1[[#This Row],[E&amp;D Rate per unit]]*R167*Table1[[#This Row],[Quantity]],2)</f>
        <v>109.46</v>
      </c>
      <c r="Y167" s="21">
        <f t="shared" si="24"/>
        <v>7.29</v>
      </c>
      <c r="Z167" s="21">
        <f>ROUND(0.3*T167*Table1[[#This Row],[E&amp;D Rate per unit]]*Table1[[#This Row],[Quantity]],2)</f>
        <v>46.91</v>
      </c>
      <c r="AA167" s="112">
        <v>1</v>
      </c>
      <c r="AB167" s="21">
        <f>ROUND(X167+Z167+Y167,2)*Table1[[#This Row],[Until WA Approved Only Approved this %]]</f>
        <v>163.66</v>
      </c>
      <c r="AC167" s="139">
        <v>163.66</v>
      </c>
      <c r="AD167" s="139">
        <f>Table1[[#This Row],[Total Amount]]-Table1[[#This Row],[Previous Amount]]</f>
        <v>0</v>
      </c>
      <c r="AE167" s="137"/>
      <c r="AG167" s="174">
        <v>163.66</v>
      </c>
      <c r="AH167" s="178">
        <f>AG167-Table1[[#This Row],[Total Amount]]</f>
        <v>0</v>
      </c>
      <c r="AI167" s="171">
        <f t="shared" si="20"/>
        <v>0</v>
      </c>
    </row>
    <row r="168" spans="1:35" ht="30" customHeight="1" x14ac:dyDescent="0.3">
      <c r="A168" s="108" t="s">
        <v>91</v>
      </c>
      <c r="B168" s="91" t="s">
        <v>99</v>
      </c>
      <c r="C168" s="16">
        <v>38</v>
      </c>
      <c r="D168" s="16">
        <v>77675</v>
      </c>
      <c r="E168" s="16">
        <v>76795</v>
      </c>
      <c r="F168" s="17" t="s">
        <v>308</v>
      </c>
      <c r="G168" s="17" t="s">
        <v>202</v>
      </c>
      <c r="H168" s="16" t="s">
        <v>178</v>
      </c>
      <c r="I168" s="16">
        <v>1</v>
      </c>
      <c r="J168" s="16">
        <v>3.1</v>
      </c>
      <c r="K168" s="16">
        <v>1.3</v>
      </c>
      <c r="L168" s="16"/>
      <c r="M168" s="16">
        <v>1</v>
      </c>
      <c r="N168" s="92" t="s">
        <v>162</v>
      </c>
      <c r="O168" s="92">
        <f t="shared" si="23"/>
        <v>4.03</v>
      </c>
      <c r="P168" s="125">
        <v>44862</v>
      </c>
      <c r="Q168" s="18">
        <v>44869</v>
      </c>
      <c r="R168" s="19">
        <v>1</v>
      </c>
      <c r="S168" s="19">
        <v>1</v>
      </c>
      <c r="T168" s="19">
        <v>1</v>
      </c>
      <c r="U168" s="20">
        <f>IF(ISBLANK(Table1[[#This Row],[OHC Date]]),$B$7-Table1[[#This Row],[HOC Date]]+1,Table1[[#This Row],[OHC Date]]-Table1[[#This Row],[HOC Date]]+1)/7</f>
        <v>1.1428571428571428</v>
      </c>
      <c r="V168" s="21">
        <v>6.63</v>
      </c>
      <c r="W168" s="21">
        <v>0.7</v>
      </c>
      <c r="X168" s="21">
        <f>ROUND(0.7*Table1[[#This Row],[E&amp;D Rate per unit]]*R168*Table1[[#This Row],[Quantity]],2)</f>
        <v>18.7</v>
      </c>
      <c r="Y168" s="21">
        <f t="shared" si="24"/>
        <v>3.22</v>
      </c>
      <c r="Z168" s="21">
        <f>ROUND(0.3*T168*Table1[[#This Row],[E&amp;D Rate per unit]]*Table1[[#This Row],[Quantity]],2)</f>
        <v>8.02</v>
      </c>
      <c r="AA168" s="112">
        <v>1</v>
      </c>
      <c r="AB168" s="21">
        <f>ROUND(X168+Z168+Y168,2)*Table1[[#This Row],[Until WA Approved Only Approved this %]]</f>
        <v>29.94</v>
      </c>
      <c r="AC168" s="139">
        <v>29.94</v>
      </c>
      <c r="AD168" s="139">
        <f>Table1[[#This Row],[Total Amount]]-Table1[[#This Row],[Previous Amount]]</f>
        <v>0</v>
      </c>
      <c r="AE168" s="137"/>
      <c r="AG168" s="174">
        <v>29.94</v>
      </c>
      <c r="AH168" s="178">
        <f>AG168-Table1[[#This Row],[Total Amount]]</f>
        <v>0</v>
      </c>
      <c r="AI168" s="171">
        <f t="shared" si="20"/>
        <v>0</v>
      </c>
    </row>
    <row r="169" spans="1:35" ht="30" customHeight="1" x14ac:dyDescent="0.3">
      <c r="A169" s="108" t="s">
        <v>91</v>
      </c>
      <c r="B169" s="91" t="s">
        <v>99</v>
      </c>
      <c r="C169" s="16">
        <v>39</v>
      </c>
      <c r="D169" s="16">
        <v>77676</v>
      </c>
      <c r="E169" s="16"/>
      <c r="F169" s="17" t="s">
        <v>309</v>
      </c>
      <c r="G169" s="17" t="s">
        <v>228</v>
      </c>
      <c r="H169" s="16" t="s">
        <v>121</v>
      </c>
      <c r="I169" s="16">
        <v>1</v>
      </c>
      <c r="J169" s="16">
        <v>3</v>
      </c>
      <c r="K169" s="16">
        <v>3</v>
      </c>
      <c r="L169" s="16">
        <v>5</v>
      </c>
      <c r="M169" s="16">
        <v>1</v>
      </c>
      <c r="N169" s="92" t="s">
        <v>226</v>
      </c>
      <c r="O169" s="92">
        <f t="shared" si="23"/>
        <v>45</v>
      </c>
      <c r="P169" s="18">
        <v>44862</v>
      </c>
      <c r="Q169" s="18"/>
      <c r="R169" s="19">
        <v>1</v>
      </c>
      <c r="S169" s="19">
        <v>1</v>
      </c>
      <c r="T169" s="19">
        <v>0</v>
      </c>
      <c r="U169" s="20">
        <f>IF(ISBLANK(Table1[[#This Row],[OHC Date]]),$B$7-Table1[[#This Row],[HOC Date]]+1,Table1[[#This Row],[OHC Date]]-Table1[[#This Row],[HOC Date]]+1)/7</f>
        <v>8.4285714285714288</v>
      </c>
      <c r="V169" s="21">
        <v>7.08</v>
      </c>
      <c r="W169" s="21">
        <v>0.49</v>
      </c>
      <c r="X169" s="21">
        <f>ROUND(0.7*Table1[[#This Row],[E&amp;D Rate per unit]]*R169*Table1[[#This Row],[Quantity]],2)</f>
        <v>223.02</v>
      </c>
      <c r="Y169" s="21">
        <f t="shared" si="24"/>
        <v>185.85</v>
      </c>
      <c r="Z169" s="21">
        <f>ROUND(0.3*T169*Table1[[#This Row],[E&amp;D Rate per unit]]*Table1[[#This Row],[Quantity]],2)</f>
        <v>0</v>
      </c>
      <c r="AA169" s="112">
        <v>1</v>
      </c>
      <c r="AB169" s="21">
        <f>ROUND(X169+Z169+Y169,2)*Table1[[#This Row],[Until WA Approved Only Approved this %]]</f>
        <v>408.87</v>
      </c>
      <c r="AC169" s="139">
        <v>314.37</v>
      </c>
      <c r="AD169" s="139">
        <f>Table1[[#This Row],[Total Amount]]-Table1[[#This Row],[Previous Amount]]</f>
        <v>94.5</v>
      </c>
      <c r="AE169" s="137"/>
      <c r="AG169" s="174">
        <v>408.87</v>
      </c>
      <c r="AH169" s="178">
        <f>AG169-Table1[[#This Row],[Total Amount]]</f>
        <v>0</v>
      </c>
      <c r="AI169" s="171">
        <f t="shared" si="20"/>
        <v>0</v>
      </c>
    </row>
    <row r="170" spans="1:35" ht="30" customHeight="1" x14ac:dyDescent="0.3">
      <c r="A170" s="108" t="s">
        <v>91</v>
      </c>
      <c r="B170" s="91" t="s">
        <v>99</v>
      </c>
      <c r="C170" s="16">
        <v>40</v>
      </c>
      <c r="D170" s="16">
        <v>77677</v>
      </c>
      <c r="E170" s="16"/>
      <c r="F170" s="17" t="s">
        <v>310</v>
      </c>
      <c r="G170" s="17" t="s">
        <v>192</v>
      </c>
      <c r="H170" s="16" t="s">
        <v>311</v>
      </c>
      <c r="I170" s="16">
        <v>1</v>
      </c>
      <c r="J170" s="16">
        <v>10</v>
      </c>
      <c r="K170" s="16"/>
      <c r="L170" s="16">
        <v>1</v>
      </c>
      <c r="M170" s="16"/>
      <c r="N170" s="92" t="s">
        <v>285</v>
      </c>
      <c r="O170" s="92">
        <f t="shared" si="23"/>
        <v>10</v>
      </c>
      <c r="P170" s="18">
        <v>44863</v>
      </c>
      <c r="Q170" s="18"/>
      <c r="R170" s="19">
        <v>1</v>
      </c>
      <c r="S170" s="19">
        <v>1</v>
      </c>
      <c r="T170" s="19">
        <v>0</v>
      </c>
      <c r="U170" s="20">
        <f>IF(ISBLANK(Table1[[#This Row],[OHC Date]]),$B$7-Table1[[#This Row],[HOC Date]]+1,Table1[[#This Row],[OHC Date]]-Table1[[#This Row],[HOC Date]]+1)/7</f>
        <v>8.2857142857142865</v>
      </c>
      <c r="V170" s="21">
        <v>12</v>
      </c>
      <c r="W170" s="21">
        <v>0.7</v>
      </c>
      <c r="X170" s="21">
        <f>ROUND(0.7*Table1[[#This Row],[E&amp;D Rate per unit]]*R170*Table1[[#This Row],[Quantity]],2)</f>
        <v>84</v>
      </c>
      <c r="Y170" s="21">
        <f t="shared" si="24"/>
        <v>58</v>
      </c>
      <c r="Z170" s="21">
        <f>ROUND(0.3*T170*Table1[[#This Row],[E&amp;D Rate per unit]]*Table1[[#This Row],[Quantity]],2)</f>
        <v>0</v>
      </c>
      <c r="AA170" s="112">
        <v>1</v>
      </c>
      <c r="AB170" s="21">
        <f>ROUND(X170+Z170+Y170,2)*Table1[[#This Row],[Until WA Approved Only Approved this %]]</f>
        <v>142</v>
      </c>
      <c r="AC170" s="139">
        <v>112</v>
      </c>
      <c r="AD170" s="139">
        <f>Table1[[#This Row],[Total Amount]]-Table1[[#This Row],[Previous Amount]]</f>
        <v>30</v>
      </c>
      <c r="AE170" s="137"/>
      <c r="AG170" s="174">
        <v>142</v>
      </c>
      <c r="AH170" s="178">
        <f>AG170-Table1[[#This Row],[Total Amount]]</f>
        <v>0</v>
      </c>
      <c r="AI170" s="171">
        <f t="shared" si="20"/>
        <v>0</v>
      </c>
    </row>
    <row r="171" spans="1:35" ht="30" customHeight="1" x14ac:dyDescent="0.3">
      <c r="A171" s="108" t="s">
        <v>91</v>
      </c>
      <c r="B171" s="91" t="s">
        <v>99</v>
      </c>
      <c r="C171" s="16" t="s">
        <v>312</v>
      </c>
      <c r="D171" s="16">
        <v>77678</v>
      </c>
      <c r="E171" s="16"/>
      <c r="F171" s="17" t="s">
        <v>240</v>
      </c>
      <c r="G171" s="17" t="s">
        <v>161</v>
      </c>
      <c r="H171" s="109" t="s">
        <v>128</v>
      </c>
      <c r="I171" s="16">
        <v>1</v>
      </c>
      <c r="J171" s="16">
        <v>10.8</v>
      </c>
      <c r="K171" s="16">
        <v>0.5</v>
      </c>
      <c r="L171" s="16">
        <v>1</v>
      </c>
      <c r="M171" s="16">
        <v>1</v>
      </c>
      <c r="N171" s="92" t="s">
        <v>162</v>
      </c>
      <c r="O171" s="92">
        <f t="shared" si="23"/>
        <v>5.4</v>
      </c>
      <c r="P171" s="18">
        <v>44863</v>
      </c>
      <c r="Q171" s="18"/>
      <c r="R171" s="19">
        <v>1</v>
      </c>
      <c r="S171" s="19">
        <v>1</v>
      </c>
      <c r="T171" s="19">
        <v>0</v>
      </c>
      <c r="U171" s="20">
        <f>IF(ISBLANK(Table1[[#This Row],[OHC Date]]),$B$7-Table1[[#This Row],[HOC Date]]+1,Table1[[#This Row],[OHC Date]]-Table1[[#This Row],[HOC Date]]+1)/7</f>
        <v>8.2857142857142865</v>
      </c>
      <c r="V171" s="21">
        <v>32.75</v>
      </c>
      <c r="W171" s="21">
        <v>1.05</v>
      </c>
      <c r="X171" s="21">
        <f>ROUND(0.7*Table1[[#This Row],[E&amp;D Rate per unit]]*R171*Table1[[#This Row],[Quantity]],2)</f>
        <v>123.8</v>
      </c>
      <c r="Y171" s="21">
        <f t="shared" si="24"/>
        <v>46.98</v>
      </c>
      <c r="Z171" s="21">
        <f>ROUND(0.3*T171*Table1[[#This Row],[E&amp;D Rate per unit]]*Table1[[#This Row],[Quantity]],2)</f>
        <v>0</v>
      </c>
      <c r="AA171" s="112">
        <v>1</v>
      </c>
      <c r="AB171" s="21">
        <f>ROUND(X171+Z171+Y171,2)*Table1[[#This Row],[Until WA Approved Only Approved this %]]</f>
        <v>170.78</v>
      </c>
      <c r="AC171" s="139">
        <v>146.47999999999999</v>
      </c>
      <c r="AD171" s="139">
        <f>Table1[[#This Row],[Total Amount]]-Table1[[#This Row],[Previous Amount]]</f>
        <v>24.300000000000011</v>
      </c>
      <c r="AE171" s="137"/>
      <c r="AG171" s="174">
        <v>170.78</v>
      </c>
      <c r="AH171" s="178">
        <f>AG171-Table1[[#This Row],[Total Amount]]</f>
        <v>0</v>
      </c>
      <c r="AI171" s="171">
        <f t="shared" si="20"/>
        <v>0</v>
      </c>
    </row>
    <row r="172" spans="1:35" ht="30" customHeight="1" x14ac:dyDescent="0.3">
      <c r="A172" s="108" t="s">
        <v>91</v>
      </c>
      <c r="B172" s="91" t="s">
        <v>99</v>
      </c>
      <c r="C172" s="16">
        <v>41</v>
      </c>
      <c r="D172" s="16">
        <v>77679</v>
      </c>
      <c r="E172" s="16">
        <v>76796</v>
      </c>
      <c r="F172" s="17" t="s">
        <v>313</v>
      </c>
      <c r="G172" s="17" t="s">
        <v>202</v>
      </c>
      <c r="H172" s="16" t="s">
        <v>207</v>
      </c>
      <c r="I172" s="16">
        <v>1</v>
      </c>
      <c r="J172" s="16">
        <v>5.4</v>
      </c>
      <c r="K172" s="16">
        <v>1.3</v>
      </c>
      <c r="L172" s="16">
        <v>4</v>
      </c>
      <c r="M172" s="16">
        <v>1</v>
      </c>
      <c r="N172" s="92" t="s">
        <v>208</v>
      </c>
      <c r="O172" s="92">
        <f t="shared" si="23"/>
        <v>21.6</v>
      </c>
      <c r="P172" s="18">
        <v>44863</v>
      </c>
      <c r="Q172" s="18">
        <v>44874</v>
      </c>
      <c r="R172" s="19">
        <v>1</v>
      </c>
      <c r="S172" s="19">
        <v>1</v>
      </c>
      <c r="T172" s="19">
        <v>1</v>
      </c>
      <c r="U172" s="20">
        <f>IF(ISBLANK(Table1[[#This Row],[OHC Date]]),$B$7-Table1[[#This Row],[HOC Date]]+1,Table1[[#This Row],[OHC Date]]-Table1[[#This Row],[HOC Date]]+1)/7</f>
        <v>1.7142857142857142</v>
      </c>
      <c r="V172" s="21">
        <v>12.01</v>
      </c>
      <c r="W172" s="21">
        <v>0.49</v>
      </c>
      <c r="X172" s="21">
        <f>ROUND(0.7*Table1[[#This Row],[E&amp;D Rate per unit]]*R172*Table1[[#This Row],[Quantity]],2)</f>
        <v>181.59</v>
      </c>
      <c r="Y172" s="21">
        <f t="shared" si="24"/>
        <v>18.14</v>
      </c>
      <c r="Z172" s="21">
        <f>ROUND(0.3*T172*Table1[[#This Row],[E&amp;D Rate per unit]]*Table1[[#This Row],[Quantity]],2)</f>
        <v>77.819999999999993</v>
      </c>
      <c r="AA172" s="112">
        <v>1</v>
      </c>
      <c r="AB172" s="21">
        <f>ROUND(X172+Z172+Y172,2)*Table1[[#This Row],[Until WA Approved Only Approved this %]]</f>
        <v>277.55</v>
      </c>
      <c r="AC172" s="139">
        <v>277.55</v>
      </c>
      <c r="AD172" s="139">
        <f>Table1[[#This Row],[Total Amount]]-Table1[[#This Row],[Previous Amount]]</f>
        <v>0</v>
      </c>
      <c r="AE172" s="137"/>
      <c r="AG172" s="174">
        <v>277.55</v>
      </c>
      <c r="AH172" s="178">
        <f>AG172-Table1[[#This Row],[Total Amount]]</f>
        <v>0</v>
      </c>
      <c r="AI172" s="171">
        <f t="shared" si="20"/>
        <v>0</v>
      </c>
    </row>
    <row r="173" spans="1:35" ht="30" customHeight="1" x14ac:dyDescent="0.3">
      <c r="A173" s="108" t="s">
        <v>91</v>
      </c>
      <c r="B173" s="91" t="s">
        <v>99</v>
      </c>
      <c r="C173" s="16">
        <v>41</v>
      </c>
      <c r="D173" s="16">
        <v>77679</v>
      </c>
      <c r="E173" s="16">
        <v>76796</v>
      </c>
      <c r="F173" s="17" t="s">
        <v>313</v>
      </c>
      <c r="G173" s="17" t="s">
        <v>202</v>
      </c>
      <c r="H173" s="16" t="s">
        <v>178</v>
      </c>
      <c r="I173" s="16">
        <v>1</v>
      </c>
      <c r="J173" s="16">
        <v>5.4</v>
      </c>
      <c r="K173" s="16">
        <v>1.3</v>
      </c>
      <c r="L173" s="16">
        <v>1</v>
      </c>
      <c r="M173" s="16">
        <v>1</v>
      </c>
      <c r="N173" s="92" t="s">
        <v>162</v>
      </c>
      <c r="O173" s="92">
        <f t="shared" si="23"/>
        <v>7.02</v>
      </c>
      <c r="P173" s="18">
        <v>44863</v>
      </c>
      <c r="Q173" s="18">
        <v>44874</v>
      </c>
      <c r="R173" s="19">
        <v>1</v>
      </c>
      <c r="S173" s="19">
        <v>1</v>
      </c>
      <c r="T173" s="19">
        <v>1</v>
      </c>
      <c r="U173" s="20">
        <f>IF(ISBLANK(Table1[[#This Row],[OHC Date]]),$B$7-Table1[[#This Row],[HOC Date]]+1,Table1[[#This Row],[OHC Date]]-Table1[[#This Row],[HOC Date]]+1)/7</f>
        <v>1.7142857142857142</v>
      </c>
      <c r="V173" s="21">
        <v>6.63</v>
      </c>
      <c r="W173" s="21">
        <v>0.7</v>
      </c>
      <c r="X173" s="21">
        <f>ROUND(0.7*Table1[[#This Row],[E&amp;D Rate per unit]]*R173*Table1[[#This Row],[Quantity]],2)</f>
        <v>32.58</v>
      </c>
      <c r="Y173" s="21">
        <f t="shared" si="24"/>
        <v>8.42</v>
      </c>
      <c r="Z173" s="21">
        <f>ROUND(0.3*T173*Table1[[#This Row],[E&amp;D Rate per unit]]*Table1[[#This Row],[Quantity]],2)</f>
        <v>13.96</v>
      </c>
      <c r="AA173" s="112">
        <v>1</v>
      </c>
      <c r="AB173" s="21">
        <f>ROUND(X173+Z173+Y173,2)*Table1[[#This Row],[Until WA Approved Only Approved this %]]</f>
        <v>54.96</v>
      </c>
      <c r="AC173" s="139">
        <v>54.96</v>
      </c>
      <c r="AD173" s="139">
        <f>Table1[[#This Row],[Total Amount]]-Table1[[#This Row],[Previous Amount]]</f>
        <v>0</v>
      </c>
      <c r="AE173" s="137"/>
      <c r="AG173" s="174">
        <v>54.96</v>
      </c>
      <c r="AH173" s="178">
        <f>AG173-Table1[[#This Row],[Total Amount]]</f>
        <v>0</v>
      </c>
      <c r="AI173" s="171">
        <f t="shared" si="20"/>
        <v>0</v>
      </c>
    </row>
    <row r="174" spans="1:35" ht="30" customHeight="1" x14ac:dyDescent="0.3">
      <c r="A174" s="91" t="s">
        <v>91</v>
      </c>
      <c r="B174" s="91" t="s">
        <v>99</v>
      </c>
      <c r="C174" s="16" t="s">
        <v>314</v>
      </c>
      <c r="D174" s="16">
        <v>77680</v>
      </c>
      <c r="E174" s="16">
        <v>76785</v>
      </c>
      <c r="F174" s="17" t="s">
        <v>313</v>
      </c>
      <c r="G174" s="17" t="s">
        <v>202</v>
      </c>
      <c r="H174" s="109" t="s">
        <v>128</v>
      </c>
      <c r="I174" s="16">
        <v>2</v>
      </c>
      <c r="J174" s="16">
        <v>2</v>
      </c>
      <c r="K174" s="16">
        <v>0.5</v>
      </c>
      <c r="L174" s="16">
        <v>1</v>
      </c>
      <c r="M174" s="16">
        <v>2</v>
      </c>
      <c r="N174" s="92" t="s">
        <v>162</v>
      </c>
      <c r="O174" s="92">
        <f t="shared" si="23"/>
        <v>2</v>
      </c>
      <c r="P174" s="18">
        <v>44863</v>
      </c>
      <c r="Q174" s="18">
        <v>44868</v>
      </c>
      <c r="R174" s="19">
        <v>1</v>
      </c>
      <c r="S174" s="19">
        <v>1</v>
      </c>
      <c r="T174" s="19">
        <v>1</v>
      </c>
      <c r="U174" s="20">
        <f>IF(ISBLANK(Table1[[#This Row],[OHC Date]]),$B$7-Table1[[#This Row],[HOC Date]]+1,Table1[[#This Row],[OHC Date]]-Table1[[#This Row],[HOC Date]]+1)/7</f>
        <v>0.8571428571428571</v>
      </c>
      <c r="V174" s="21">
        <v>32.75</v>
      </c>
      <c r="W174" s="21">
        <v>1.05</v>
      </c>
      <c r="X174" s="21">
        <f>ROUND(0.7*Table1[[#This Row],[E&amp;D Rate per unit]]*R174*Table1[[#This Row],[Quantity]],2)</f>
        <v>45.85</v>
      </c>
      <c r="Y174" s="21">
        <f t="shared" si="24"/>
        <v>1.8</v>
      </c>
      <c r="Z174" s="21">
        <f>ROUND(0.3*T174*Table1[[#This Row],[E&amp;D Rate per unit]]*Table1[[#This Row],[Quantity]],2)</f>
        <v>19.649999999999999</v>
      </c>
      <c r="AA174" s="112">
        <v>1</v>
      </c>
      <c r="AB174" s="21">
        <f>ROUND(X174+Z174+Y174,2)*Table1[[#This Row],[Until WA Approved Only Approved this %]]</f>
        <v>67.3</v>
      </c>
      <c r="AC174" s="139">
        <v>67.3</v>
      </c>
      <c r="AD174" s="139">
        <f>Table1[[#This Row],[Total Amount]]-Table1[[#This Row],[Previous Amount]]</f>
        <v>0</v>
      </c>
      <c r="AE174" s="137"/>
      <c r="AG174" s="174">
        <v>67.3</v>
      </c>
      <c r="AH174" s="178">
        <f>AG174-Table1[[#This Row],[Total Amount]]</f>
        <v>0</v>
      </c>
      <c r="AI174" s="171">
        <f t="shared" si="20"/>
        <v>0</v>
      </c>
    </row>
    <row r="175" spans="1:35" ht="30" customHeight="1" x14ac:dyDescent="0.3">
      <c r="A175" s="91" t="s">
        <v>91</v>
      </c>
      <c r="B175" s="91" t="s">
        <v>99</v>
      </c>
      <c r="C175" s="16" t="s">
        <v>315</v>
      </c>
      <c r="D175" s="16">
        <v>77681</v>
      </c>
      <c r="E175" s="16">
        <v>76778</v>
      </c>
      <c r="F175" s="17" t="s">
        <v>313</v>
      </c>
      <c r="G175" s="17" t="s">
        <v>202</v>
      </c>
      <c r="H175" s="109" t="s">
        <v>128</v>
      </c>
      <c r="I175" s="16">
        <v>2</v>
      </c>
      <c r="J175" s="16">
        <v>2</v>
      </c>
      <c r="K175" s="16">
        <v>0.5</v>
      </c>
      <c r="L175" s="16">
        <v>1</v>
      </c>
      <c r="M175" s="16">
        <v>2</v>
      </c>
      <c r="N175" s="92" t="s">
        <v>162</v>
      </c>
      <c r="O175" s="92">
        <f t="shared" si="23"/>
        <v>2</v>
      </c>
      <c r="P175" s="18">
        <v>44863</v>
      </c>
      <c r="Q175" s="18">
        <v>44867</v>
      </c>
      <c r="R175" s="19">
        <v>1</v>
      </c>
      <c r="S175" s="19">
        <v>1</v>
      </c>
      <c r="T175" s="19">
        <v>1</v>
      </c>
      <c r="U175" s="20">
        <f>IF(ISBLANK(Table1[[#This Row],[OHC Date]]),$B$7-Table1[[#This Row],[HOC Date]]+1,Table1[[#This Row],[OHC Date]]-Table1[[#This Row],[HOC Date]]+1)/7</f>
        <v>0.7142857142857143</v>
      </c>
      <c r="V175" s="21">
        <v>32.75</v>
      </c>
      <c r="W175" s="21">
        <v>1.05</v>
      </c>
      <c r="X175" s="21">
        <f>ROUND(0.7*Table1[[#This Row],[E&amp;D Rate per unit]]*R175*Table1[[#This Row],[Quantity]],2)</f>
        <v>45.85</v>
      </c>
      <c r="Y175" s="21">
        <f t="shared" si="24"/>
        <v>1.5</v>
      </c>
      <c r="Z175" s="21">
        <f>ROUND(0.3*T175*Table1[[#This Row],[E&amp;D Rate per unit]]*Table1[[#This Row],[Quantity]],2)</f>
        <v>19.649999999999999</v>
      </c>
      <c r="AA175" s="112">
        <v>1</v>
      </c>
      <c r="AB175" s="21">
        <f>ROUND(X175+Z175+Y175,2)*Table1[[#This Row],[Until WA Approved Only Approved this %]]</f>
        <v>67</v>
      </c>
      <c r="AC175" s="139">
        <v>67</v>
      </c>
      <c r="AD175" s="139">
        <f>Table1[[#This Row],[Total Amount]]-Table1[[#This Row],[Previous Amount]]</f>
        <v>0</v>
      </c>
      <c r="AE175" s="137"/>
      <c r="AG175" s="174">
        <v>67</v>
      </c>
      <c r="AH175" s="178">
        <f>AG175-Table1[[#This Row],[Total Amount]]</f>
        <v>0</v>
      </c>
      <c r="AI175" s="171">
        <f t="shared" si="20"/>
        <v>0</v>
      </c>
    </row>
    <row r="176" spans="1:35" ht="30" customHeight="1" x14ac:dyDescent="0.3">
      <c r="A176" s="91" t="s">
        <v>91</v>
      </c>
      <c r="B176" s="91" t="s">
        <v>99</v>
      </c>
      <c r="C176" s="16" t="s">
        <v>316</v>
      </c>
      <c r="D176" s="16">
        <v>77682</v>
      </c>
      <c r="E176" s="16"/>
      <c r="F176" s="17" t="s">
        <v>309</v>
      </c>
      <c r="G176" s="17" t="s">
        <v>228</v>
      </c>
      <c r="H176" s="16" t="s">
        <v>178</v>
      </c>
      <c r="I176" s="16">
        <v>1</v>
      </c>
      <c r="J176" s="16">
        <v>3</v>
      </c>
      <c r="K176" s="16">
        <v>1.5</v>
      </c>
      <c r="L176" s="16">
        <v>1</v>
      </c>
      <c r="M176" s="16">
        <v>1</v>
      </c>
      <c r="N176" s="92" t="s">
        <v>162</v>
      </c>
      <c r="O176" s="92">
        <f t="shared" si="23"/>
        <v>4.5</v>
      </c>
      <c r="P176" s="18">
        <v>44863</v>
      </c>
      <c r="Q176" s="18"/>
      <c r="R176" s="19">
        <v>1</v>
      </c>
      <c r="S176" s="19">
        <v>1</v>
      </c>
      <c r="T176" s="19">
        <v>0</v>
      </c>
      <c r="U176" s="20">
        <f>IF(ISBLANK(Table1[[#This Row],[OHC Date]]),$B$7-Table1[[#This Row],[HOC Date]]+1,Table1[[#This Row],[OHC Date]]-Table1[[#This Row],[HOC Date]]+1)/7</f>
        <v>8.2857142857142865</v>
      </c>
      <c r="V176" s="21">
        <v>6.63</v>
      </c>
      <c r="W176" s="21">
        <v>0.7</v>
      </c>
      <c r="X176" s="21">
        <f>ROUND(0.7*Table1[[#This Row],[E&amp;D Rate per unit]]*R176*Table1[[#This Row],[Quantity]],2)</f>
        <v>20.88</v>
      </c>
      <c r="Y176" s="21">
        <f t="shared" si="24"/>
        <v>26.1</v>
      </c>
      <c r="Z176" s="21">
        <f>ROUND(0.3*T176*Table1[[#This Row],[E&amp;D Rate per unit]]*Table1[[#This Row],[Quantity]],2)</f>
        <v>0</v>
      </c>
      <c r="AA176" s="112">
        <v>1</v>
      </c>
      <c r="AB176" s="21">
        <f>ROUND(X176+Z176+Y176,2)*Table1[[#This Row],[Until WA Approved Only Approved this %]]</f>
        <v>46.98</v>
      </c>
      <c r="AC176" s="139">
        <v>33.479999999999997</v>
      </c>
      <c r="AD176" s="139">
        <f>Table1[[#This Row],[Total Amount]]-Table1[[#This Row],[Previous Amount]]</f>
        <v>13.5</v>
      </c>
      <c r="AE176" s="137"/>
      <c r="AG176" s="174">
        <v>46.98</v>
      </c>
      <c r="AH176" s="178">
        <f>AG176-Table1[[#This Row],[Total Amount]]</f>
        <v>0</v>
      </c>
      <c r="AI176" s="171">
        <f t="shared" si="20"/>
        <v>0</v>
      </c>
    </row>
    <row r="177" spans="1:35" ht="30" customHeight="1" x14ac:dyDescent="0.3">
      <c r="A177" s="91" t="s">
        <v>91</v>
      </c>
      <c r="B177" s="91" t="s">
        <v>99</v>
      </c>
      <c r="C177" s="16" t="s">
        <v>317</v>
      </c>
      <c r="D177" s="16">
        <v>77683</v>
      </c>
      <c r="E177" s="16">
        <v>76780</v>
      </c>
      <c r="F177" s="17" t="s">
        <v>318</v>
      </c>
      <c r="G177" s="17" t="s">
        <v>192</v>
      </c>
      <c r="H177" s="109" t="s">
        <v>129</v>
      </c>
      <c r="I177" s="16">
        <v>1</v>
      </c>
      <c r="J177" s="16">
        <v>1.5</v>
      </c>
      <c r="K177" s="16">
        <v>1</v>
      </c>
      <c r="L177" s="16">
        <v>1</v>
      </c>
      <c r="M177" s="16">
        <v>1</v>
      </c>
      <c r="N177" s="92" t="s">
        <v>162</v>
      </c>
      <c r="O177" s="92">
        <f t="shared" si="23"/>
        <v>1.5</v>
      </c>
      <c r="P177" s="18">
        <v>44863</v>
      </c>
      <c r="Q177" s="18">
        <v>44868</v>
      </c>
      <c r="R177" s="19">
        <v>1</v>
      </c>
      <c r="S177" s="19">
        <v>1</v>
      </c>
      <c r="T177" s="19">
        <v>1</v>
      </c>
      <c r="U177" s="20">
        <f>IF(ISBLANK(Table1[[#This Row],[OHC Date]]),$B$7-Table1[[#This Row],[HOC Date]]+1,Table1[[#This Row],[OHC Date]]-Table1[[#This Row],[HOC Date]]+1)/7</f>
        <v>0.8571428571428571</v>
      </c>
      <c r="V177" s="21">
        <v>36.520000000000003</v>
      </c>
      <c r="W177" s="21">
        <v>2.94</v>
      </c>
      <c r="X177" s="21">
        <f>ROUND(0.7*Table1[[#This Row],[E&amp;D Rate per unit]]*R177*Table1[[#This Row],[Quantity]],2)</f>
        <v>38.35</v>
      </c>
      <c r="Y177" s="21">
        <f t="shared" si="24"/>
        <v>3.78</v>
      </c>
      <c r="Z177" s="21">
        <f>ROUND(0.3*T177*Table1[[#This Row],[E&amp;D Rate per unit]]*Table1[[#This Row],[Quantity]],2)</f>
        <v>16.43</v>
      </c>
      <c r="AA177" s="112">
        <v>1</v>
      </c>
      <c r="AB177" s="21">
        <f>ROUND(X177+Z177+Y177,2)*Table1[[#This Row],[Until WA Approved Only Approved this %]]</f>
        <v>58.56</v>
      </c>
      <c r="AC177" s="139">
        <v>58.56</v>
      </c>
      <c r="AD177" s="139">
        <f>Table1[[#This Row],[Total Amount]]-Table1[[#This Row],[Previous Amount]]</f>
        <v>0</v>
      </c>
      <c r="AE177" s="137"/>
      <c r="AG177" s="174">
        <v>58.56</v>
      </c>
      <c r="AH177" s="178">
        <f>AG177-Table1[[#This Row],[Total Amount]]</f>
        <v>0</v>
      </c>
      <c r="AI177" s="171">
        <f t="shared" si="20"/>
        <v>0</v>
      </c>
    </row>
    <row r="178" spans="1:35" ht="30" customHeight="1" x14ac:dyDescent="0.3">
      <c r="A178" s="91" t="s">
        <v>91</v>
      </c>
      <c r="B178" s="91" t="s">
        <v>99</v>
      </c>
      <c r="C178" s="16" t="s">
        <v>319</v>
      </c>
      <c r="D178" s="16">
        <v>77686</v>
      </c>
      <c r="E178" s="16">
        <v>76787</v>
      </c>
      <c r="F178" s="17" t="s">
        <v>320</v>
      </c>
      <c r="G178" s="17" t="s">
        <v>202</v>
      </c>
      <c r="H178" s="16" t="s">
        <v>222</v>
      </c>
      <c r="I178" s="16">
        <v>1</v>
      </c>
      <c r="J178" s="16">
        <v>1.8</v>
      </c>
      <c r="K178" s="16">
        <v>0.9</v>
      </c>
      <c r="L178" s="16">
        <v>12.3</v>
      </c>
      <c r="M178" s="16">
        <v>1</v>
      </c>
      <c r="N178" s="92" t="s">
        <v>223</v>
      </c>
      <c r="O178" s="92">
        <f t="shared" si="23"/>
        <v>12.3</v>
      </c>
      <c r="P178" s="18">
        <v>44863</v>
      </c>
      <c r="Q178" s="18">
        <v>44870</v>
      </c>
      <c r="R178" s="19">
        <v>1</v>
      </c>
      <c r="S178" s="19">
        <v>1</v>
      </c>
      <c r="T178" s="19">
        <v>1</v>
      </c>
      <c r="U178" s="20">
        <f>IF(ISBLANK(Table1[[#This Row],[OHC Date]]),$B$7-Table1[[#This Row],[HOC Date]]+1,Table1[[#This Row],[OHC Date]]-Table1[[#This Row],[HOC Date]]+1)/7</f>
        <v>1.1428571428571428</v>
      </c>
      <c r="V178" s="21">
        <v>63.34</v>
      </c>
      <c r="W178" s="21">
        <v>7.28</v>
      </c>
      <c r="X178" s="21">
        <f>ROUND(0.7*Table1[[#This Row],[E&amp;D Rate per unit]]*R178*Table1[[#This Row],[Quantity]],2)</f>
        <v>545.36</v>
      </c>
      <c r="Y178" s="21">
        <f t="shared" si="24"/>
        <v>102.34</v>
      </c>
      <c r="Z178" s="21">
        <f>ROUND(0.3*T178*Table1[[#This Row],[E&amp;D Rate per unit]]*Table1[[#This Row],[Quantity]],2)</f>
        <v>233.72</v>
      </c>
      <c r="AA178" s="112">
        <v>1</v>
      </c>
      <c r="AB178" s="21">
        <f>ROUND(X178+Z178+Y178,2)*Table1[[#This Row],[Until WA Approved Only Approved this %]]</f>
        <v>881.42</v>
      </c>
      <c r="AC178" s="139">
        <v>881.42</v>
      </c>
      <c r="AD178" s="139">
        <f>Table1[[#This Row],[Total Amount]]-Table1[[#This Row],[Previous Amount]]</f>
        <v>0</v>
      </c>
      <c r="AE178" s="137"/>
      <c r="AG178" s="174">
        <v>881.42</v>
      </c>
      <c r="AH178" s="178">
        <f>AG178-Table1[[#This Row],[Total Amount]]</f>
        <v>0</v>
      </c>
      <c r="AI178" s="171">
        <f t="shared" si="20"/>
        <v>0</v>
      </c>
    </row>
    <row r="179" spans="1:35" ht="30" customHeight="1" x14ac:dyDescent="0.3">
      <c r="A179" s="91" t="s">
        <v>91</v>
      </c>
      <c r="B179" s="91" t="s">
        <v>99</v>
      </c>
      <c r="C179" s="16" t="s">
        <v>319</v>
      </c>
      <c r="D179" s="16">
        <v>77686</v>
      </c>
      <c r="E179" s="16">
        <v>76787</v>
      </c>
      <c r="F179" s="17" t="s">
        <v>320</v>
      </c>
      <c r="G179" s="17" t="s">
        <v>202</v>
      </c>
      <c r="H179" s="16" t="s">
        <v>178</v>
      </c>
      <c r="I179" s="16">
        <v>5</v>
      </c>
      <c r="J179" s="16">
        <v>1.8</v>
      </c>
      <c r="K179" s="16">
        <v>0.9</v>
      </c>
      <c r="L179" s="16">
        <v>1</v>
      </c>
      <c r="M179" s="16">
        <v>5</v>
      </c>
      <c r="N179" s="92" t="s">
        <v>162</v>
      </c>
      <c r="O179" s="92">
        <f t="shared" si="23"/>
        <v>8.1</v>
      </c>
      <c r="P179" s="18">
        <v>44863</v>
      </c>
      <c r="Q179" s="18">
        <v>44870</v>
      </c>
      <c r="R179" s="19">
        <v>1</v>
      </c>
      <c r="S179" s="19">
        <v>1</v>
      </c>
      <c r="T179" s="19">
        <v>1</v>
      </c>
      <c r="U179" s="20">
        <f>IF(ISBLANK(Table1[[#This Row],[OHC Date]]),$B$7-Table1[[#This Row],[HOC Date]]+1,Table1[[#This Row],[OHC Date]]-Table1[[#This Row],[HOC Date]]+1)/7</f>
        <v>1.1428571428571428</v>
      </c>
      <c r="V179" s="21">
        <v>6.63</v>
      </c>
      <c r="W179" s="21">
        <v>0.7</v>
      </c>
      <c r="X179" s="21">
        <f>ROUND(0.7*Table1[[#This Row],[E&amp;D Rate per unit]]*R179*Table1[[#This Row],[Quantity]],2)</f>
        <v>37.590000000000003</v>
      </c>
      <c r="Y179" s="21">
        <f t="shared" si="24"/>
        <v>6.48</v>
      </c>
      <c r="Z179" s="21">
        <f>ROUND(0.3*T179*Table1[[#This Row],[E&amp;D Rate per unit]]*Table1[[#This Row],[Quantity]],2)</f>
        <v>16.11</v>
      </c>
      <c r="AA179" s="112">
        <v>1</v>
      </c>
      <c r="AB179" s="21">
        <f>ROUND(X179+Z179+Y179,2)*Table1[[#This Row],[Until WA Approved Only Approved this %]]</f>
        <v>60.18</v>
      </c>
      <c r="AC179" s="139">
        <v>60.18</v>
      </c>
      <c r="AD179" s="139">
        <f>Table1[[#This Row],[Total Amount]]-Table1[[#This Row],[Previous Amount]]</f>
        <v>0</v>
      </c>
      <c r="AE179" s="137"/>
      <c r="AG179" s="174">
        <v>60.18</v>
      </c>
      <c r="AH179" s="178">
        <f>AG179-Table1[[#This Row],[Total Amount]]</f>
        <v>0</v>
      </c>
      <c r="AI179" s="171">
        <f t="shared" si="20"/>
        <v>0</v>
      </c>
    </row>
    <row r="180" spans="1:35" ht="30" customHeight="1" x14ac:dyDescent="0.3">
      <c r="A180" s="141" t="s">
        <v>481</v>
      </c>
      <c r="B180" s="91" t="s">
        <v>99</v>
      </c>
      <c r="C180" s="16">
        <v>42</v>
      </c>
      <c r="D180" s="16">
        <v>77687</v>
      </c>
      <c r="E180" s="16"/>
      <c r="F180" s="17" t="s">
        <v>321</v>
      </c>
      <c r="G180" s="17" t="s">
        <v>228</v>
      </c>
      <c r="H180" s="16" t="s">
        <v>322</v>
      </c>
      <c r="I180" s="16">
        <v>1</v>
      </c>
      <c r="J180" s="16"/>
      <c r="K180" s="16"/>
      <c r="L180" s="16"/>
      <c r="M180" s="16"/>
      <c r="N180" s="92" t="s">
        <v>56</v>
      </c>
      <c r="O180" s="92">
        <f t="shared" si="23"/>
        <v>1</v>
      </c>
      <c r="P180" s="18">
        <v>44865</v>
      </c>
      <c r="Q180" s="18"/>
      <c r="R180" s="19">
        <v>1</v>
      </c>
      <c r="S180" s="19">
        <v>1</v>
      </c>
      <c r="T180" s="19">
        <v>0</v>
      </c>
      <c r="U180" s="20">
        <f>IF(ISBLANK(Table1[[#This Row],[OHC Date]]),$B$7-Table1[[#This Row],[HOC Date]]+1,Table1[[#This Row],[OHC Date]]-Table1[[#This Row],[HOC Date]]+1)/7</f>
        <v>8</v>
      </c>
      <c r="V180" s="21">
        <v>7695.22</v>
      </c>
      <c r="W180" s="21">
        <v>511.06</v>
      </c>
      <c r="X180" s="21">
        <f>ROUND(0.7*Table1[[#This Row],[E&amp;D Rate per unit]]*R180*Table1[[#This Row],[Quantity]],2)</f>
        <v>5386.65</v>
      </c>
      <c r="Y180" s="21">
        <f t="shared" si="24"/>
        <v>4088.48</v>
      </c>
      <c r="Z180" s="21">
        <f>ROUND(0.3*T180*Table1[[#This Row],[E&amp;D Rate per unit]]*Table1[[#This Row],[Quantity]],2)</f>
        <v>0</v>
      </c>
      <c r="AA180" s="19">
        <v>1</v>
      </c>
      <c r="AB180" s="21">
        <f>ROUND(X180+Z180+Y180,2)*Table1[[#This Row],[Until WA Approved Only Approved this %]]</f>
        <v>9475.1299999999992</v>
      </c>
      <c r="AC180" s="139">
        <v>7284.87</v>
      </c>
      <c r="AD180" s="139">
        <f>Table1[[#This Row],[Total Amount]]-Table1[[#This Row],[Previous Amount]]</f>
        <v>2190.2599999999993</v>
      </c>
      <c r="AE180" s="142" t="s">
        <v>483</v>
      </c>
      <c r="AG180" s="174">
        <v>9475.1299999999992</v>
      </c>
      <c r="AH180" s="178">
        <f>AG180-Table1[[#This Row],[Total Amount]]</f>
        <v>0</v>
      </c>
      <c r="AI180" s="171">
        <f t="shared" si="20"/>
        <v>0</v>
      </c>
    </row>
    <row r="181" spans="1:35" ht="30" customHeight="1" x14ac:dyDescent="0.3">
      <c r="A181" s="141" t="s">
        <v>481</v>
      </c>
      <c r="B181" s="91" t="s">
        <v>99</v>
      </c>
      <c r="C181" s="16">
        <v>43</v>
      </c>
      <c r="D181" s="16">
        <v>77688</v>
      </c>
      <c r="E181" s="16"/>
      <c r="F181" s="17" t="s">
        <v>321</v>
      </c>
      <c r="G181" s="17" t="s">
        <v>228</v>
      </c>
      <c r="H181" s="16" t="s">
        <v>322</v>
      </c>
      <c r="I181" s="16">
        <v>1</v>
      </c>
      <c r="J181" s="16"/>
      <c r="K181" s="16"/>
      <c r="L181" s="16"/>
      <c r="M181" s="16"/>
      <c r="N181" s="92" t="s">
        <v>56</v>
      </c>
      <c r="O181" s="92">
        <f t="shared" si="23"/>
        <v>1</v>
      </c>
      <c r="P181" s="18">
        <v>44865</v>
      </c>
      <c r="Q181" s="18"/>
      <c r="R181" s="19">
        <v>1</v>
      </c>
      <c r="S181" s="19">
        <v>1</v>
      </c>
      <c r="T181" s="19">
        <v>0</v>
      </c>
      <c r="U181" s="20">
        <f>IF(ISBLANK(Table1[[#This Row],[OHC Date]]),$B$7-Table1[[#This Row],[HOC Date]]+1,Table1[[#This Row],[OHC Date]]-Table1[[#This Row],[HOC Date]]+1)/7</f>
        <v>8</v>
      </c>
      <c r="V181" s="21">
        <v>7695.22</v>
      </c>
      <c r="W181" s="21">
        <v>511.06</v>
      </c>
      <c r="X181" s="21">
        <f>ROUND(0.7*Table1[[#This Row],[E&amp;D Rate per unit]]*R181*Table1[[#This Row],[Quantity]],2)</f>
        <v>5386.65</v>
      </c>
      <c r="Y181" s="21">
        <f t="shared" si="24"/>
        <v>4088.48</v>
      </c>
      <c r="Z181" s="21">
        <f>ROUND(0.3*T181*Table1[[#This Row],[E&amp;D Rate per unit]]*Table1[[#This Row],[Quantity]],2)</f>
        <v>0</v>
      </c>
      <c r="AA181" s="19">
        <v>1</v>
      </c>
      <c r="AB181" s="21">
        <f>ROUND(X181+Z181+Y181,2)*Table1[[#This Row],[Until WA Approved Only Approved this %]]</f>
        <v>9475.1299999999992</v>
      </c>
      <c r="AC181" s="139">
        <v>7284.87</v>
      </c>
      <c r="AD181" s="139">
        <f>Table1[[#This Row],[Total Amount]]-Table1[[#This Row],[Previous Amount]]</f>
        <v>2190.2599999999993</v>
      </c>
      <c r="AE181" s="142" t="s">
        <v>483</v>
      </c>
      <c r="AG181" s="174">
        <v>9475.1299999999992</v>
      </c>
      <c r="AH181" s="178">
        <f>AG181-Table1[[#This Row],[Total Amount]]</f>
        <v>0</v>
      </c>
      <c r="AI181" s="171">
        <f t="shared" si="20"/>
        <v>0</v>
      </c>
    </row>
    <row r="182" spans="1:35" ht="30" customHeight="1" x14ac:dyDescent="0.3">
      <c r="A182" s="141" t="s">
        <v>481</v>
      </c>
      <c r="B182" s="91" t="s">
        <v>99</v>
      </c>
      <c r="C182" s="16">
        <v>44</v>
      </c>
      <c r="D182" s="16">
        <v>77689</v>
      </c>
      <c r="E182" s="16"/>
      <c r="F182" s="17" t="s">
        <v>321</v>
      </c>
      <c r="G182" s="17" t="s">
        <v>202</v>
      </c>
      <c r="H182" s="16" t="s">
        <v>322</v>
      </c>
      <c r="I182" s="16">
        <v>1</v>
      </c>
      <c r="J182" s="16"/>
      <c r="K182" s="16"/>
      <c r="L182" s="16"/>
      <c r="M182" s="16"/>
      <c r="N182" s="92" t="s">
        <v>56</v>
      </c>
      <c r="O182" s="92">
        <f t="shared" si="23"/>
        <v>1</v>
      </c>
      <c r="P182" s="18">
        <v>44865</v>
      </c>
      <c r="Q182" s="18"/>
      <c r="R182" s="19">
        <v>1</v>
      </c>
      <c r="S182" s="19">
        <v>1</v>
      </c>
      <c r="T182" s="19">
        <v>0</v>
      </c>
      <c r="U182" s="20">
        <f>IF(ISBLANK(Table1[[#This Row],[OHC Date]]),$B$7-Table1[[#This Row],[HOC Date]]+1,Table1[[#This Row],[OHC Date]]-Table1[[#This Row],[HOC Date]]+1)/7</f>
        <v>8</v>
      </c>
      <c r="V182" s="21">
        <v>7695.22</v>
      </c>
      <c r="W182" s="21">
        <v>511.06</v>
      </c>
      <c r="X182" s="21">
        <f>ROUND(0.7*Table1[[#This Row],[E&amp;D Rate per unit]]*R182*Table1[[#This Row],[Quantity]],2)</f>
        <v>5386.65</v>
      </c>
      <c r="Y182" s="21">
        <f t="shared" si="24"/>
        <v>4088.48</v>
      </c>
      <c r="Z182" s="21">
        <f>ROUND(0.3*T182*Table1[[#This Row],[E&amp;D Rate per unit]]*Table1[[#This Row],[Quantity]],2)</f>
        <v>0</v>
      </c>
      <c r="AA182" s="19">
        <v>1</v>
      </c>
      <c r="AB182" s="21">
        <f>ROUND(X182+Z182+Y182,2)*Table1[[#This Row],[Until WA Approved Only Approved this %]]</f>
        <v>9475.1299999999992</v>
      </c>
      <c r="AC182" s="139">
        <v>7284.87</v>
      </c>
      <c r="AD182" s="139">
        <f>Table1[[#This Row],[Total Amount]]-Table1[[#This Row],[Previous Amount]]</f>
        <v>2190.2599999999993</v>
      </c>
      <c r="AE182" s="142" t="s">
        <v>483</v>
      </c>
      <c r="AG182" s="174">
        <v>9475.1299999999992</v>
      </c>
      <c r="AH182" s="178">
        <f>AG182-Table1[[#This Row],[Total Amount]]</f>
        <v>0</v>
      </c>
      <c r="AI182" s="171">
        <f t="shared" si="20"/>
        <v>0</v>
      </c>
    </row>
    <row r="183" spans="1:35" ht="30" customHeight="1" x14ac:dyDescent="0.3">
      <c r="A183" s="91" t="s">
        <v>91</v>
      </c>
      <c r="B183" s="91" t="s">
        <v>99</v>
      </c>
      <c r="C183" s="16" t="s">
        <v>323</v>
      </c>
      <c r="D183" s="16">
        <v>77690</v>
      </c>
      <c r="E183" s="16">
        <v>76781</v>
      </c>
      <c r="F183" s="17" t="s">
        <v>324</v>
      </c>
      <c r="G183" s="17" t="s">
        <v>192</v>
      </c>
      <c r="H183" s="16" t="s">
        <v>222</v>
      </c>
      <c r="I183" s="16">
        <v>1</v>
      </c>
      <c r="J183" s="16">
        <v>1.5</v>
      </c>
      <c r="K183" s="16">
        <v>1.5</v>
      </c>
      <c r="L183" s="16">
        <v>1</v>
      </c>
      <c r="M183" s="16">
        <v>1</v>
      </c>
      <c r="N183" s="92" t="s">
        <v>223</v>
      </c>
      <c r="O183" s="92">
        <f t="shared" si="23"/>
        <v>1</v>
      </c>
      <c r="P183" s="18">
        <v>44866</v>
      </c>
      <c r="Q183" s="18">
        <v>44868</v>
      </c>
      <c r="R183" s="19">
        <v>1</v>
      </c>
      <c r="S183" s="19">
        <v>1</v>
      </c>
      <c r="T183" s="19">
        <v>1</v>
      </c>
      <c r="U183" s="20">
        <f>IF(ISBLANK(Table1[[#This Row],[OHC Date]]),$B$7-Table1[[#This Row],[HOC Date]]+1,Table1[[#This Row],[OHC Date]]-Table1[[#This Row],[HOC Date]]+1)/7</f>
        <v>0.42857142857142855</v>
      </c>
      <c r="V183" s="21">
        <v>63.34</v>
      </c>
      <c r="W183" s="21">
        <v>7.28</v>
      </c>
      <c r="X183" s="21">
        <f>ROUND(0.7*Table1[[#This Row],[E&amp;D Rate per unit]]*R183*Table1[[#This Row],[Quantity]],2)</f>
        <v>44.34</v>
      </c>
      <c r="Y183" s="21">
        <f t="shared" si="24"/>
        <v>3.12</v>
      </c>
      <c r="Z183" s="21">
        <f>ROUND(0.3*T183*Table1[[#This Row],[E&amp;D Rate per unit]]*Table1[[#This Row],[Quantity]],2)</f>
        <v>19</v>
      </c>
      <c r="AA183" s="112">
        <v>1</v>
      </c>
      <c r="AB183" s="21">
        <f>ROUND(X183+Z183+Y183,2)*Table1[[#This Row],[Until WA Approved Only Approved this %]]</f>
        <v>66.459999999999994</v>
      </c>
      <c r="AC183" s="139">
        <v>66.459999999999994</v>
      </c>
      <c r="AD183" s="139">
        <f>Table1[[#This Row],[Total Amount]]-Table1[[#This Row],[Previous Amount]]</f>
        <v>0</v>
      </c>
      <c r="AE183" s="137"/>
      <c r="AG183" s="174">
        <v>66.459999999999994</v>
      </c>
      <c r="AH183" s="178">
        <f>AG183-Table1[[#This Row],[Total Amount]]</f>
        <v>0</v>
      </c>
      <c r="AI183" s="171">
        <f t="shared" si="20"/>
        <v>0</v>
      </c>
    </row>
    <row r="184" spans="1:35" ht="30" customHeight="1" x14ac:dyDescent="0.3">
      <c r="A184" s="141" t="s">
        <v>481</v>
      </c>
      <c r="B184" s="91" t="s">
        <v>99</v>
      </c>
      <c r="C184" s="16">
        <v>45</v>
      </c>
      <c r="D184" s="16">
        <v>77691</v>
      </c>
      <c r="E184" s="16"/>
      <c r="F184" s="17" t="s">
        <v>321</v>
      </c>
      <c r="G184" s="17" t="s">
        <v>202</v>
      </c>
      <c r="H184" s="16" t="s">
        <v>322</v>
      </c>
      <c r="I184" s="16">
        <v>1</v>
      </c>
      <c r="J184" s="16"/>
      <c r="K184" s="16"/>
      <c r="L184" s="16"/>
      <c r="M184" s="16"/>
      <c r="N184" s="92" t="s">
        <v>56</v>
      </c>
      <c r="O184" s="92">
        <f t="shared" si="23"/>
        <v>1</v>
      </c>
      <c r="P184" s="18">
        <v>44866</v>
      </c>
      <c r="Q184" s="18"/>
      <c r="R184" s="19">
        <v>1</v>
      </c>
      <c r="S184" s="19">
        <v>1</v>
      </c>
      <c r="T184" s="19">
        <v>0</v>
      </c>
      <c r="U184" s="20">
        <f>IF(ISBLANK(Table1[[#This Row],[OHC Date]]),$B$7-Table1[[#This Row],[HOC Date]]+1,Table1[[#This Row],[OHC Date]]-Table1[[#This Row],[HOC Date]]+1)/7</f>
        <v>7.8571428571428568</v>
      </c>
      <c r="V184" s="21">
        <v>7695.22</v>
      </c>
      <c r="W184" s="21">
        <v>511.06</v>
      </c>
      <c r="X184" s="21">
        <f>ROUND(0.7*Table1[[#This Row],[E&amp;D Rate per unit]]*R184*Table1[[#This Row],[Quantity]],2)</f>
        <v>5386.65</v>
      </c>
      <c r="Y184" s="21">
        <f t="shared" si="24"/>
        <v>4015.47</v>
      </c>
      <c r="Z184" s="21">
        <f>ROUND(0.3*T184*Table1[[#This Row],[E&amp;D Rate per unit]]*Table1[[#This Row],[Quantity]],2)</f>
        <v>0</v>
      </c>
      <c r="AA184" s="19">
        <v>1</v>
      </c>
      <c r="AB184" s="21">
        <f>ROUND(X184+Z184+Y184,2)*Table1[[#This Row],[Until WA Approved Only Approved this %]]</f>
        <v>9402.1200000000008</v>
      </c>
      <c r="AC184" s="139">
        <v>7211.86</v>
      </c>
      <c r="AD184" s="139">
        <f>Table1[[#This Row],[Total Amount]]-Table1[[#This Row],[Previous Amount]]</f>
        <v>2190.2600000000011</v>
      </c>
      <c r="AE184" s="142" t="s">
        <v>483</v>
      </c>
      <c r="AG184" s="174">
        <v>9402.1200000000008</v>
      </c>
      <c r="AH184" s="178">
        <f>AG184-Table1[[#This Row],[Total Amount]]</f>
        <v>0</v>
      </c>
      <c r="AI184" s="171">
        <f t="shared" si="20"/>
        <v>0</v>
      </c>
    </row>
    <row r="185" spans="1:35" ht="30" customHeight="1" x14ac:dyDescent="0.3">
      <c r="A185" s="91" t="s">
        <v>91</v>
      </c>
      <c r="B185" s="91" t="s">
        <v>99</v>
      </c>
      <c r="C185" s="16" t="s">
        <v>325</v>
      </c>
      <c r="D185" s="16">
        <v>77692</v>
      </c>
      <c r="E185" s="16">
        <v>80536</v>
      </c>
      <c r="F185" s="17" t="s">
        <v>337</v>
      </c>
      <c r="G185" s="17" t="s">
        <v>192</v>
      </c>
      <c r="H185" s="109" t="s">
        <v>129</v>
      </c>
      <c r="I185" s="16">
        <v>1</v>
      </c>
      <c r="J185" s="16">
        <v>1.5</v>
      </c>
      <c r="K185" s="16">
        <v>0.75</v>
      </c>
      <c r="L185" s="16">
        <v>1</v>
      </c>
      <c r="M185" s="16">
        <v>2</v>
      </c>
      <c r="N185" s="92" t="s">
        <v>162</v>
      </c>
      <c r="O185" s="92">
        <f t="shared" si="23"/>
        <v>1.1299999999999999</v>
      </c>
      <c r="P185" s="18">
        <v>44863</v>
      </c>
      <c r="Q185" s="18">
        <v>44893</v>
      </c>
      <c r="R185" s="19">
        <v>1</v>
      </c>
      <c r="S185" s="19">
        <v>1</v>
      </c>
      <c r="T185" s="19">
        <v>1</v>
      </c>
      <c r="U185" s="20">
        <f>IF(ISBLANK(Table1[[#This Row],[OHC Date]]),$B$7-Table1[[#This Row],[HOC Date]]+1,Table1[[#This Row],[OHC Date]]-Table1[[#This Row],[HOC Date]]+1)/7</f>
        <v>4.4285714285714288</v>
      </c>
      <c r="V185" s="21">
        <v>36.520000000000003</v>
      </c>
      <c r="W185" s="21">
        <v>2.94</v>
      </c>
      <c r="X185" s="21">
        <f>ROUND(0.7*Table1[[#This Row],[E&amp;D Rate per unit]]*R185*Table1[[#This Row],[Quantity]],2)</f>
        <v>28.89</v>
      </c>
      <c r="Y185" s="21">
        <f t="shared" si="24"/>
        <v>14.71</v>
      </c>
      <c r="Z185" s="21">
        <f>ROUND(0.3*T185*Table1[[#This Row],[E&amp;D Rate per unit]]*Table1[[#This Row],[Quantity]],2)</f>
        <v>12.38</v>
      </c>
      <c r="AA185" s="112">
        <v>1</v>
      </c>
      <c r="AB185" s="21">
        <f>ROUND(X185+Z185+Y185,2)*Table1[[#This Row],[Until WA Approved Only Approved this %]]</f>
        <v>55.98</v>
      </c>
      <c r="AC185" s="139">
        <v>42.18</v>
      </c>
      <c r="AD185" s="139">
        <f>Table1[[#This Row],[Total Amount]]-Table1[[#This Row],[Previous Amount]]</f>
        <v>13.799999999999997</v>
      </c>
      <c r="AE185" s="137"/>
      <c r="AG185" s="174">
        <v>55.98</v>
      </c>
      <c r="AH185" s="178">
        <f>AG185-Table1[[#This Row],[Total Amount]]</f>
        <v>0</v>
      </c>
      <c r="AI185" s="171">
        <f t="shared" si="20"/>
        <v>0</v>
      </c>
    </row>
    <row r="186" spans="1:35" ht="30" customHeight="1" x14ac:dyDescent="0.3">
      <c r="A186" s="91" t="s">
        <v>91</v>
      </c>
      <c r="B186" s="91" t="s">
        <v>99</v>
      </c>
      <c r="C186" s="16" t="s">
        <v>326</v>
      </c>
      <c r="D186" s="16">
        <v>77693</v>
      </c>
      <c r="E186" s="16">
        <v>76790</v>
      </c>
      <c r="F186" s="17" t="s">
        <v>337</v>
      </c>
      <c r="G186" s="17" t="s">
        <v>192</v>
      </c>
      <c r="H186" s="109" t="s">
        <v>129</v>
      </c>
      <c r="I186" s="16">
        <v>1</v>
      </c>
      <c r="J186" s="16">
        <v>1.5</v>
      </c>
      <c r="K186" s="16">
        <v>1</v>
      </c>
      <c r="L186" s="16">
        <v>1</v>
      </c>
      <c r="M186" s="16">
        <v>1</v>
      </c>
      <c r="N186" s="92" t="s">
        <v>162</v>
      </c>
      <c r="O186" s="92">
        <f t="shared" si="23"/>
        <v>1.5</v>
      </c>
      <c r="P186" s="18">
        <v>44867</v>
      </c>
      <c r="Q186" s="18">
        <v>44869</v>
      </c>
      <c r="R186" s="19">
        <v>1</v>
      </c>
      <c r="S186" s="19">
        <v>1</v>
      </c>
      <c r="T186" s="19">
        <v>1</v>
      </c>
      <c r="U186" s="20">
        <f>IF(ISBLANK(Table1[[#This Row],[OHC Date]]),$B$7-Table1[[#This Row],[HOC Date]]+1,Table1[[#This Row],[OHC Date]]-Table1[[#This Row],[HOC Date]]+1)/7</f>
        <v>0.42857142857142855</v>
      </c>
      <c r="V186" s="21">
        <v>36.520000000000003</v>
      </c>
      <c r="W186" s="21">
        <v>2.94</v>
      </c>
      <c r="X186" s="21">
        <f>ROUND(0.7*Table1[[#This Row],[E&amp;D Rate per unit]]*R186*Table1[[#This Row],[Quantity]],2)</f>
        <v>38.35</v>
      </c>
      <c r="Y186" s="21">
        <f t="shared" si="24"/>
        <v>1.89</v>
      </c>
      <c r="Z186" s="21">
        <f>ROUND(0.3*T186*Table1[[#This Row],[E&amp;D Rate per unit]]*Table1[[#This Row],[Quantity]],2)</f>
        <v>16.43</v>
      </c>
      <c r="AA186" s="112">
        <v>1</v>
      </c>
      <c r="AB186" s="21">
        <f>ROUND(X186+Z186+Y186,2)*Table1[[#This Row],[Until WA Approved Only Approved this %]]</f>
        <v>56.67</v>
      </c>
      <c r="AC186" s="139">
        <v>56.67</v>
      </c>
      <c r="AD186" s="139">
        <f>Table1[[#This Row],[Total Amount]]-Table1[[#This Row],[Previous Amount]]</f>
        <v>0</v>
      </c>
      <c r="AE186" s="137"/>
      <c r="AG186" s="174">
        <v>56.67</v>
      </c>
      <c r="AH186" s="178">
        <f>AG186-Table1[[#This Row],[Total Amount]]</f>
        <v>0</v>
      </c>
      <c r="AI186" s="171">
        <f t="shared" si="20"/>
        <v>0</v>
      </c>
    </row>
    <row r="187" spans="1:35" ht="30" customHeight="1" x14ac:dyDescent="0.3">
      <c r="A187" s="91" t="s">
        <v>91</v>
      </c>
      <c r="B187" s="91" t="s">
        <v>99</v>
      </c>
      <c r="C187" s="16">
        <v>46</v>
      </c>
      <c r="D187" s="16">
        <v>77694</v>
      </c>
      <c r="E187" s="16">
        <v>80539</v>
      </c>
      <c r="F187" s="17" t="s">
        <v>327</v>
      </c>
      <c r="G187" s="17" t="s">
        <v>228</v>
      </c>
      <c r="H187" s="16" t="s">
        <v>222</v>
      </c>
      <c r="I187" s="16">
        <v>1</v>
      </c>
      <c r="J187" s="16">
        <v>2.5</v>
      </c>
      <c r="K187" s="16">
        <v>1.3</v>
      </c>
      <c r="L187" s="16">
        <v>4</v>
      </c>
      <c r="M187" s="16">
        <v>1</v>
      </c>
      <c r="N187" s="92" t="s">
        <v>223</v>
      </c>
      <c r="O187" s="92">
        <f t="shared" si="23"/>
        <v>4</v>
      </c>
      <c r="P187" s="18">
        <v>44868</v>
      </c>
      <c r="Q187" s="18">
        <v>44891</v>
      </c>
      <c r="R187" s="19">
        <v>1</v>
      </c>
      <c r="S187" s="19">
        <v>1</v>
      </c>
      <c r="T187" s="19">
        <v>1</v>
      </c>
      <c r="U187" s="20">
        <f>IF(ISBLANK(Table1[[#This Row],[OHC Date]]),$B$7-Table1[[#This Row],[HOC Date]]+1,Table1[[#This Row],[OHC Date]]-Table1[[#This Row],[HOC Date]]+1)/7</f>
        <v>3.4285714285714284</v>
      </c>
      <c r="V187" s="21">
        <v>63.34</v>
      </c>
      <c r="W187" s="21">
        <v>7.28</v>
      </c>
      <c r="X187" s="21">
        <f>ROUND(0.7*Table1[[#This Row],[E&amp;D Rate per unit]]*R187*Table1[[#This Row],[Quantity]],2)</f>
        <v>177.35</v>
      </c>
      <c r="Y187" s="21">
        <f t="shared" si="24"/>
        <v>99.84</v>
      </c>
      <c r="Z187" s="21">
        <f>ROUND(0.3*T187*Table1[[#This Row],[E&amp;D Rate per unit]]*Table1[[#This Row],[Quantity]],2)</f>
        <v>76.010000000000005</v>
      </c>
      <c r="AA187" s="112">
        <v>1</v>
      </c>
      <c r="AB187" s="21">
        <f>ROUND(X187+Z187+Y187,2)*Table1[[#This Row],[Until WA Approved Only Approved this %]]</f>
        <v>353.2</v>
      </c>
      <c r="AC187" s="139">
        <v>273.02999999999997</v>
      </c>
      <c r="AD187" s="139">
        <f>Table1[[#This Row],[Total Amount]]-Table1[[#This Row],[Previous Amount]]</f>
        <v>80.170000000000016</v>
      </c>
      <c r="AE187" s="137"/>
      <c r="AG187" s="174">
        <v>353.2</v>
      </c>
      <c r="AH187" s="178">
        <f>AG187-Table1[[#This Row],[Total Amount]]</f>
        <v>0</v>
      </c>
      <c r="AI187" s="171">
        <f t="shared" si="20"/>
        <v>0</v>
      </c>
    </row>
    <row r="188" spans="1:35" ht="30" customHeight="1" x14ac:dyDescent="0.3">
      <c r="A188" s="91" t="s">
        <v>91</v>
      </c>
      <c r="B188" s="91" t="s">
        <v>99</v>
      </c>
      <c r="C188" s="16">
        <v>46</v>
      </c>
      <c r="D188" s="16">
        <v>77694</v>
      </c>
      <c r="E188" s="16">
        <v>80539</v>
      </c>
      <c r="F188" s="17" t="s">
        <v>327</v>
      </c>
      <c r="G188" s="17" t="s">
        <v>228</v>
      </c>
      <c r="H188" s="16" t="s">
        <v>178</v>
      </c>
      <c r="I188" s="16">
        <v>1</v>
      </c>
      <c r="J188" s="16">
        <v>2.5</v>
      </c>
      <c r="K188" s="16">
        <v>1.3</v>
      </c>
      <c r="L188" s="16">
        <v>1</v>
      </c>
      <c r="M188" s="16">
        <v>1</v>
      </c>
      <c r="N188" s="92" t="s">
        <v>162</v>
      </c>
      <c r="O188" s="92">
        <f t="shared" ref="O188" si="25">ROUND(IF(N188="m3",I188*J188*K188*L188,IF(N188="m2-LxH",I188*J188*L188,IF(N188="m2-LxW",I188*J188*K188,IF(N188="rm",I188*L188,IF(N188="lm",I188*J188,IF(N188="unit",I188,"NA")))))),2)</f>
        <v>3.25</v>
      </c>
      <c r="P188" s="18">
        <v>44868</v>
      </c>
      <c r="Q188" s="18">
        <v>44891</v>
      </c>
      <c r="R188" s="19">
        <v>1</v>
      </c>
      <c r="S188" s="19">
        <v>1</v>
      </c>
      <c r="T188" s="19">
        <v>1</v>
      </c>
      <c r="U188" s="20">
        <f>IF(ISBLANK(Table1[[#This Row],[OHC Date]]),$B$7-Table1[[#This Row],[HOC Date]]+1,Table1[[#This Row],[OHC Date]]-Table1[[#This Row],[HOC Date]]+1)/7</f>
        <v>3.4285714285714284</v>
      </c>
      <c r="V188" s="21">
        <v>6.63</v>
      </c>
      <c r="W188" s="21">
        <v>0.7</v>
      </c>
      <c r="X188" s="21">
        <f>ROUND(0.7*Table1[[#This Row],[E&amp;D Rate per unit]]*R188*Table1[[#This Row],[Quantity]],2)</f>
        <v>15.08</v>
      </c>
      <c r="Y188" s="21">
        <f t="shared" ref="Y188" si="26">ROUND(O188*U188*W188*S188,2)</f>
        <v>7.8</v>
      </c>
      <c r="Z188" s="21">
        <f>ROUND(0.3*T188*Table1[[#This Row],[E&amp;D Rate per unit]]*Table1[[#This Row],[Quantity]],2)</f>
        <v>6.46</v>
      </c>
      <c r="AA188" s="112">
        <v>1</v>
      </c>
      <c r="AB188" s="21">
        <f>ROUND(X188+Z188+Y188,2)*Table1[[#This Row],[Until WA Approved Only Approved this %]]</f>
        <v>29.34</v>
      </c>
      <c r="AC188" s="139">
        <v>22.56</v>
      </c>
      <c r="AD188" s="139">
        <f>Table1[[#This Row],[Total Amount]]-Table1[[#This Row],[Previous Amount]]</f>
        <v>6.7800000000000011</v>
      </c>
      <c r="AE188" s="137"/>
      <c r="AG188" s="174">
        <v>29.34</v>
      </c>
      <c r="AH188" s="178">
        <f>AG188-Table1[[#This Row],[Total Amount]]</f>
        <v>0</v>
      </c>
      <c r="AI188" s="171">
        <f t="shared" si="20"/>
        <v>0</v>
      </c>
    </row>
    <row r="189" spans="1:35" ht="30" customHeight="1" x14ac:dyDescent="0.3">
      <c r="A189" s="91" t="s">
        <v>91</v>
      </c>
      <c r="B189" s="91" t="s">
        <v>99</v>
      </c>
      <c r="C189" s="109">
        <v>47</v>
      </c>
      <c r="D189" s="109">
        <v>77695</v>
      </c>
      <c r="E189" s="109">
        <v>80578</v>
      </c>
      <c r="F189" s="110" t="s">
        <v>318</v>
      </c>
      <c r="G189" s="17" t="s">
        <v>228</v>
      </c>
      <c r="H189" s="109" t="s">
        <v>222</v>
      </c>
      <c r="I189" s="109">
        <v>1</v>
      </c>
      <c r="J189" s="109">
        <v>2.5</v>
      </c>
      <c r="K189" s="109">
        <v>1.5</v>
      </c>
      <c r="L189" s="109">
        <v>3</v>
      </c>
      <c r="M189" s="109">
        <v>1</v>
      </c>
      <c r="N189" s="111" t="s">
        <v>223</v>
      </c>
      <c r="O189" s="111">
        <f t="shared" ref="O189:O228" si="27">ROUND(IF(N189="m3",I189*J189*K189*L189,IF(N189="m2-LxH",I189*J189*L189,IF(N189="m2-LxW",I189*J189*K189,IF(N189="rm",I189*L189,IF(N189="lm",I189*J189,IF(N189="unit",I189,"NA")))))),2)</f>
        <v>3</v>
      </c>
      <c r="P189" s="18">
        <v>44868</v>
      </c>
      <c r="Q189" s="125">
        <v>44915</v>
      </c>
      <c r="R189" s="112">
        <v>1</v>
      </c>
      <c r="S189" s="112">
        <v>1</v>
      </c>
      <c r="T189" s="112">
        <v>1</v>
      </c>
      <c r="U189" s="113">
        <f>IF(ISBLANK(Table1[[#This Row],[OHC Date]]),$B$7-Table1[[#This Row],[HOC Date]]+1,Table1[[#This Row],[OHC Date]]-Table1[[#This Row],[HOC Date]]+1)/7</f>
        <v>6.8571428571428568</v>
      </c>
      <c r="V189" s="114">
        <v>63.34</v>
      </c>
      <c r="W189" s="114">
        <v>7.28</v>
      </c>
      <c r="X189" s="114">
        <f>ROUND(0.7*Table1[[#This Row],[E&amp;D Rate per unit]]*R189*Table1[[#This Row],[Quantity]],2)</f>
        <v>133.01</v>
      </c>
      <c r="Y189" s="114">
        <f t="shared" ref="Y189:Y228" si="28">ROUND(O189*U189*W189*S189,2)</f>
        <v>149.76</v>
      </c>
      <c r="Z189" s="114">
        <f>ROUND(0.3*T189*Table1[[#This Row],[E&amp;D Rate per unit]]*Table1[[#This Row],[Quantity]],2)</f>
        <v>57.01</v>
      </c>
      <c r="AA189" s="112">
        <v>1</v>
      </c>
      <c r="AB189" s="21">
        <f>ROUND(X189+Z189+Y189,2)*Table1[[#This Row],[Until WA Approved Only Approved this %]]</f>
        <v>339.78</v>
      </c>
      <c r="AC189" s="136">
        <v>204.77</v>
      </c>
      <c r="AD189" s="136">
        <f>Table1[[#This Row],[Total Amount]]-Table1[[#This Row],[Previous Amount]]</f>
        <v>135.00999999999996</v>
      </c>
      <c r="AE189" s="115"/>
      <c r="AG189" s="174">
        <v>339.78</v>
      </c>
      <c r="AH189" s="178">
        <f>AG189-Table1[[#This Row],[Total Amount]]</f>
        <v>0</v>
      </c>
      <c r="AI189" s="171">
        <f t="shared" si="20"/>
        <v>0</v>
      </c>
    </row>
    <row r="190" spans="1:35" ht="30" customHeight="1" x14ac:dyDescent="0.3">
      <c r="A190" s="91" t="s">
        <v>91</v>
      </c>
      <c r="B190" s="91" t="s">
        <v>99</v>
      </c>
      <c r="C190" s="109">
        <v>48</v>
      </c>
      <c r="D190" s="109">
        <v>77696</v>
      </c>
      <c r="E190" s="109">
        <v>80526</v>
      </c>
      <c r="F190" s="110" t="s">
        <v>328</v>
      </c>
      <c r="G190" s="17" t="s">
        <v>202</v>
      </c>
      <c r="H190" s="109" t="s">
        <v>121</v>
      </c>
      <c r="I190" s="109">
        <v>1</v>
      </c>
      <c r="J190" s="109">
        <v>11.8</v>
      </c>
      <c r="K190" s="109">
        <v>3.8</v>
      </c>
      <c r="L190" s="109">
        <v>3.5</v>
      </c>
      <c r="M190" s="109">
        <v>1</v>
      </c>
      <c r="N190" s="111" t="s">
        <v>226</v>
      </c>
      <c r="O190" s="111">
        <f t="shared" si="27"/>
        <v>156.94</v>
      </c>
      <c r="P190" s="18">
        <v>44868</v>
      </c>
      <c r="Q190" s="125">
        <v>44882</v>
      </c>
      <c r="R190" s="112">
        <v>1</v>
      </c>
      <c r="S190" s="112">
        <v>1</v>
      </c>
      <c r="T190" s="112">
        <v>1</v>
      </c>
      <c r="U190" s="113">
        <f>IF(ISBLANK(Table1[[#This Row],[OHC Date]]),$B$7-Table1[[#This Row],[HOC Date]]+1,Table1[[#This Row],[OHC Date]]-Table1[[#This Row],[HOC Date]]+1)/7</f>
        <v>2.1428571428571428</v>
      </c>
      <c r="V190" s="114">
        <v>7.08</v>
      </c>
      <c r="W190" s="114">
        <v>0.49</v>
      </c>
      <c r="X190" s="114">
        <f>ROUND(0.7*Table1[[#This Row],[E&amp;D Rate per unit]]*R190*Table1[[#This Row],[Quantity]],2)</f>
        <v>777.79</v>
      </c>
      <c r="Y190" s="114">
        <f t="shared" si="28"/>
        <v>164.79</v>
      </c>
      <c r="Z190" s="114">
        <f>ROUND(0.3*T190*Table1[[#This Row],[E&amp;D Rate per unit]]*Table1[[#This Row],[Quantity]],2)</f>
        <v>333.34</v>
      </c>
      <c r="AA190" s="112">
        <v>1</v>
      </c>
      <c r="AB190" s="21">
        <f>ROUND(X190+Z190+Y190,2)*Table1[[#This Row],[Until WA Approved Only Approved this %]]</f>
        <v>1275.92</v>
      </c>
      <c r="AC190" s="136">
        <v>1275.92</v>
      </c>
      <c r="AD190" s="136">
        <f>Table1[[#This Row],[Total Amount]]-Table1[[#This Row],[Previous Amount]]</f>
        <v>0</v>
      </c>
      <c r="AE190" s="115"/>
      <c r="AG190" s="174">
        <v>1275.92</v>
      </c>
      <c r="AH190" s="178">
        <f>AG190-Table1[[#This Row],[Total Amount]]</f>
        <v>0</v>
      </c>
      <c r="AI190" s="171">
        <f t="shared" si="20"/>
        <v>0</v>
      </c>
    </row>
    <row r="191" spans="1:35" ht="30" customHeight="1" x14ac:dyDescent="0.3">
      <c r="A191" s="91" t="s">
        <v>91</v>
      </c>
      <c r="B191" s="91" t="s">
        <v>99</v>
      </c>
      <c r="C191" s="109">
        <v>49</v>
      </c>
      <c r="D191" s="109">
        <v>77697</v>
      </c>
      <c r="E191" s="109">
        <v>80508</v>
      </c>
      <c r="F191" s="110" t="s">
        <v>329</v>
      </c>
      <c r="G191" s="17" t="s">
        <v>228</v>
      </c>
      <c r="H191" s="109" t="s">
        <v>222</v>
      </c>
      <c r="I191" s="109">
        <v>1</v>
      </c>
      <c r="J191" s="109">
        <v>2.5</v>
      </c>
      <c r="K191" s="109">
        <v>1.3</v>
      </c>
      <c r="L191" s="109">
        <v>4.2</v>
      </c>
      <c r="M191" s="109">
        <v>1</v>
      </c>
      <c r="N191" s="111" t="s">
        <v>223</v>
      </c>
      <c r="O191" s="111">
        <f t="shared" si="27"/>
        <v>4.2</v>
      </c>
      <c r="P191" s="18">
        <v>44868</v>
      </c>
      <c r="Q191" s="125">
        <v>44877</v>
      </c>
      <c r="R191" s="112">
        <v>1</v>
      </c>
      <c r="S191" s="112">
        <v>1</v>
      </c>
      <c r="T191" s="112">
        <v>1</v>
      </c>
      <c r="U191" s="113">
        <f>IF(ISBLANK(Table1[[#This Row],[OHC Date]]),$B$7-Table1[[#This Row],[HOC Date]]+1,Table1[[#This Row],[OHC Date]]-Table1[[#This Row],[HOC Date]]+1)/7</f>
        <v>1.4285714285714286</v>
      </c>
      <c r="V191" s="114">
        <v>63.34</v>
      </c>
      <c r="W191" s="114">
        <v>7.28</v>
      </c>
      <c r="X191" s="114">
        <f>ROUND(0.7*Table1[[#This Row],[E&amp;D Rate per unit]]*R191*Table1[[#This Row],[Quantity]],2)</f>
        <v>186.22</v>
      </c>
      <c r="Y191" s="114">
        <f t="shared" si="28"/>
        <v>43.68</v>
      </c>
      <c r="Z191" s="114">
        <f>ROUND(0.3*T191*Table1[[#This Row],[E&amp;D Rate per unit]]*Table1[[#This Row],[Quantity]],2)</f>
        <v>79.81</v>
      </c>
      <c r="AA191" s="112">
        <v>1</v>
      </c>
      <c r="AB191" s="21">
        <f>ROUND(X191+Z191+Y191,2)*Table1[[#This Row],[Until WA Approved Only Approved this %]]</f>
        <v>309.70999999999998</v>
      </c>
      <c r="AC191" s="136">
        <v>309.70999999999998</v>
      </c>
      <c r="AD191" s="136">
        <f>Table1[[#This Row],[Total Amount]]-Table1[[#This Row],[Previous Amount]]</f>
        <v>0</v>
      </c>
      <c r="AE191" s="115"/>
      <c r="AG191" s="174">
        <v>309.70999999999998</v>
      </c>
      <c r="AH191" s="178">
        <f>AG191-Table1[[#This Row],[Total Amount]]</f>
        <v>0</v>
      </c>
      <c r="AI191" s="171">
        <f t="shared" si="20"/>
        <v>0</v>
      </c>
    </row>
    <row r="192" spans="1:35" ht="30" customHeight="1" x14ac:dyDescent="0.3">
      <c r="A192" s="91" t="s">
        <v>91</v>
      </c>
      <c r="B192" s="91" t="s">
        <v>99</v>
      </c>
      <c r="C192" s="109">
        <v>49</v>
      </c>
      <c r="D192" s="109">
        <v>77697</v>
      </c>
      <c r="E192" s="109">
        <v>80508</v>
      </c>
      <c r="F192" s="110" t="s">
        <v>329</v>
      </c>
      <c r="G192" s="17" t="s">
        <v>228</v>
      </c>
      <c r="H192" s="109" t="s">
        <v>178</v>
      </c>
      <c r="I192" s="109">
        <v>1</v>
      </c>
      <c r="J192" s="109">
        <v>2.5</v>
      </c>
      <c r="K192" s="109">
        <v>1.3</v>
      </c>
      <c r="L192" s="109">
        <v>1</v>
      </c>
      <c r="M192" s="109">
        <v>1</v>
      </c>
      <c r="N192" s="111" t="s">
        <v>162</v>
      </c>
      <c r="O192" s="111">
        <f t="shared" si="27"/>
        <v>3.25</v>
      </c>
      <c r="P192" s="18">
        <v>44868</v>
      </c>
      <c r="Q192" s="125">
        <v>44877</v>
      </c>
      <c r="R192" s="112">
        <v>1</v>
      </c>
      <c r="S192" s="112">
        <v>1</v>
      </c>
      <c r="T192" s="112">
        <v>1</v>
      </c>
      <c r="U192" s="113">
        <f>IF(ISBLANK(Table1[[#This Row],[OHC Date]]),$B$7-Table1[[#This Row],[HOC Date]]+1,Table1[[#This Row],[OHC Date]]-Table1[[#This Row],[HOC Date]]+1)/7</f>
        <v>1.4285714285714286</v>
      </c>
      <c r="V192" s="114">
        <v>6.63</v>
      </c>
      <c r="W192" s="114">
        <v>0.7</v>
      </c>
      <c r="X192" s="114">
        <f>ROUND(0.7*Table1[[#This Row],[E&amp;D Rate per unit]]*R192*Table1[[#This Row],[Quantity]],2)</f>
        <v>15.08</v>
      </c>
      <c r="Y192" s="114">
        <f t="shared" si="28"/>
        <v>3.25</v>
      </c>
      <c r="Z192" s="114">
        <f>ROUND(0.3*T192*Table1[[#This Row],[E&amp;D Rate per unit]]*Table1[[#This Row],[Quantity]],2)</f>
        <v>6.46</v>
      </c>
      <c r="AA192" s="112">
        <v>1</v>
      </c>
      <c r="AB192" s="21">
        <f>ROUND(X192+Z192+Y192,2)*Table1[[#This Row],[Until WA Approved Only Approved this %]]</f>
        <v>24.79</v>
      </c>
      <c r="AC192" s="136">
        <v>24.79</v>
      </c>
      <c r="AD192" s="136">
        <f>Table1[[#This Row],[Total Amount]]-Table1[[#This Row],[Previous Amount]]</f>
        <v>0</v>
      </c>
      <c r="AE192" s="115"/>
      <c r="AG192" s="174">
        <v>24.79</v>
      </c>
      <c r="AH192" s="178">
        <f>AG192-Table1[[#This Row],[Total Amount]]</f>
        <v>0</v>
      </c>
      <c r="AI192" s="171">
        <f t="shared" si="20"/>
        <v>0</v>
      </c>
    </row>
    <row r="193" spans="1:35" ht="30" customHeight="1" x14ac:dyDescent="0.3">
      <c r="A193" s="91" t="s">
        <v>91</v>
      </c>
      <c r="B193" s="91" t="s">
        <v>99</v>
      </c>
      <c r="C193" s="109">
        <v>50</v>
      </c>
      <c r="D193" s="109">
        <v>77698</v>
      </c>
      <c r="E193" s="109">
        <v>80529</v>
      </c>
      <c r="F193" s="110" t="s">
        <v>328</v>
      </c>
      <c r="G193" s="17" t="s">
        <v>202</v>
      </c>
      <c r="H193" s="109" t="s">
        <v>222</v>
      </c>
      <c r="I193" s="109">
        <v>1</v>
      </c>
      <c r="J193" s="109">
        <v>2.5</v>
      </c>
      <c r="K193" s="109">
        <v>2.5</v>
      </c>
      <c r="L193" s="109">
        <v>3.5</v>
      </c>
      <c r="M193" s="109">
        <v>1</v>
      </c>
      <c r="N193" s="111" t="s">
        <v>223</v>
      </c>
      <c r="O193" s="111">
        <f t="shared" si="27"/>
        <v>3.5</v>
      </c>
      <c r="P193" s="18">
        <v>44868</v>
      </c>
      <c r="Q193" s="125">
        <v>44883</v>
      </c>
      <c r="R193" s="112">
        <v>1</v>
      </c>
      <c r="S193" s="112">
        <v>1</v>
      </c>
      <c r="T193" s="112">
        <v>1</v>
      </c>
      <c r="U193" s="113">
        <f>IF(ISBLANK(Table1[[#This Row],[OHC Date]]),$B$7-Table1[[#This Row],[HOC Date]]+1,Table1[[#This Row],[OHC Date]]-Table1[[#This Row],[HOC Date]]+1)/7</f>
        <v>2.2857142857142856</v>
      </c>
      <c r="V193" s="114">
        <v>63.34</v>
      </c>
      <c r="W193" s="114">
        <v>7.28</v>
      </c>
      <c r="X193" s="114">
        <f>ROUND(0.7*Table1[[#This Row],[E&amp;D Rate per unit]]*R193*Table1[[#This Row],[Quantity]],2)</f>
        <v>155.18</v>
      </c>
      <c r="Y193" s="114">
        <f t="shared" si="28"/>
        <v>58.24</v>
      </c>
      <c r="Z193" s="114">
        <f>ROUND(0.3*T193*Table1[[#This Row],[E&amp;D Rate per unit]]*Table1[[#This Row],[Quantity]],2)</f>
        <v>66.510000000000005</v>
      </c>
      <c r="AA193" s="112">
        <v>1</v>
      </c>
      <c r="AB193" s="21">
        <f>ROUND(X193+Z193+Y193,2)*Table1[[#This Row],[Until WA Approved Only Approved this %]]</f>
        <v>279.93</v>
      </c>
      <c r="AC193" s="136">
        <v>279.93</v>
      </c>
      <c r="AD193" s="136">
        <f>Table1[[#This Row],[Total Amount]]-Table1[[#This Row],[Previous Amount]]</f>
        <v>0</v>
      </c>
      <c r="AE193" s="115"/>
      <c r="AG193" s="174">
        <v>279.93</v>
      </c>
      <c r="AH193" s="178">
        <f>AG193-Table1[[#This Row],[Total Amount]]</f>
        <v>0</v>
      </c>
      <c r="AI193" s="171">
        <f t="shared" si="20"/>
        <v>0</v>
      </c>
    </row>
    <row r="194" spans="1:35" ht="30" customHeight="1" x14ac:dyDescent="0.3">
      <c r="A194" s="91" t="s">
        <v>91</v>
      </c>
      <c r="B194" s="91" t="s">
        <v>99</v>
      </c>
      <c r="C194" s="109">
        <v>51</v>
      </c>
      <c r="D194" s="109">
        <v>77699</v>
      </c>
      <c r="E194" s="109">
        <v>80510</v>
      </c>
      <c r="F194" s="110" t="s">
        <v>328</v>
      </c>
      <c r="G194" s="17" t="s">
        <v>202</v>
      </c>
      <c r="H194" s="109" t="s">
        <v>222</v>
      </c>
      <c r="I194" s="109">
        <v>1</v>
      </c>
      <c r="J194" s="109">
        <v>2.5</v>
      </c>
      <c r="K194" s="109">
        <v>2.5</v>
      </c>
      <c r="L194" s="109">
        <v>3.5</v>
      </c>
      <c r="M194" s="109">
        <v>1</v>
      </c>
      <c r="N194" s="111" t="s">
        <v>223</v>
      </c>
      <c r="O194" s="111">
        <f t="shared" si="27"/>
        <v>3.5</v>
      </c>
      <c r="P194" s="18">
        <v>44868</v>
      </c>
      <c r="Q194" s="125">
        <v>44876</v>
      </c>
      <c r="R194" s="112">
        <v>1</v>
      </c>
      <c r="S194" s="112">
        <v>1</v>
      </c>
      <c r="T194" s="112">
        <v>1</v>
      </c>
      <c r="U194" s="113">
        <f>IF(ISBLANK(Table1[[#This Row],[OHC Date]]),$B$7-Table1[[#This Row],[HOC Date]]+1,Table1[[#This Row],[OHC Date]]-Table1[[#This Row],[HOC Date]]+1)/7</f>
        <v>1.2857142857142858</v>
      </c>
      <c r="V194" s="114">
        <v>63.34</v>
      </c>
      <c r="W194" s="114">
        <v>7.28</v>
      </c>
      <c r="X194" s="114">
        <f>ROUND(0.7*Table1[[#This Row],[E&amp;D Rate per unit]]*R194*Table1[[#This Row],[Quantity]],2)</f>
        <v>155.18</v>
      </c>
      <c r="Y194" s="114">
        <f t="shared" si="28"/>
        <v>32.76</v>
      </c>
      <c r="Z194" s="114">
        <f>ROUND(0.3*T194*Table1[[#This Row],[E&amp;D Rate per unit]]*Table1[[#This Row],[Quantity]],2)</f>
        <v>66.510000000000005</v>
      </c>
      <c r="AA194" s="112">
        <v>1</v>
      </c>
      <c r="AB194" s="21">
        <f>ROUND(X194+Z194+Y194,2)*Table1[[#This Row],[Until WA Approved Only Approved this %]]</f>
        <v>254.45</v>
      </c>
      <c r="AC194" s="136">
        <v>254.45</v>
      </c>
      <c r="AD194" s="136">
        <f>Table1[[#This Row],[Total Amount]]-Table1[[#This Row],[Previous Amount]]</f>
        <v>0</v>
      </c>
      <c r="AE194" s="115"/>
      <c r="AG194" s="174">
        <v>254.45</v>
      </c>
      <c r="AH194" s="178">
        <f>AG194-Table1[[#This Row],[Total Amount]]</f>
        <v>0</v>
      </c>
      <c r="AI194" s="171">
        <f t="shared" si="20"/>
        <v>0</v>
      </c>
    </row>
    <row r="195" spans="1:35" ht="30" customHeight="1" x14ac:dyDescent="0.3">
      <c r="A195" s="91" t="s">
        <v>91</v>
      </c>
      <c r="B195" s="91" t="s">
        <v>99</v>
      </c>
      <c r="C195" s="109" t="s">
        <v>330</v>
      </c>
      <c r="D195" s="109">
        <v>77700</v>
      </c>
      <c r="E195" s="109"/>
      <c r="F195" s="110" t="s">
        <v>240</v>
      </c>
      <c r="G195" s="17" t="s">
        <v>192</v>
      </c>
      <c r="H195" s="109" t="s">
        <v>128</v>
      </c>
      <c r="I195" s="109">
        <v>1</v>
      </c>
      <c r="J195" s="109">
        <v>9</v>
      </c>
      <c r="K195" s="109">
        <v>0.25</v>
      </c>
      <c r="L195" s="109">
        <v>1</v>
      </c>
      <c r="M195" s="109">
        <v>2</v>
      </c>
      <c r="N195" s="111" t="s">
        <v>162</v>
      </c>
      <c r="O195" s="111">
        <f t="shared" si="27"/>
        <v>2.25</v>
      </c>
      <c r="P195" s="18">
        <v>44868</v>
      </c>
      <c r="Q195" s="125"/>
      <c r="R195" s="112">
        <v>1</v>
      </c>
      <c r="S195" s="112">
        <v>1</v>
      </c>
      <c r="T195" s="112">
        <v>0</v>
      </c>
      <c r="U195" s="113">
        <f>IF(ISBLANK(Table1[[#This Row],[OHC Date]]),$B$7-Table1[[#This Row],[HOC Date]]+1,Table1[[#This Row],[OHC Date]]-Table1[[#This Row],[HOC Date]]+1)/7</f>
        <v>7.5714285714285712</v>
      </c>
      <c r="V195" s="114">
        <v>32.75</v>
      </c>
      <c r="W195" s="114">
        <v>1.05</v>
      </c>
      <c r="X195" s="114">
        <f>ROUND(0.7*Table1[[#This Row],[E&amp;D Rate per unit]]*R195*Table1[[#This Row],[Quantity]],2)</f>
        <v>51.58</v>
      </c>
      <c r="Y195" s="114">
        <f t="shared" si="28"/>
        <v>17.89</v>
      </c>
      <c r="Z195" s="114">
        <f>ROUND(0.3*T195*Table1[[#This Row],[E&amp;D Rate per unit]]*Table1[[#This Row],[Quantity]],2)</f>
        <v>0</v>
      </c>
      <c r="AA195" s="112">
        <v>1</v>
      </c>
      <c r="AB195" s="21">
        <f>ROUND(X195+Z195+Y195,2)*Table1[[#This Row],[Until WA Approved Only Approved this %]]</f>
        <v>69.47</v>
      </c>
      <c r="AC195" s="136">
        <v>59.34</v>
      </c>
      <c r="AD195" s="136">
        <f>Table1[[#This Row],[Total Amount]]-Table1[[#This Row],[Previous Amount]]</f>
        <v>10.129999999999995</v>
      </c>
      <c r="AE195" s="115"/>
      <c r="AG195" s="174">
        <v>69.47</v>
      </c>
      <c r="AH195" s="178">
        <f>AG195-Table1[[#This Row],[Total Amount]]</f>
        <v>0</v>
      </c>
      <c r="AI195" s="171">
        <f t="shared" si="20"/>
        <v>0</v>
      </c>
    </row>
    <row r="196" spans="1:35" ht="30" customHeight="1" x14ac:dyDescent="0.3">
      <c r="A196" s="91" t="s">
        <v>91</v>
      </c>
      <c r="B196" s="91" t="s">
        <v>99</v>
      </c>
      <c r="C196" s="109" t="s">
        <v>331</v>
      </c>
      <c r="D196" s="109">
        <v>77551</v>
      </c>
      <c r="E196" s="109">
        <v>76791</v>
      </c>
      <c r="F196" s="110" t="s">
        <v>240</v>
      </c>
      <c r="G196" s="17" t="s">
        <v>161</v>
      </c>
      <c r="H196" s="109" t="s">
        <v>129</v>
      </c>
      <c r="I196" s="109">
        <v>1</v>
      </c>
      <c r="J196" s="109">
        <v>10.8</v>
      </c>
      <c r="K196" s="109">
        <v>1</v>
      </c>
      <c r="L196" s="109">
        <v>1</v>
      </c>
      <c r="M196" s="109">
        <v>1</v>
      </c>
      <c r="N196" s="111" t="s">
        <v>162</v>
      </c>
      <c r="O196" s="111">
        <f t="shared" si="27"/>
        <v>10.8</v>
      </c>
      <c r="P196" s="18">
        <v>44868</v>
      </c>
      <c r="Q196" s="125">
        <v>44870</v>
      </c>
      <c r="R196" s="112">
        <v>1</v>
      </c>
      <c r="S196" s="112">
        <v>1</v>
      </c>
      <c r="T196" s="112">
        <v>1</v>
      </c>
      <c r="U196" s="113">
        <f>IF(ISBLANK(Table1[[#This Row],[OHC Date]]),$B$7-Table1[[#This Row],[HOC Date]]+1,Table1[[#This Row],[OHC Date]]-Table1[[#This Row],[HOC Date]]+1)/7</f>
        <v>0.42857142857142855</v>
      </c>
      <c r="V196" s="114">
        <v>36.520000000000003</v>
      </c>
      <c r="W196" s="114">
        <v>2.94</v>
      </c>
      <c r="X196" s="114">
        <f>ROUND(0.7*Table1[[#This Row],[E&amp;D Rate per unit]]*R196*Table1[[#This Row],[Quantity]],2)</f>
        <v>276.08999999999997</v>
      </c>
      <c r="Y196" s="114">
        <f t="shared" si="28"/>
        <v>13.61</v>
      </c>
      <c r="Z196" s="114">
        <f>ROUND(0.3*T196*Table1[[#This Row],[E&amp;D Rate per unit]]*Table1[[#This Row],[Quantity]],2)</f>
        <v>118.32</v>
      </c>
      <c r="AA196" s="112">
        <v>1</v>
      </c>
      <c r="AB196" s="21">
        <f>ROUND(X196+Z196+Y196,2)*Table1[[#This Row],[Until WA Approved Only Approved this %]]</f>
        <v>408.02</v>
      </c>
      <c r="AC196" s="136">
        <v>408.02</v>
      </c>
      <c r="AD196" s="136">
        <f>Table1[[#This Row],[Total Amount]]-Table1[[#This Row],[Previous Amount]]</f>
        <v>0</v>
      </c>
      <c r="AE196" s="115"/>
      <c r="AG196" s="174">
        <v>408.02</v>
      </c>
      <c r="AH196" s="178">
        <f>AG196-Table1[[#This Row],[Total Amount]]</f>
        <v>0</v>
      </c>
      <c r="AI196" s="171">
        <f t="shared" si="20"/>
        <v>0</v>
      </c>
    </row>
    <row r="197" spans="1:35" ht="30" customHeight="1" x14ac:dyDescent="0.3">
      <c r="A197" s="91" t="s">
        <v>91</v>
      </c>
      <c r="B197" s="91" t="s">
        <v>99</v>
      </c>
      <c r="C197" s="109" t="s">
        <v>332</v>
      </c>
      <c r="D197" s="109">
        <v>77552</v>
      </c>
      <c r="E197" s="109">
        <v>76797</v>
      </c>
      <c r="F197" s="110" t="s">
        <v>333</v>
      </c>
      <c r="G197" s="17" t="s">
        <v>202</v>
      </c>
      <c r="H197" s="109" t="s">
        <v>222</v>
      </c>
      <c r="I197" s="109">
        <v>1</v>
      </c>
      <c r="J197" s="109">
        <v>1</v>
      </c>
      <c r="K197" s="109">
        <v>1</v>
      </c>
      <c r="L197" s="109">
        <v>1.5</v>
      </c>
      <c r="M197" s="109">
        <v>1</v>
      </c>
      <c r="N197" s="111" t="s">
        <v>223</v>
      </c>
      <c r="O197" s="111">
        <f t="shared" si="27"/>
        <v>1.5</v>
      </c>
      <c r="P197" s="18">
        <v>44868</v>
      </c>
      <c r="Q197" s="125">
        <v>44874</v>
      </c>
      <c r="R197" s="112">
        <v>1</v>
      </c>
      <c r="S197" s="112">
        <v>1</v>
      </c>
      <c r="T197" s="112">
        <v>1</v>
      </c>
      <c r="U197" s="113">
        <f>IF(ISBLANK(Table1[[#This Row],[OHC Date]]),$B$7-Table1[[#This Row],[HOC Date]]+1,Table1[[#This Row],[OHC Date]]-Table1[[#This Row],[HOC Date]]+1)/7</f>
        <v>1</v>
      </c>
      <c r="V197" s="114">
        <v>63.34</v>
      </c>
      <c r="W197" s="114">
        <v>7.28</v>
      </c>
      <c r="X197" s="114">
        <f>ROUND(0.7*Table1[[#This Row],[E&amp;D Rate per unit]]*R197*Table1[[#This Row],[Quantity]],2)</f>
        <v>66.510000000000005</v>
      </c>
      <c r="Y197" s="114">
        <f t="shared" si="28"/>
        <v>10.92</v>
      </c>
      <c r="Z197" s="114">
        <f>ROUND(0.3*T197*Table1[[#This Row],[E&amp;D Rate per unit]]*Table1[[#This Row],[Quantity]],2)</f>
        <v>28.5</v>
      </c>
      <c r="AA197" s="112">
        <v>1</v>
      </c>
      <c r="AB197" s="21">
        <f>ROUND(X197+Z197+Y197,2)*Table1[[#This Row],[Until WA Approved Only Approved this %]]</f>
        <v>105.93</v>
      </c>
      <c r="AC197" s="136">
        <v>105.93</v>
      </c>
      <c r="AD197" s="136">
        <f>Table1[[#This Row],[Total Amount]]-Table1[[#This Row],[Previous Amount]]</f>
        <v>0</v>
      </c>
      <c r="AE197" s="115"/>
      <c r="AG197" s="174">
        <v>105.93</v>
      </c>
      <c r="AH197" s="178">
        <f>AG197-Table1[[#This Row],[Total Amount]]</f>
        <v>0</v>
      </c>
      <c r="AI197" s="171">
        <f t="shared" si="20"/>
        <v>0</v>
      </c>
    </row>
    <row r="198" spans="1:35" ht="30" customHeight="1" x14ac:dyDescent="0.3">
      <c r="A198" s="91" t="s">
        <v>91</v>
      </c>
      <c r="B198" s="91" t="s">
        <v>99</v>
      </c>
      <c r="C198" s="109" t="s">
        <v>334</v>
      </c>
      <c r="D198" s="109">
        <v>77553</v>
      </c>
      <c r="E198" s="109">
        <v>76798</v>
      </c>
      <c r="F198" s="110" t="s">
        <v>333</v>
      </c>
      <c r="G198" s="17" t="s">
        <v>202</v>
      </c>
      <c r="H198" s="109" t="s">
        <v>222</v>
      </c>
      <c r="I198" s="109">
        <v>1</v>
      </c>
      <c r="J198" s="109">
        <v>1</v>
      </c>
      <c r="K198" s="109">
        <v>1</v>
      </c>
      <c r="L198" s="109">
        <v>1.5</v>
      </c>
      <c r="M198" s="109">
        <v>1</v>
      </c>
      <c r="N198" s="111" t="s">
        <v>223</v>
      </c>
      <c r="O198" s="111">
        <f t="shared" si="27"/>
        <v>1.5</v>
      </c>
      <c r="P198" s="18">
        <v>44868</v>
      </c>
      <c r="Q198" s="125">
        <v>44874</v>
      </c>
      <c r="R198" s="112">
        <v>1</v>
      </c>
      <c r="S198" s="112">
        <v>1</v>
      </c>
      <c r="T198" s="112">
        <v>1</v>
      </c>
      <c r="U198" s="113">
        <f>IF(ISBLANK(Table1[[#This Row],[OHC Date]]),$B$7-Table1[[#This Row],[HOC Date]]+1,Table1[[#This Row],[OHC Date]]-Table1[[#This Row],[HOC Date]]+1)/7</f>
        <v>1</v>
      </c>
      <c r="V198" s="114">
        <v>63.34</v>
      </c>
      <c r="W198" s="114">
        <v>7.28</v>
      </c>
      <c r="X198" s="114">
        <f>ROUND(0.7*Table1[[#This Row],[E&amp;D Rate per unit]]*R198*Table1[[#This Row],[Quantity]],2)</f>
        <v>66.510000000000005</v>
      </c>
      <c r="Y198" s="114">
        <f t="shared" si="28"/>
        <v>10.92</v>
      </c>
      <c r="Z198" s="114">
        <f>ROUND(0.3*T198*Table1[[#This Row],[E&amp;D Rate per unit]]*Table1[[#This Row],[Quantity]],2)</f>
        <v>28.5</v>
      </c>
      <c r="AA198" s="112">
        <v>1</v>
      </c>
      <c r="AB198" s="21">
        <f>ROUND(X198+Z198+Y198,2)*Table1[[#This Row],[Until WA Approved Only Approved this %]]</f>
        <v>105.93</v>
      </c>
      <c r="AC198" s="136">
        <v>105.93</v>
      </c>
      <c r="AD198" s="136">
        <f>Table1[[#This Row],[Total Amount]]-Table1[[#This Row],[Previous Amount]]</f>
        <v>0</v>
      </c>
      <c r="AE198" s="115"/>
      <c r="AG198" s="174">
        <v>105.93</v>
      </c>
      <c r="AH198" s="178">
        <f>AG198-Table1[[#This Row],[Total Amount]]</f>
        <v>0</v>
      </c>
      <c r="AI198" s="171">
        <f t="shared" si="20"/>
        <v>0</v>
      </c>
    </row>
    <row r="199" spans="1:35" ht="30" customHeight="1" x14ac:dyDescent="0.3">
      <c r="A199" s="91" t="s">
        <v>91</v>
      </c>
      <c r="B199" s="91" t="s">
        <v>99</v>
      </c>
      <c r="C199" s="109">
        <v>52</v>
      </c>
      <c r="D199" s="109">
        <v>77554</v>
      </c>
      <c r="E199" s="109">
        <v>80523</v>
      </c>
      <c r="F199" s="110" t="s">
        <v>328</v>
      </c>
      <c r="G199" s="17" t="s">
        <v>202</v>
      </c>
      <c r="H199" s="109" t="s">
        <v>222</v>
      </c>
      <c r="I199" s="109">
        <v>1</v>
      </c>
      <c r="J199" s="109">
        <v>2.5</v>
      </c>
      <c r="K199" s="109">
        <v>2.5</v>
      </c>
      <c r="L199" s="109">
        <v>3.5</v>
      </c>
      <c r="M199" s="109">
        <v>1</v>
      </c>
      <c r="N199" s="111" t="s">
        <v>223</v>
      </c>
      <c r="O199" s="111">
        <f t="shared" si="27"/>
        <v>3.5</v>
      </c>
      <c r="P199" s="18">
        <v>44869</v>
      </c>
      <c r="Q199" s="125">
        <v>44881</v>
      </c>
      <c r="R199" s="112">
        <v>1</v>
      </c>
      <c r="S199" s="112">
        <v>1</v>
      </c>
      <c r="T199" s="112">
        <v>1</v>
      </c>
      <c r="U199" s="113">
        <f>IF(ISBLANK(Table1[[#This Row],[OHC Date]]),$B$7-Table1[[#This Row],[HOC Date]]+1,Table1[[#This Row],[OHC Date]]-Table1[[#This Row],[HOC Date]]+1)/7</f>
        <v>1.8571428571428572</v>
      </c>
      <c r="V199" s="114">
        <v>63.34</v>
      </c>
      <c r="W199" s="114">
        <v>7.28</v>
      </c>
      <c r="X199" s="114">
        <f>ROUND(0.7*Table1[[#This Row],[E&amp;D Rate per unit]]*R199*Table1[[#This Row],[Quantity]],2)</f>
        <v>155.18</v>
      </c>
      <c r="Y199" s="114">
        <f t="shared" si="28"/>
        <v>47.32</v>
      </c>
      <c r="Z199" s="114">
        <f>ROUND(0.3*T199*Table1[[#This Row],[E&amp;D Rate per unit]]*Table1[[#This Row],[Quantity]],2)</f>
        <v>66.510000000000005</v>
      </c>
      <c r="AA199" s="112">
        <v>1</v>
      </c>
      <c r="AB199" s="21">
        <f>ROUND(X199+Z199+Y199,2)*Table1[[#This Row],[Until WA Approved Only Approved this %]]</f>
        <v>269.01</v>
      </c>
      <c r="AC199" s="136">
        <v>269.01</v>
      </c>
      <c r="AD199" s="136">
        <f>Table1[[#This Row],[Total Amount]]-Table1[[#This Row],[Previous Amount]]</f>
        <v>0</v>
      </c>
      <c r="AE199" s="115"/>
      <c r="AG199" s="174">
        <v>269.01</v>
      </c>
      <c r="AH199" s="178">
        <f>AG199-Table1[[#This Row],[Total Amount]]</f>
        <v>0</v>
      </c>
      <c r="AI199" s="171">
        <f t="shared" si="20"/>
        <v>0</v>
      </c>
    </row>
    <row r="200" spans="1:35" ht="30" customHeight="1" x14ac:dyDescent="0.3">
      <c r="A200" s="91" t="s">
        <v>91</v>
      </c>
      <c r="B200" s="91" t="s">
        <v>99</v>
      </c>
      <c r="C200" s="109" t="s">
        <v>335</v>
      </c>
      <c r="D200" s="109">
        <v>77555</v>
      </c>
      <c r="E200" s="109">
        <v>80502</v>
      </c>
      <c r="F200" s="110" t="s">
        <v>336</v>
      </c>
      <c r="G200" s="17" t="s">
        <v>192</v>
      </c>
      <c r="H200" s="109" t="s">
        <v>129</v>
      </c>
      <c r="I200" s="109">
        <v>1</v>
      </c>
      <c r="J200" s="109">
        <v>2</v>
      </c>
      <c r="K200" s="109">
        <v>1.5</v>
      </c>
      <c r="L200" s="109">
        <v>1</v>
      </c>
      <c r="M200" s="109">
        <v>1</v>
      </c>
      <c r="N200" s="111" t="s">
        <v>162</v>
      </c>
      <c r="O200" s="111">
        <f t="shared" si="27"/>
        <v>3</v>
      </c>
      <c r="P200" s="18">
        <v>44869</v>
      </c>
      <c r="Q200" s="125">
        <v>44874</v>
      </c>
      <c r="R200" s="112">
        <v>1</v>
      </c>
      <c r="S200" s="112">
        <v>1</v>
      </c>
      <c r="T200" s="112">
        <v>1</v>
      </c>
      <c r="U200" s="113">
        <f>IF(ISBLANK(Table1[[#This Row],[OHC Date]]),$B$7-Table1[[#This Row],[HOC Date]]+1,Table1[[#This Row],[OHC Date]]-Table1[[#This Row],[HOC Date]]+1)/7</f>
        <v>0.8571428571428571</v>
      </c>
      <c r="V200" s="114">
        <v>36.520000000000003</v>
      </c>
      <c r="W200" s="114">
        <v>2.94</v>
      </c>
      <c r="X200" s="114">
        <f>ROUND(0.7*Table1[[#This Row],[E&amp;D Rate per unit]]*R200*Table1[[#This Row],[Quantity]],2)</f>
        <v>76.69</v>
      </c>
      <c r="Y200" s="114">
        <f t="shared" si="28"/>
        <v>7.56</v>
      </c>
      <c r="Z200" s="114">
        <f>ROUND(0.3*T200*Table1[[#This Row],[E&amp;D Rate per unit]]*Table1[[#This Row],[Quantity]],2)</f>
        <v>32.869999999999997</v>
      </c>
      <c r="AA200" s="112">
        <v>1</v>
      </c>
      <c r="AB200" s="21">
        <f>ROUND(X200+Z200+Y200,2)*Table1[[#This Row],[Until WA Approved Only Approved this %]]</f>
        <v>117.12</v>
      </c>
      <c r="AC200" s="136">
        <v>117.12</v>
      </c>
      <c r="AD200" s="136">
        <f>Table1[[#This Row],[Total Amount]]-Table1[[#This Row],[Previous Amount]]</f>
        <v>0</v>
      </c>
      <c r="AE200" s="115"/>
      <c r="AG200" s="174">
        <v>117.12</v>
      </c>
      <c r="AH200" s="178">
        <f>AG200-Table1[[#This Row],[Total Amount]]</f>
        <v>0</v>
      </c>
      <c r="AI200" s="171">
        <f t="shared" si="20"/>
        <v>0</v>
      </c>
    </row>
    <row r="201" spans="1:35" ht="30" customHeight="1" x14ac:dyDescent="0.3">
      <c r="A201" s="91" t="s">
        <v>91</v>
      </c>
      <c r="B201" s="91" t="s">
        <v>99</v>
      </c>
      <c r="C201" s="109">
        <v>53</v>
      </c>
      <c r="D201" s="109">
        <v>77556</v>
      </c>
      <c r="E201" s="109">
        <v>80511</v>
      </c>
      <c r="F201" s="110" t="s">
        <v>338</v>
      </c>
      <c r="G201" s="17" t="s">
        <v>339</v>
      </c>
      <c r="H201" s="109" t="s">
        <v>290</v>
      </c>
      <c r="I201" s="109">
        <v>1</v>
      </c>
      <c r="J201" s="109">
        <v>2.5</v>
      </c>
      <c r="K201" s="109">
        <v>1.8</v>
      </c>
      <c r="L201" s="109">
        <v>2</v>
      </c>
      <c r="M201" s="109"/>
      <c r="N201" s="111" t="s">
        <v>226</v>
      </c>
      <c r="O201" s="111">
        <f t="shared" si="27"/>
        <v>9</v>
      </c>
      <c r="P201" s="18">
        <v>44869</v>
      </c>
      <c r="Q201" s="125">
        <v>44876</v>
      </c>
      <c r="R201" s="112">
        <v>1</v>
      </c>
      <c r="S201" s="112">
        <v>1</v>
      </c>
      <c r="T201" s="112">
        <v>1</v>
      </c>
      <c r="U201" s="113">
        <f>IF(ISBLANK(Table1[[#This Row],[OHC Date]]),$B$7-Table1[[#This Row],[HOC Date]]+1,Table1[[#This Row],[OHC Date]]-Table1[[#This Row],[HOC Date]]+1)/7</f>
        <v>1.1428571428571428</v>
      </c>
      <c r="V201" s="114">
        <v>5.29</v>
      </c>
      <c r="W201" s="114">
        <v>0.35</v>
      </c>
      <c r="X201" s="114">
        <f>ROUND(0.7*Table1[[#This Row],[E&amp;D Rate per unit]]*R201*Table1[[#This Row],[Quantity]],2)</f>
        <v>33.33</v>
      </c>
      <c r="Y201" s="114">
        <f t="shared" si="28"/>
        <v>3.6</v>
      </c>
      <c r="Z201" s="114">
        <f>ROUND(0.3*T201*Table1[[#This Row],[E&amp;D Rate per unit]]*Table1[[#This Row],[Quantity]],2)</f>
        <v>14.28</v>
      </c>
      <c r="AA201" s="112">
        <v>1</v>
      </c>
      <c r="AB201" s="21">
        <f>ROUND(X201+Z201+Y201,2)*Table1[[#This Row],[Until WA Approved Only Approved this %]]</f>
        <v>51.21</v>
      </c>
      <c r="AC201" s="136">
        <v>51.21</v>
      </c>
      <c r="AD201" s="136">
        <f>Table1[[#This Row],[Total Amount]]-Table1[[#This Row],[Previous Amount]]</f>
        <v>0</v>
      </c>
      <c r="AE201" s="115"/>
      <c r="AG201" s="174">
        <v>51.21</v>
      </c>
      <c r="AH201" s="178">
        <f>AG201-Table1[[#This Row],[Total Amount]]</f>
        <v>0</v>
      </c>
      <c r="AI201" s="171">
        <f t="shared" si="20"/>
        <v>0</v>
      </c>
    </row>
    <row r="202" spans="1:35" ht="30" customHeight="1" x14ac:dyDescent="0.3">
      <c r="A202" s="91" t="s">
        <v>91</v>
      </c>
      <c r="B202" s="91" t="s">
        <v>99</v>
      </c>
      <c r="C202" s="109" t="s">
        <v>340</v>
      </c>
      <c r="D202" s="109">
        <v>77557</v>
      </c>
      <c r="E202" s="109">
        <v>80511</v>
      </c>
      <c r="F202" s="110" t="s">
        <v>341</v>
      </c>
      <c r="G202" s="17" t="s">
        <v>339</v>
      </c>
      <c r="H202" s="109" t="s">
        <v>342</v>
      </c>
      <c r="I202" s="109">
        <v>1</v>
      </c>
      <c r="J202" s="109">
        <v>6</v>
      </c>
      <c r="K202" s="109"/>
      <c r="L202" s="109">
        <v>1.5</v>
      </c>
      <c r="M202" s="109"/>
      <c r="N202" s="111" t="s">
        <v>285</v>
      </c>
      <c r="O202" s="111">
        <f t="shared" si="27"/>
        <v>6</v>
      </c>
      <c r="P202" s="18">
        <v>44869</v>
      </c>
      <c r="Q202" s="125">
        <v>44876</v>
      </c>
      <c r="R202" s="112">
        <v>1</v>
      </c>
      <c r="S202" s="112">
        <v>1</v>
      </c>
      <c r="T202" s="112">
        <v>1</v>
      </c>
      <c r="U202" s="113">
        <f>IF(ISBLANK(Table1[[#This Row],[OHC Date]]),$B$7-Table1[[#This Row],[HOC Date]]+1,Table1[[#This Row],[OHC Date]]-Table1[[#This Row],[HOC Date]]+1)/7</f>
        <v>1.1428571428571428</v>
      </c>
      <c r="V202" s="114">
        <v>15</v>
      </c>
      <c r="W202" s="114">
        <v>0.91</v>
      </c>
      <c r="X202" s="114">
        <f>ROUND(0.7*Table1[[#This Row],[E&amp;D Rate per unit]]*R202*Table1[[#This Row],[Quantity]],2)</f>
        <v>63</v>
      </c>
      <c r="Y202" s="114">
        <f t="shared" si="28"/>
        <v>6.24</v>
      </c>
      <c r="Z202" s="114">
        <f>ROUND(0.3*T202*Table1[[#This Row],[E&amp;D Rate per unit]]*Table1[[#This Row],[Quantity]],2)</f>
        <v>27</v>
      </c>
      <c r="AA202" s="112">
        <v>1</v>
      </c>
      <c r="AB202" s="21">
        <f>ROUND(X202+Z202+Y202,2)*Table1[[#This Row],[Until WA Approved Only Approved this %]]</f>
        <v>96.24</v>
      </c>
      <c r="AC202" s="136">
        <v>96.24</v>
      </c>
      <c r="AD202" s="136">
        <f>Table1[[#This Row],[Total Amount]]-Table1[[#This Row],[Previous Amount]]</f>
        <v>0</v>
      </c>
      <c r="AE202" s="115"/>
      <c r="AG202" s="174">
        <v>96.24</v>
      </c>
      <c r="AH202" s="178">
        <f>AG202-Table1[[#This Row],[Total Amount]]</f>
        <v>0</v>
      </c>
      <c r="AI202" s="171">
        <f t="shared" si="20"/>
        <v>0</v>
      </c>
    </row>
    <row r="203" spans="1:35" ht="30" customHeight="1" x14ac:dyDescent="0.3">
      <c r="A203" s="91" t="s">
        <v>91</v>
      </c>
      <c r="B203" s="91" t="s">
        <v>99</v>
      </c>
      <c r="C203" s="109">
        <v>54</v>
      </c>
      <c r="D203" s="109">
        <v>77558</v>
      </c>
      <c r="E203" s="109">
        <v>80527</v>
      </c>
      <c r="F203" s="110" t="s">
        <v>328</v>
      </c>
      <c r="G203" s="17" t="s">
        <v>202</v>
      </c>
      <c r="H203" s="109" t="s">
        <v>222</v>
      </c>
      <c r="I203" s="109">
        <v>1</v>
      </c>
      <c r="J203" s="109">
        <v>2.5</v>
      </c>
      <c r="K203" s="109">
        <v>2.5</v>
      </c>
      <c r="L203" s="109">
        <v>3.5</v>
      </c>
      <c r="M203" s="109">
        <v>1</v>
      </c>
      <c r="N203" s="111" t="s">
        <v>223</v>
      </c>
      <c r="O203" s="111">
        <f t="shared" si="27"/>
        <v>3.5</v>
      </c>
      <c r="P203" s="18">
        <v>44869</v>
      </c>
      <c r="Q203" s="125">
        <v>44882</v>
      </c>
      <c r="R203" s="112">
        <v>1</v>
      </c>
      <c r="S203" s="112">
        <v>1</v>
      </c>
      <c r="T203" s="112">
        <v>1</v>
      </c>
      <c r="U203" s="113">
        <f>IF(ISBLANK(Table1[[#This Row],[OHC Date]]),$B$7-Table1[[#This Row],[HOC Date]]+1,Table1[[#This Row],[OHC Date]]-Table1[[#This Row],[HOC Date]]+1)/7</f>
        <v>2</v>
      </c>
      <c r="V203" s="114">
        <v>63.34</v>
      </c>
      <c r="W203" s="114">
        <v>7.28</v>
      </c>
      <c r="X203" s="114">
        <f>ROUND(0.7*Table1[[#This Row],[E&amp;D Rate per unit]]*R203*Table1[[#This Row],[Quantity]],2)</f>
        <v>155.18</v>
      </c>
      <c r="Y203" s="114">
        <f t="shared" si="28"/>
        <v>50.96</v>
      </c>
      <c r="Z203" s="114">
        <f>ROUND(0.3*T203*Table1[[#This Row],[E&amp;D Rate per unit]]*Table1[[#This Row],[Quantity]],2)</f>
        <v>66.510000000000005</v>
      </c>
      <c r="AA203" s="112">
        <v>1</v>
      </c>
      <c r="AB203" s="21">
        <f>ROUND(X203+Z203+Y203,2)*Table1[[#This Row],[Until WA Approved Only Approved this %]]</f>
        <v>272.64999999999998</v>
      </c>
      <c r="AC203" s="136">
        <v>272.64999999999998</v>
      </c>
      <c r="AD203" s="136">
        <f>Table1[[#This Row],[Total Amount]]-Table1[[#This Row],[Previous Amount]]</f>
        <v>0</v>
      </c>
      <c r="AE203" s="115"/>
      <c r="AG203" s="174">
        <v>272.64999999999998</v>
      </c>
      <c r="AH203" s="178">
        <f>AG203-Table1[[#This Row],[Total Amount]]</f>
        <v>0</v>
      </c>
      <c r="AI203" s="171">
        <f t="shared" ref="AI203:AI266" si="29">AH203/AG203</f>
        <v>0</v>
      </c>
    </row>
    <row r="204" spans="1:35" ht="30" customHeight="1" x14ac:dyDescent="0.3">
      <c r="A204" s="91" t="s">
        <v>91</v>
      </c>
      <c r="B204" s="91" t="s">
        <v>99</v>
      </c>
      <c r="C204" s="109" t="s">
        <v>343</v>
      </c>
      <c r="D204" s="109">
        <v>77559</v>
      </c>
      <c r="E204" s="109">
        <v>80540</v>
      </c>
      <c r="F204" s="110" t="s">
        <v>344</v>
      </c>
      <c r="G204" s="17" t="s">
        <v>228</v>
      </c>
      <c r="H204" s="109" t="s">
        <v>222</v>
      </c>
      <c r="I204" s="109">
        <v>1</v>
      </c>
      <c r="J204" s="109">
        <v>1.8</v>
      </c>
      <c r="K204" s="109">
        <v>1.3</v>
      </c>
      <c r="L204" s="109">
        <v>4</v>
      </c>
      <c r="M204" s="109">
        <v>1</v>
      </c>
      <c r="N204" s="111" t="s">
        <v>223</v>
      </c>
      <c r="O204" s="111">
        <f t="shared" si="27"/>
        <v>4</v>
      </c>
      <c r="P204" s="18">
        <v>44870</v>
      </c>
      <c r="Q204" s="125">
        <v>44891</v>
      </c>
      <c r="R204" s="112">
        <v>1</v>
      </c>
      <c r="S204" s="112">
        <v>1</v>
      </c>
      <c r="T204" s="112">
        <v>1</v>
      </c>
      <c r="U204" s="113">
        <f>IF(ISBLANK(Table1[[#This Row],[OHC Date]]),$B$7-Table1[[#This Row],[HOC Date]]+1,Table1[[#This Row],[OHC Date]]-Table1[[#This Row],[HOC Date]]+1)/7</f>
        <v>3.1428571428571428</v>
      </c>
      <c r="V204" s="114">
        <v>63.34</v>
      </c>
      <c r="W204" s="114">
        <v>7.28</v>
      </c>
      <c r="X204" s="114">
        <f>ROUND(0.7*Table1[[#This Row],[E&amp;D Rate per unit]]*R204*Table1[[#This Row],[Quantity]],2)</f>
        <v>177.35</v>
      </c>
      <c r="Y204" s="114">
        <f t="shared" si="28"/>
        <v>91.52</v>
      </c>
      <c r="Z204" s="114">
        <f>ROUND(0.3*T204*Table1[[#This Row],[E&amp;D Rate per unit]]*Table1[[#This Row],[Quantity]],2)</f>
        <v>76.010000000000005</v>
      </c>
      <c r="AA204" s="112">
        <v>1</v>
      </c>
      <c r="AB204" s="21">
        <f>ROUND(X204+Z204+Y204,2)*Table1[[#This Row],[Until WA Approved Only Approved this %]]</f>
        <v>344.88</v>
      </c>
      <c r="AC204" s="136">
        <v>264.70999999999998</v>
      </c>
      <c r="AD204" s="136">
        <f>Table1[[#This Row],[Total Amount]]-Table1[[#This Row],[Previous Amount]]</f>
        <v>80.170000000000016</v>
      </c>
      <c r="AE204" s="115"/>
      <c r="AG204" s="174">
        <v>344.88</v>
      </c>
      <c r="AH204" s="178">
        <f>AG204-Table1[[#This Row],[Total Amount]]</f>
        <v>0</v>
      </c>
      <c r="AI204" s="171">
        <f t="shared" si="29"/>
        <v>0</v>
      </c>
    </row>
    <row r="205" spans="1:35" ht="30" customHeight="1" x14ac:dyDescent="0.3">
      <c r="A205" s="91" t="s">
        <v>91</v>
      </c>
      <c r="B205" s="91" t="s">
        <v>99</v>
      </c>
      <c r="C205" s="109">
        <v>55</v>
      </c>
      <c r="D205" s="109">
        <v>77560</v>
      </c>
      <c r="E205" s="109">
        <v>80517</v>
      </c>
      <c r="F205" s="110" t="s">
        <v>344</v>
      </c>
      <c r="G205" s="17" t="s">
        <v>228</v>
      </c>
      <c r="H205" s="109" t="s">
        <v>207</v>
      </c>
      <c r="I205" s="109">
        <v>1</v>
      </c>
      <c r="J205" s="109">
        <v>3.8</v>
      </c>
      <c r="K205" s="109">
        <v>1.3</v>
      </c>
      <c r="L205" s="109">
        <v>2.5</v>
      </c>
      <c r="M205" s="109">
        <v>1</v>
      </c>
      <c r="N205" s="111" t="s">
        <v>208</v>
      </c>
      <c r="O205" s="111">
        <f t="shared" si="27"/>
        <v>9.5</v>
      </c>
      <c r="P205" s="18">
        <v>44870</v>
      </c>
      <c r="Q205" s="125">
        <v>44880</v>
      </c>
      <c r="R205" s="112">
        <v>1</v>
      </c>
      <c r="S205" s="112">
        <v>1</v>
      </c>
      <c r="T205" s="112">
        <v>1</v>
      </c>
      <c r="U205" s="113">
        <f>IF(ISBLANK(Table1[[#This Row],[OHC Date]]),$B$7-Table1[[#This Row],[HOC Date]]+1,Table1[[#This Row],[OHC Date]]-Table1[[#This Row],[HOC Date]]+1)/7</f>
        <v>1.5714285714285714</v>
      </c>
      <c r="V205" s="114">
        <v>12.01</v>
      </c>
      <c r="W205" s="114">
        <v>0.49</v>
      </c>
      <c r="X205" s="114">
        <f>ROUND(0.7*Table1[[#This Row],[E&amp;D Rate per unit]]*R205*Table1[[#This Row],[Quantity]],2)</f>
        <v>79.87</v>
      </c>
      <c r="Y205" s="114">
        <f t="shared" si="28"/>
        <v>7.32</v>
      </c>
      <c r="Z205" s="114">
        <f>ROUND(0.3*T205*Table1[[#This Row],[E&amp;D Rate per unit]]*Table1[[#This Row],[Quantity]],2)</f>
        <v>34.229999999999997</v>
      </c>
      <c r="AA205" s="112">
        <v>1</v>
      </c>
      <c r="AB205" s="21">
        <f>ROUND(X205+Z205+Y205,2)*Table1[[#This Row],[Until WA Approved Only Approved this %]]</f>
        <v>121.42</v>
      </c>
      <c r="AC205" s="136">
        <v>121.42</v>
      </c>
      <c r="AD205" s="136">
        <f>Table1[[#This Row],[Total Amount]]-Table1[[#This Row],[Previous Amount]]</f>
        <v>0</v>
      </c>
      <c r="AE205" s="115"/>
      <c r="AG205" s="174">
        <v>121.42</v>
      </c>
      <c r="AH205" s="178">
        <f>AG205-Table1[[#This Row],[Total Amount]]</f>
        <v>0</v>
      </c>
      <c r="AI205" s="171">
        <f t="shared" si="29"/>
        <v>0</v>
      </c>
    </row>
    <row r="206" spans="1:35" ht="30" customHeight="1" x14ac:dyDescent="0.3">
      <c r="A206" s="91" t="s">
        <v>91</v>
      </c>
      <c r="B206" s="91" t="s">
        <v>99</v>
      </c>
      <c r="C206" s="109">
        <v>56</v>
      </c>
      <c r="D206" s="109">
        <v>77561</v>
      </c>
      <c r="E206" s="109"/>
      <c r="F206" s="110" t="s">
        <v>292</v>
      </c>
      <c r="G206" s="17" t="s">
        <v>256</v>
      </c>
      <c r="H206" s="109" t="s">
        <v>222</v>
      </c>
      <c r="I206" s="109">
        <v>1</v>
      </c>
      <c r="J206" s="109">
        <v>2.5</v>
      </c>
      <c r="K206" s="109">
        <v>1.8</v>
      </c>
      <c r="L206" s="109">
        <v>4</v>
      </c>
      <c r="M206" s="109">
        <v>1</v>
      </c>
      <c r="N206" s="111" t="s">
        <v>223</v>
      </c>
      <c r="O206" s="111">
        <f t="shared" si="27"/>
        <v>4</v>
      </c>
      <c r="P206" s="18">
        <v>44870</v>
      </c>
      <c r="Q206" s="125"/>
      <c r="R206" s="112">
        <v>1</v>
      </c>
      <c r="S206" s="112">
        <v>1</v>
      </c>
      <c r="T206" s="112">
        <v>0</v>
      </c>
      <c r="U206" s="113">
        <f>IF(ISBLANK(Table1[[#This Row],[OHC Date]]),$B$7-Table1[[#This Row],[HOC Date]]+1,Table1[[#This Row],[OHC Date]]-Table1[[#This Row],[HOC Date]]+1)/7</f>
        <v>7.2857142857142856</v>
      </c>
      <c r="V206" s="114">
        <v>63.34</v>
      </c>
      <c r="W206" s="114">
        <v>7.28</v>
      </c>
      <c r="X206" s="114">
        <f>ROUND(0.7*Table1[[#This Row],[E&amp;D Rate per unit]]*R206*Table1[[#This Row],[Quantity]],2)</f>
        <v>177.35</v>
      </c>
      <c r="Y206" s="114">
        <f t="shared" si="28"/>
        <v>212.16</v>
      </c>
      <c r="Z206" s="114">
        <f>ROUND(0.3*T206*Table1[[#This Row],[E&amp;D Rate per unit]]*Table1[[#This Row],[Quantity]],2)</f>
        <v>0</v>
      </c>
      <c r="AA206" s="112">
        <v>1</v>
      </c>
      <c r="AB206" s="21">
        <f>ROUND(X206+Z206+Y206,2)*Table1[[#This Row],[Until WA Approved Only Approved this %]]</f>
        <v>389.51</v>
      </c>
      <c r="AC206" s="136">
        <v>264.70999999999998</v>
      </c>
      <c r="AD206" s="136">
        <f>Table1[[#This Row],[Total Amount]]-Table1[[#This Row],[Previous Amount]]</f>
        <v>124.80000000000001</v>
      </c>
      <c r="AE206" s="115"/>
      <c r="AG206" s="174">
        <v>389.51</v>
      </c>
      <c r="AH206" s="178">
        <f>AG206-Table1[[#This Row],[Total Amount]]</f>
        <v>0</v>
      </c>
      <c r="AI206" s="171">
        <f t="shared" si="29"/>
        <v>0</v>
      </c>
    </row>
    <row r="207" spans="1:35" ht="30" customHeight="1" x14ac:dyDescent="0.3">
      <c r="A207" s="91" t="s">
        <v>91</v>
      </c>
      <c r="B207" s="91" t="s">
        <v>99</v>
      </c>
      <c r="C207" s="109">
        <v>56</v>
      </c>
      <c r="D207" s="109">
        <v>77561</v>
      </c>
      <c r="E207" s="109"/>
      <c r="F207" s="110" t="s">
        <v>292</v>
      </c>
      <c r="G207" s="17" t="s">
        <v>256</v>
      </c>
      <c r="H207" s="109" t="s">
        <v>178</v>
      </c>
      <c r="I207" s="109">
        <v>1</v>
      </c>
      <c r="J207" s="109">
        <v>2.5</v>
      </c>
      <c r="K207" s="109">
        <v>1.8</v>
      </c>
      <c r="L207" s="109">
        <v>1</v>
      </c>
      <c r="M207" s="109">
        <v>1</v>
      </c>
      <c r="N207" s="111" t="s">
        <v>162</v>
      </c>
      <c r="O207" s="111">
        <f t="shared" si="27"/>
        <v>4.5</v>
      </c>
      <c r="P207" s="18">
        <v>44870</v>
      </c>
      <c r="Q207" s="125"/>
      <c r="R207" s="112">
        <v>1</v>
      </c>
      <c r="S207" s="112">
        <v>1</v>
      </c>
      <c r="T207" s="112">
        <v>0</v>
      </c>
      <c r="U207" s="113">
        <f>IF(ISBLANK(Table1[[#This Row],[OHC Date]]),$B$7-Table1[[#This Row],[HOC Date]]+1,Table1[[#This Row],[OHC Date]]-Table1[[#This Row],[HOC Date]]+1)/7</f>
        <v>7.2857142857142856</v>
      </c>
      <c r="V207" s="114">
        <v>6.63</v>
      </c>
      <c r="W207" s="114">
        <v>0.7</v>
      </c>
      <c r="X207" s="114">
        <f>ROUND(0.7*Table1[[#This Row],[E&amp;D Rate per unit]]*R207*Table1[[#This Row],[Quantity]],2)</f>
        <v>20.88</v>
      </c>
      <c r="Y207" s="114">
        <f t="shared" si="28"/>
        <v>22.95</v>
      </c>
      <c r="Z207" s="114">
        <f>ROUND(0.3*T207*Table1[[#This Row],[E&amp;D Rate per unit]]*Table1[[#This Row],[Quantity]],2)</f>
        <v>0</v>
      </c>
      <c r="AA207" s="112">
        <v>1</v>
      </c>
      <c r="AB207" s="21">
        <f>ROUND(X207+Z207+Y207,2)*Table1[[#This Row],[Until WA Approved Only Approved this %]]</f>
        <v>43.83</v>
      </c>
      <c r="AC207" s="136">
        <v>30.33</v>
      </c>
      <c r="AD207" s="136">
        <f>Table1[[#This Row],[Total Amount]]-Table1[[#This Row],[Previous Amount]]</f>
        <v>13.5</v>
      </c>
      <c r="AE207" s="115"/>
      <c r="AG207" s="174">
        <v>43.83</v>
      </c>
      <c r="AH207" s="178">
        <f>AG207-Table1[[#This Row],[Total Amount]]</f>
        <v>0</v>
      </c>
      <c r="AI207" s="171">
        <f t="shared" si="29"/>
        <v>0</v>
      </c>
    </row>
    <row r="208" spans="1:35" ht="30" customHeight="1" x14ac:dyDescent="0.3">
      <c r="A208" s="91" t="s">
        <v>91</v>
      </c>
      <c r="B208" s="91" t="s">
        <v>99</v>
      </c>
      <c r="C208" s="109" t="s">
        <v>345</v>
      </c>
      <c r="D208" s="109">
        <v>77562</v>
      </c>
      <c r="E208" s="109">
        <v>76799</v>
      </c>
      <c r="F208" s="110" t="s">
        <v>333</v>
      </c>
      <c r="G208" s="17" t="s">
        <v>202</v>
      </c>
      <c r="H208" s="109" t="s">
        <v>222</v>
      </c>
      <c r="I208" s="109">
        <v>1</v>
      </c>
      <c r="J208" s="109">
        <v>1</v>
      </c>
      <c r="K208" s="109">
        <v>1</v>
      </c>
      <c r="L208" s="109">
        <v>1.5</v>
      </c>
      <c r="M208" s="109">
        <v>1</v>
      </c>
      <c r="N208" s="111" t="s">
        <v>223</v>
      </c>
      <c r="O208" s="111">
        <f t="shared" si="27"/>
        <v>1.5</v>
      </c>
      <c r="P208" s="18">
        <v>44870</v>
      </c>
      <c r="Q208" s="125">
        <v>44874</v>
      </c>
      <c r="R208" s="112">
        <v>1</v>
      </c>
      <c r="S208" s="112">
        <v>1</v>
      </c>
      <c r="T208" s="112">
        <v>1</v>
      </c>
      <c r="U208" s="113">
        <f>IF(ISBLANK(Table1[[#This Row],[OHC Date]]),$B$7-Table1[[#This Row],[HOC Date]]+1,Table1[[#This Row],[OHC Date]]-Table1[[#This Row],[HOC Date]]+1)/7</f>
        <v>0.7142857142857143</v>
      </c>
      <c r="V208" s="114">
        <v>63.34</v>
      </c>
      <c r="W208" s="114">
        <v>7.28</v>
      </c>
      <c r="X208" s="114">
        <f>ROUND(0.7*Table1[[#This Row],[E&amp;D Rate per unit]]*R208*Table1[[#This Row],[Quantity]],2)</f>
        <v>66.510000000000005</v>
      </c>
      <c r="Y208" s="114">
        <f t="shared" si="28"/>
        <v>7.8</v>
      </c>
      <c r="Z208" s="114">
        <f>ROUND(0.3*T208*Table1[[#This Row],[E&amp;D Rate per unit]]*Table1[[#This Row],[Quantity]],2)</f>
        <v>28.5</v>
      </c>
      <c r="AA208" s="112">
        <v>1</v>
      </c>
      <c r="AB208" s="21">
        <f>ROUND(X208+Z208+Y208,2)*Table1[[#This Row],[Until WA Approved Only Approved this %]]</f>
        <v>102.81</v>
      </c>
      <c r="AC208" s="136">
        <v>102.81</v>
      </c>
      <c r="AD208" s="136">
        <f>Table1[[#This Row],[Total Amount]]-Table1[[#This Row],[Previous Amount]]</f>
        <v>0</v>
      </c>
      <c r="AE208" s="115"/>
      <c r="AG208" s="174">
        <v>102.81</v>
      </c>
      <c r="AH208" s="178">
        <f>AG208-Table1[[#This Row],[Total Amount]]</f>
        <v>0</v>
      </c>
      <c r="AI208" s="171">
        <f t="shared" si="29"/>
        <v>0</v>
      </c>
    </row>
    <row r="209" spans="1:35" ht="30" customHeight="1" x14ac:dyDescent="0.3">
      <c r="A209" s="91" t="s">
        <v>91</v>
      </c>
      <c r="B209" s="91" t="s">
        <v>99</v>
      </c>
      <c r="C209" s="109" t="s">
        <v>346</v>
      </c>
      <c r="D209" s="109">
        <v>77563</v>
      </c>
      <c r="E209" s="109">
        <v>76800</v>
      </c>
      <c r="F209" s="110" t="s">
        <v>333</v>
      </c>
      <c r="G209" s="17" t="s">
        <v>202</v>
      </c>
      <c r="H209" s="109" t="s">
        <v>222</v>
      </c>
      <c r="I209" s="109">
        <v>1</v>
      </c>
      <c r="J209" s="109">
        <v>1</v>
      </c>
      <c r="K209" s="109">
        <v>1</v>
      </c>
      <c r="L209" s="109">
        <v>1.5</v>
      </c>
      <c r="M209" s="109">
        <v>1</v>
      </c>
      <c r="N209" s="111" t="s">
        <v>223</v>
      </c>
      <c r="O209" s="111">
        <f t="shared" si="27"/>
        <v>1.5</v>
      </c>
      <c r="P209" s="18">
        <v>44870</v>
      </c>
      <c r="Q209" s="125">
        <v>44874</v>
      </c>
      <c r="R209" s="112">
        <v>1</v>
      </c>
      <c r="S209" s="112">
        <v>1</v>
      </c>
      <c r="T209" s="112">
        <v>1</v>
      </c>
      <c r="U209" s="113">
        <f>IF(ISBLANK(Table1[[#This Row],[OHC Date]]),$B$7-Table1[[#This Row],[HOC Date]]+1,Table1[[#This Row],[OHC Date]]-Table1[[#This Row],[HOC Date]]+1)/7</f>
        <v>0.7142857142857143</v>
      </c>
      <c r="V209" s="114">
        <v>63.34</v>
      </c>
      <c r="W209" s="114">
        <v>7.28</v>
      </c>
      <c r="X209" s="114">
        <f>ROUND(0.7*Table1[[#This Row],[E&amp;D Rate per unit]]*R209*Table1[[#This Row],[Quantity]],2)</f>
        <v>66.510000000000005</v>
      </c>
      <c r="Y209" s="114">
        <f t="shared" si="28"/>
        <v>7.8</v>
      </c>
      <c r="Z209" s="114">
        <f>ROUND(0.3*T209*Table1[[#This Row],[E&amp;D Rate per unit]]*Table1[[#This Row],[Quantity]],2)</f>
        <v>28.5</v>
      </c>
      <c r="AA209" s="112">
        <v>1</v>
      </c>
      <c r="AB209" s="21">
        <f>ROUND(X209+Z209+Y209,2)*Table1[[#This Row],[Until WA Approved Only Approved this %]]</f>
        <v>102.81</v>
      </c>
      <c r="AC209" s="136">
        <v>102.81</v>
      </c>
      <c r="AD209" s="136">
        <f>Table1[[#This Row],[Total Amount]]-Table1[[#This Row],[Previous Amount]]</f>
        <v>0</v>
      </c>
      <c r="AE209" s="115"/>
      <c r="AG209" s="174">
        <v>102.81</v>
      </c>
      <c r="AH209" s="178">
        <f>AG209-Table1[[#This Row],[Total Amount]]</f>
        <v>0</v>
      </c>
      <c r="AI209" s="171">
        <f t="shared" si="29"/>
        <v>0</v>
      </c>
    </row>
    <row r="210" spans="1:35" ht="30" customHeight="1" x14ac:dyDescent="0.3">
      <c r="A210" s="91" t="s">
        <v>91</v>
      </c>
      <c r="B210" s="91" t="s">
        <v>99</v>
      </c>
      <c r="C210" s="109">
        <v>57</v>
      </c>
      <c r="D210" s="109">
        <v>77564</v>
      </c>
      <c r="E210" s="109">
        <v>80549</v>
      </c>
      <c r="F210" s="110" t="s">
        <v>344</v>
      </c>
      <c r="G210" s="17" t="s">
        <v>228</v>
      </c>
      <c r="H210" s="109" t="s">
        <v>222</v>
      </c>
      <c r="I210" s="109">
        <v>1</v>
      </c>
      <c r="J210" s="109">
        <v>2.5</v>
      </c>
      <c r="K210" s="109">
        <v>1.3</v>
      </c>
      <c r="L210" s="109">
        <v>3.8</v>
      </c>
      <c r="M210" s="109">
        <v>1</v>
      </c>
      <c r="N210" s="111" t="s">
        <v>223</v>
      </c>
      <c r="O210" s="111">
        <f t="shared" si="27"/>
        <v>3.8</v>
      </c>
      <c r="P210" s="18">
        <v>44870</v>
      </c>
      <c r="Q210" s="125">
        <v>44900</v>
      </c>
      <c r="R210" s="112">
        <v>1</v>
      </c>
      <c r="S210" s="112">
        <v>1</v>
      </c>
      <c r="T210" s="112">
        <v>1</v>
      </c>
      <c r="U210" s="113">
        <f>IF(ISBLANK(Table1[[#This Row],[OHC Date]]),$B$7-Table1[[#This Row],[HOC Date]]+1,Table1[[#This Row],[OHC Date]]-Table1[[#This Row],[HOC Date]]+1)/7</f>
        <v>4.4285714285714288</v>
      </c>
      <c r="V210" s="114">
        <v>63.34</v>
      </c>
      <c r="W210" s="114">
        <v>7.28</v>
      </c>
      <c r="X210" s="114">
        <f>ROUND(0.7*Table1[[#This Row],[E&amp;D Rate per unit]]*R210*Table1[[#This Row],[Quantity]],2)</f>
        <v>168.48</v>
      </c>
      <c r="Y210" s="114">
        <f t="shared" si="28"/>
        <v>122.51</v>
      </c>
      <c r="Z210" s="114">
        <f>ROUND(0.3*T210*Table1[[#This Row],[E&amp;D Rate per unit]]*Table1[[#This Row],[Quantity]],2)</f>
        <v>72.209999999999994</v>
      </c>
      <c r="AA210" s="112">
        <v>1</v>
      </c>
      <c r="AB210" s="21">
        <f>ROUND(X210+Z210+Y210,2)*Table1[[#This Row],[Until WA Approved Only Approved this %]]</f>
        <v>363.2</v>
      </c>
      <c r="AC210" s="136">
        <v>251.47</v>
      </c>
      <c r="AD210" s="136">
        <f>Table1[[#This Row],[Total Amount]]-Table1[[#This Row],[Previous Amount]]</f>
        <v>111.72999999999999</v>
      </c>
      <c r="AE210" s="115"/>
      <c r="AG210" s="174">
        <v>363.2</v>
      </c>
      <c r="AH210" s="178">
        <f>AG210-Table1[[#This Row],[Total Amount]]</f>
        <v>0</v>
      </c>
      <c r="AI210" s="171">
        <f t="shared" si="29"/>
        <v>0</v>
      </c>
    </row>
    <row r="211" spans="1:35" ht="30" customHeight="1" x14ac:dyDescent="0.3">
      <c r="A211" s="91" t="s">
        <v>91</v>
      </c>
      <c r="B211" s="91" t="s">
        <v>99</v>
      </c>
      <c r="C211" s="109">
        <v>58</v>
      </c>
      <c r="D211" s="109">
        <v>77565</v>
      </c>
      <c r="E211" s="109">
        <v>80528</v>
      </c>
      <c r="F211" s="110" t="s">
        <v>328</v>
      </c>
      <c r="G211" s="17" t="s">
        <v>202</v>
      </c>
      <c r="H211" s="109" t="s">
        <v>120</v>
      </c>
      <c r="I211" s="109">
        <v>1</v>
      </c>
      <c r="J211" s="109">
        <v>3.8</v>
      </c>
      <c r="K211" s="109">
        <v>2.5</v>
      </c>
      <c r="L211" s="109">
        <v>3.5</v>
      </c>
      <c r="M211" s="109">
        <v>1</v>
      </c>
      <c r="N211" s="92" t="s">
        <v>208</v>
      </c>
      <c r="O211" s="92">
        <f t="shared" si="27"/>
        <v>13.3</v>
      </c>
      <c r="P211" s="18">
        <v>44872</v>
      </c>
      <c r="Q211" s="125">
        <v>44882</v>
      </c>
      <c r="R211" s="112">
        <v>1</v>
      </c>
      <c r="S211" s="112">
        <v>1</v>
      </c>
      <c r="T211" s="112">
        <v>1</v>
      </c>
      <c r="U211" s="113">
        <f>IF(ISBLANK(Table1[[#This Row],[OHC Date]]),$B$7-Table1[[#This Row],[HOC Date]]+1,Table1[[#This Row],[OHC Date]]-Table1[[#This Row],[HOC Date]]+1)/7</f>
        <v>1.5714285714285714</v>
      </c>
      <c r="V211" s="114">
        <v>16.760000000000002</v>
      </c>
      <c r="W211" s="114">
        <v>0.77</v>
      </c>
      <c r="X211" s="114">
        <f>ROUND(0.7*Table1[[#This Row],[E&amp;D Rate per unit]]*R211*Table1[[#This Row],[Quantity]],2)</f>
        <v>156.04</v>
      </c>
      <c r="Y211" s="114">
        <f t="shared" si="28"/>
        <v>16.09</v>
      </c>
      <c r="Z211" s="114">
        <f>ROUND(0.3*T211*Table1[[#This Row],[E&amp;D Rate per unit]]*Table1[[#This Row],[Quantity]],2)</f>
        <v>66.87</v>
      </c>
      <c r="AA211" s="112">
        <v>1</v>
      </c>
      <c r="AB211" s="21">
        <f>ROUND(X211+Z211+Y211,2)*Table1[[#This Row],[Until WA Approved Only Approved this %]]</f>
        <v>239</v>
      </c>
      <c r="AC211" s="136">
        <v>239</v>
      </c>
      <c r="AD211" s="136">
        <f>Table1[[#This Row],[Total Amount]]-Table1[[#This Row],[Previous Amount]]</f>
        <v>0</v>
      </c>
      <c r="AE211" s="115"/>
      <c r="AG211" s="174">
        <v>239</v>
      </c>
      <c r="AH211" s="178">
        <f>AG211-Table1[[#This Row],[Total Amount]]</f>
        <v>0</v>
      </c>
      <c r="AI211" s="171">
        <f t="shared" si="29"/>
        <v>0</v>
      </c>
    </row>
    <row r="212" spans="1:35" ht="30" customHeight="1" x14ac:dyDescent="0.3">
      <c r="A212" s="91" t="s">
        <v>91</v>
      </c>
      <c r="B212" s="91" t="s">
        <v>99</v>
      </c>
      <c r="C212" s="109">
        <v>59</v>
      </c>
      <c r="D212" s="109">
        <v>77566</v>
      </c>
      <c r="E212" s="109">
        <v>76794</v>
      </c>
      <c r="F212" s="110" t="s">
        <v>347</v>
      </c>
      <c r="G212" s="17" t="s">
        <v>228</v>
      </c>
      <c r="H212" s="109" t="s">
        <v>207</v>
      </c>
      <c r="I212" s="109">
        <v>1</v>
      </c>
      <c r="J212" s="109">
        <v>8.1</v>
      </c>
      <c r="K212" s="109">
        <v>1.3</v>
      </c>
      <c r="L212" s="109">
        <v>3</v>
      </c>
      <c r="M212" s="109">
        <v>1</v>
      </c>
      <c r="N212" s="111" t="s">
        <v>208</v>
      </c>
      <c r="O212" s="111">
        <f t="shared" si="27"/>
        <v>24.3</v>
      </c>
      <c r="P212" s="18">
        <v>44872</v>
      </c>
      <c r="Q212" s="125">
        <v>44873</v>
      </c>
      <c r="R212" s="112">
        <v>1</v>
      </c>
      <c r="S212" s="112">
        <v>1</v>
      </c>
      <c r="T212" s="112">
        <v>1</v>
      </c>
      <c r="U212" s="113">
        <f>IF(ISBLANK(Table1[[#This Row],[OHC Date]]),$B$7-Table1[[#This Row],[HOC Date]]+1,Table1[[#This Row],[OHC Date]]-Table1[[#This Row],[HOC Date]]+1)/7</f>
        <v>0.2857142857142857</v>
      </c>
      <c r="V212" s="114">
        <v>12.01</v>
      </c>
      <c r="W212" s="114">
        <v>0.49</v>
      </c>
      <c r="X212" s="114">
        <f>ROUND(0.7*Table1[[#This Row],[E&amp;D Rate per unit]]*R212*Table1[[#This Row],[Quantity]],2)</f>
        <v>204.29</v>
      </c>
      <c r="Y212" s="114">
        <f t="shared" si="28"/>
        <v>3.4</v>
      </c>
      <c r="Z212" s="114">
        <f>ROUND(0.3*T212*Table1[[#This Row],[E&amp;D Rate per unit]]*Table1[[#This Row],[Quantity]],2)</f>
        <v>87.55</v>
      </c>
      <c r="AA212" s="112">
        <v>1</v>
      </c>
      <c r="AB212" s="21">
        <f>ROUND(X212+Z212+Y212,2)*Table1[[#This Row],[Until WA Approved Only Approved this %]]</f>
        <v>295.24</v>
      </c>
      <c r="AC212" s="136">
        <v>295.24</v>
      </c>
      <c r="AD212" s="136">
        <f>Table1[[#This Row],[Total Amount]]-Table1[[#This Row],[Previous Amount]]</f>
        <v>0</v>
      </c>
      <c r="AE212" s="115"/>
      <c r="AG212" s="174">
        <v>295.24</v>
      </c>
      <c r="AH212" s="178">
        <f>AG212-Table1[[#This Row],[Total Amount]]</f>
        <v>0</v>
      </c>
      <c r="AI212" s="171">
        <f t="shared" si="29"/>
        <v>0</v>
      </c>
    </row>
    <row r="213" spans="1:35" ht="30" customHeight="1" x14ac:dyDescent="0.3">
      <c r="A213" s="91" t="s">
        <v>91</v>
      </c>
      <c r="B213" s="91" t="s">
        <v>99</v>
      </c>
      <c r="C213" s="109" t="s">
        <v>348</v>
      </c>
      <c r="D213" s="109">
        <v>77567</v>
      </c>
      <c r="E213" s="109">
        <v>80533</v>
      </c>
      <c r="F213" s="110" t="s">
        <v>240</v>
      </c>
      <c r="G213" s="17" t="s">
        <v>192</v>
      </c>
      <c r="H213" s="109" t="s">
        <v>129</v>
      </c>
      <c r="I213" s="109">
        <v>1</v>
      </c>
      <c r="J213" s="109">
        <v>10.8</v>
      </c>
      <c r="K213" s="109">
        <v>1</v>
      </c>
      <c r="L213" s="109">
        <v>1</v>
      </c>
      <c r="M213" s="109">
        <v>1</v>
      </c>
      <c r="N213" s="111" t="s">
        <v>162</v>
      </c>
      <c r="O213" s="111">
        <f t="shared" si="27"/>
        <v>10.8</v>
      </c>
      <c r="P213" s="18">
        <v>44870</v>
      </c>
      <c r="Q213" s="125">
        <v>44890</v>
      </c>
      <c r="R213" s="112">
        <v>1</v>
      </c>
      <c r="S213" s="112">
        <v>1</v>
      </c>
      <c r="T213" s="112">
        <v>1</v>
      </c>
      <c r="U213" s="113">
        <f>IF(ISBLANK(Table1[[#This Row],[OHC Date]]),$B$7-Table1[[#This Row],[HOC Date]]+1,Table1[[#This Row],[OHC Date]]-Table1[[#This Row],[HOC Date]]+1)/7</f>
        <v>3</v>
      </c>
      <c r="V213" s="114">
        <v>36.520000000000003</v>
      </c>
      <c r="W213" s="114">
        <v>2.94</v>
      </c>
      <c r="X213" s="114">
        <f>ROUND(0.7*Table1[[#This Row],[E&amp;D Rate per unit]]*R213*Table1[[#This Row],[Quantity]],2)</f>
        <v>276.08999999999997</v>
      </c>
      <c r="Y213" s="114">
        <f t="shared" si="28"/>
        <v>95.26</v>
      </c>
      <c r="Z213" s="114">
        <f>ROUND(0.3*T213*Table1[[#This Row],[E&amp;D Rate per unit]]*Table1[[#This Row],[Quantity]],2)</f>
        <v>118.32</v>
      </c>
      <c r="AA213" s="112">
        <v>1</v>
      </c>
      <c r="AB213" s="21">
        <f>ROUND(X213+Z213+Y213,2)*Table1[[#This Row],[Until WA Approved Only Approved this %]]</f>
        <v>489.67</v>
      </c>
      <c r="AC213" s="136">
        <v>489.67</v>
      </c>
      <c r="AD213" s="136">
        <f>Table1[[#This Row],[Total Amount]]-Table1[[#This Row],[Previous Amount]]</f>
        <v>0</v>
      </c>
      <c r="AE213" s="115"/>
      <c r="AG213" s="174">
        <v>489.67</v>
      </c>
      <c r="AH213" s="178">
        <f>AG213-Table1[[#This Row],[Total Amount]]</f>
        <v>0</v>
      </c>
      <c r="AI213" s="171">
        <f t="shared" si="29"/>
        <v>0</v>
      </c>
    </row>
    <row r="214" spans="1:35" ht="30" customHeight="1" x14ac:dyDescent="0.3">
      <c r="A214" s="91" t="s">
        <v>91</v>
      </c>
      <c r="B214" s="91" t="s">
        <v>99</v>
      </c>
      <c r="C214" s="109">
        <v>60</v>
      </c>
      <c r="D214" s="109">
        <v>77568</v>
      </c>
      <c r="E214" s="109">
        <v>80512</v>
      </c>
      <c r="F214" s="110" t="s">
        <v>341</v>
      </c>
      <c r="G214" s="17" t="s">
        <v>349</v>
      </c>
      <c r="H214" s="109" t="s">
        <v>290</v>
      </c>
      <c r="I214" s="109">
        <v>1</v>
      </c>
      <c r="J214" s="109">
        <v>2.5</v>
      </c>
      <c r="K214" s="109">
        <v>1.8</v>
      </c>
      <c r="L214" s="109">
        <v>2</v>
      </c>
      <c r="M214" s="109"/>
      <c r="N214" s="111" t="s">
        <v>226</v>
      </c>
      <c r="O214" s="111">
        <f t="shared" si="27"/>
        <v>9</v>
      </c>
      <c r="P214" s="18">
        <v>44872</v>
      </c>
      <c r="Q214" s="125">
        <v>44876</v>
      </c>
      <c r="R214" s="112">
        <v>1</v>
      </c>
      <c r="S214" s="112">
        <v>1</v>
      </c>
      <c r="T214" s="112">
        <v>1</v>
      </c>
      <c r="U214" s="113">
        <f>IF(ISBLANK(Table1[[#This Row],[OHC Date]]),$B$7-Table1[[#This Row],[HOC Date]]+1,Table1[[#This Row],[OHC Date]]-Table1[[#This Row],[HOC Date]]+1)/7</f>
        <v>0.7142857142857143</v>
      </c>
      <c r="V214" s="114">
        <v>5.29</v>
      </c>
      <c r="W214" s="114">
        <v>0.35</v>
      </c>
      <c r="X214" s="114">
        <f>ROUND(0.7*Table1[[#This Row],[E&amp;D Rate per unit]]*R214*Table1[[#This Row],[Quantity]],2)</f>
        <v>33.33</v>
      </c>
      <c r="Y214" s="114">
        <f t="shared" si="28"/>
        <v>2.25</v>
      </c>
      <c r="Z214" s="114">
        <f>ROUND(0.3*T214*Table1[[#This Row],[E&amp;D Rate per unit]]*Table1[[#This Row],[Quantity]],2)</f>
        <v>14.28</v>
      </c>
      <c r="AA214" s="112">
        <v>1</v>
      </c>
      <c r="AB214" s="21">
        <f>ROUND(X214+Z214+Y214,2)*Table1[[#This Row],[Until WA Approved Only Approved this %]]</f>
        <v>49.86</v>
      </c>
      <c r="AC214" s="136">
        <v>49.86</v>
      </c>
      <c r="AD214" s="136">
        <f>Table1[[#This Row],[Total Amount]]-Table1[[#This Row],[Previous Amount]]</f>
        <v>0</v>
      </c>
      <c r="AE214" s="115"/>
      <c r="AG214" s="174">
        <v>49.86</v>
      </c>
      <c r="AH214" s="178">
        <f>AG214-Table1[[#This Row],[Total Amount]]</f>
        <v>0</v>
      </c>
      <c r="AI214" s="171">
        <f t="shared" si="29"/>
        <v>0</v>
      </c>
    </row>
    <row r="215" spans="1:35" ht="30" customHeight="1" x14ac:dyDescent="0.3">
      <c r="A215" s="91" t="s">
        <v>91</v>
      </c>
      <c r="B215" s="91" t="s">
        <v>99</v>
      </c>
      <c r="C215" s="109" t="s">
        <v>350</v>
      </c>
      <c r="D215" s="109">
        <v>77569</v>
      </c>
      <c r="E215" s="109">
        <v>80512</v>
      </c>
      <c r="F215" s="110" t="s">
        <v>341</v>
      </c>
      <c r="G215" s="17" t="s">
        <v>349</v>
      </c>
      <c r="H215" s="109" t="s">
        <v>342</v>
      </c>
      <c r="I215" s="109">
        <v>1</v>
      </c>
      <c r="J215" s="109">
        <v>3</v>
      </c>
      <c r="K215" s="109"/>
      <c r="L215" s="109">
        <v>1.5</v>
      </c>
      <c r="M215" s="109"/>
      <c r="N215" s="111" t="s">
        <v>285</v>
      </c>
      <c r="O215" s="111">
        <f t="shared" si="27"/>
        <v>3</v>
      </c>
      <c r="P215" s="18">
        <v>44872</v>
      </c>
      <c r="Q215" s="125">
        <v>44876</v>
      </c>
      <c r="R215" s="112">
        <v>1</v>
      </c>
      <c r="S215" s="112">
        <v>1</v>
      </c>
      <c r="T215" s="112">
        <v>1</v>
      </c>
      <c r="U215" s="113">
        <f>IF(ISBLANK(Table1[[#This Row],[OHC Date]]),$B$7-Table1[[#This Row],[HOC Date]]+1,Table1[[#This Row],[OHC Date]]-Table1[[#This Row],[HOC Date]]+1)/7</f>
        <v>0.7142857142857143</v>
      </c>
      <c r="V215" s="114">
        <v>15</v>
      </c>
      <c r="W215" s="114">
        <v>0.91</v>
      </c>
      <c r="X215" s="114">
        <f>ROUND(0.7*Table1[[#This Row],[E&amp;D Rate per unit]]*R215*Table1[[#This Row],[Quantity]],2)</f>
        <v>31.5</v>
      </c>
      <c r="Y215" s="114">
        <f t="shared" si="28"/>
        <v>1.95</v>
      </c>
      <c r="Z215" s="114">
        <f>ROUND(0.3*T215*Table1[[#This Row],[E&amp;D Rate per unit]]*Table1[[#This Row],[Quantity]],2)</f>
        <v>13.5</v>
      </c>
      <c r="AA215" s="112">
        <v>1</v>
      </c>
      <c r="AB215" s="21">
        <f>ROUND(X215+Z215+Y215,2)*Table1[[#This Row],[Until WA Approved Only Approved this %]]</f>
        <v>46.95</v>
      </c>
      <c r="AC215" s="136">
        <v>46.95</v>
      </c>
      <c r="AD215" s="136">
        <f>Table1[[#This Row],[Total Amount]]-Table1[[#This Row],[Previous Amount]]</f>
        <v>0</v>
      </c>
      <c r="AE215" s="115"/>
      <c r="AG215" s="174">
        <v>46.95</v>
      </c>
      <c r="AH215" s="178">
        <f>AG215-Table1[[#This Row],[Total Amount]]</f>
        <v>0</v>
      </c>
      <c r="AI215" s="171">
        <f t="shared" si="29"/>
        <v>0</v>
      </c>
    </row>
    <row r="216" spans="1:35" ht="30" customHeight="1" x14ac:dyDescent="0.3">
      <c r="A216" s="141" t="s">
        <v>351</v>
      </c>
      <c r="B216" s="91" t="s">
        <v>99</v>
      </c>
      <c r="C216" s="109">
        <v>61</v>
      </c>
      <c r="D216" s="109">
        <v>77578</v>
      </c>
      <c r="E216" s="109">
        <v>80513</v>
      </c>
      <c r="F216" s="17" t="s">
        <v>353</v>
      </c>
      <c r="G216" s="17" t="s">
        <v>354</v>
      </c>
      <c r="H216" s="16" t="s">
        <v>355</v>
      </c>
      <c r="I216" s="109">
        <v>1</v>
      </c>
      <c r="J216" s="109">
        <v>24.3</v>
      </c>
      <c r="K216" s="109">
        <v>1</v>
      </c>
      <c r="L216" s="109">
        <v>4</v>
      </c>
      <c r="M216" s="109">
        <v>1</v>
      </c>
      <c r="N216" s="111" t="s">
        <v>208</v>
      </c>
      <c r="O216" s="111">
        <f t="shared" si="27"/>
        <v>97.2</v>
      </c>
      <c r="P216" s="18">
        <v>44872</v>
      </c>
      <c r="Q216" s="125">
        <v>44879</v>
      </c>
      <c r="R216" s="112">
        <v>1</v>
      </c>
      <c r="S216" s="112">
        <v>1</v>
      </c>
      <c r="T216" s="112">
        <v>1</v>
      </c>
      <c r="U216" s="113">
        <f>IF(ISBLANK(Table1[[#This Row],[OHC Date]]),$B$7-Table1[[#This Row],[HOC Date]]+1,Table1[[#This Row],[OHC Date]]-Table1[[#This Row],[HOC Date]]+1)/7</f>
        <v>1.1428571428571428</v>
      </c>
      <c r="V216" s="114">
        <v>115.4699</v>
      </c>
      <c r="W216" s="114">
        <v>2.27</v>
      </c>
      <c r="X216" s="114">
        <f>ROUND(0.7*Table1[[#This Row],[E&amp;D Rate per unit]]*R216*Table1[[#This Row],[Quantity]],2)</f>
        <v>7856.57</v>
      </c>
      <c r="Y216" s="114">
        <f t="shared" si="28"/>
        <v>252.16</v>
      </c>
      <c r="Z216" s="114">
        <f>ROUND(0.3*T216*Table1[[#This Row],[E&amp;D Rate per unit]]*Table1[[#This Row],[Quantity]],2)</f>
        <v>3367.1</v>
      </c>
      <c r="AA216" s="19">
        <v>1</v>
      </c>
      <c r="AB216" s="21">
        <f>ROUND(X216+Z216+Y216,2)*Table1[[#This Row],[Until WA Approved Only Approved this %]]</f>
        <v>11475.83</v>
      </c>
      <c r="AC216" s="136">
        <v>11475.83</v>
      </c>
      <c r="AD216" s="136">
        <f>Table1[[#This Row],[Total Amount]]-Table1[[#This Row],[Previous Amount]]</f>
        <v>0</v>
      </c>
      <c r="AE216" s="142" t="s">
        <v>356</v>
      </c>
      <c r="AG216" s="174">
        <v>11475.83</v>
      </c>
      <c r="AH216" s="178">
        <f>AG216-Table1[[#This Row],[Total Amount]]</f>
        <v>0</v>
      </c>
      <c r="AI216" s="171">
        <f t="shared" si="29"/>
        <v>0</v>
      </c>
    </row>
    <row r="217" spans="1:35" ht="30" customHeight="1" x14ac:dyDescent="0.3">
      <c r="A217" s="108"/>
      <c r="B217" s="91" t="s">
        <v>99</v>
      </c>
      <c r="C217" s="109">
        <v>62</v>
      </c>
      <c r="D217" s="109">
        <v>77570</v>
      </c>
      <c r="E217" s="109"/>
      <c r="F217" s="17" t="s">
        <v>321</v>
      </c>
      <c r="G217" s="17" t="s">
        <v>228</v>
      </c>
      <c r="H217" s="16" t="s">
        <v>357</v>
      </c>
      <c r="I217" s="109">
        <v>1</v>
      </c>
      <c r="J217" s="109"/>
      <c r="K217" s="109"/>
      <c r="L217" s="109"/>
      <c r="M217" s="109"/>
      <c r="N217" s="111" t="s">
        <v>56</v>
      </c>
      <c r="O217" s="111">
        <f t="shared" si="27"/>
        <v>1</v>
      </c>
      <c r="P217" s="18">
        <v>44873</v>
      </c>
      <c r="Q217" s="125"/>
      <c r="R217" s="112">
        <v>1</v>
      </c>
      <c r="S217" s="112">
        <v>1</v>
      </c>
      <c r="T217" s="112">
        <v>0</v>
      </c>
      <c r="U217" s="113">
        <f>IF(ISBLANK(Table1[[#This Row],[OHC Date]]),$B$7-Table1[[#This Row],[HOC Date]]+1,Table1[[#This Row],[OHC Date]]-Table1[[#This Row],[HOC Date]]+1)/7</f>
        <v>6.8571428571428568</v>
      </c>
      <c r="V217" s="114"/>
      <c r="W217" s="114"/>
      <c r="X217" s="114">
        <f>ROUND(0.7*Table1[[#This Row],[E&amp;D Rate per unit]]*R217*Table1[[#This Row],[Quantity]],2)</f>
        <v>0</v>
      </c>
      <c r="Y217" s="114">
        <f t="shared" si="28"/>
        <v>0</v>
      </c>
      <c r="Z217" s="114">
        <f>ROUND(0.3*T217*Table1[[#This Row],[E&amp;D Rate per unit]]*Table1[[#This Row],[Quantity]],2)</f>
        <v>0</v>
      </c>
      <c r="AA217" s="112"/>
      <c r="AB217" s="21">
        <f>ROUND(X217+Z217+Y217,2)*Table1[[#This Row],[Until WA Approved Only Approved this %]]</f>
        <v>0</v>
      </c>
      <c r="AC217" s="136">
        <v>0</v>
      </c>
      <c r="AD217" s="136">
        <f>Table1[[#This Row],[Total Amount]]-Table1[[#This Row],[Previous Amount]]</f>
        <v>0</v>
      </c>
      <c r="AE217" s="115"/>
      <c r="AG217" s="174">
        <v>0</v>
      </c>
      <c r="AH217" s="178">
        <f>AG217-Table1[[#This Row],[Total Amount]]</f>
        <v>0</v>
      </c>
    </row>
    <row r="218" spans="1:35" ht="30" customHeight="1" x14ac:dyDescent="0.3">
      <c r="A218" s="108"/>
      <c r="B218" s="91" t="s">
        <v>99</v>
      </c>
      <c r="C218" s="109">
        <v>63</v>
      </c>
      <c r="D218" s="109">
        <v>77571</v>
      </c>
      <c r="E218" s="109"/>
      <c r="F218" s="17" t="s">
        <v>321</v>
      </c>
      <c r="G218" s="17" t="s">
        <v>228</v>
      </c>
      <c r="H218" s="16" t="s">
        <v>357</v>
      </c>
      <c r="I218" s="109">
        <v>1</v>
      </c>
      <c r="J218" s="109"/>
      <c r="K218" s="109"/>
      <c r="L218" s="109"/>
      <c r="M218" s="109"/>
      <c r="N218" s="92" t="s">
        <v>56</v>
      </c>
      <c r="O218" s="111">
        <f t="shared" si="27"/>
        <v>1</v>
      </c>
      <c r="P218" s="18">
        <v>44873</v>
      </c>
      <c r="Q218" s="125"/>
      <c r="R218" s="112">
        <v>1</v>
      </c>
      <c r="S218" s="112">
        <v>1</v>
      </c>
      <c r="T218" s="112">
        <v>0</v>
      </c>
      <c r="U218" s="113">
        <f>IF(ISBLANK(Table1[[#This Row],[OHC Date]]),$B$7-Table1[[#This Row],[HOC Date]]+1,Table1[[#This Row],[OHC Date]]-Table1[[#This Row],[HOC Date]]+1)/7</f>
        <v>6.8571428571428568</v>
      </c>
      <c r="V218" s="114"/>
      <c r="W218" s="114"/>
      <c r="X218" s="114">
        <f>ROUND(0.7*Table1[[#This Row],[E&amp;D Rate per unit]]*R218*Table1[[#This Row],[Quantity]],2)</f>
        <v>0</v>
      </c>
      <c r="Y218" s="114">
        <f t="shared" si="28"/>
        <v>0</v>
      </c>
      <c r="Z218" s="114">
        <f>ROUND(0.3*T218*Table1[[#This Row],[E&amp;D Rate per unit]]*Table1[[#This Row],[Quantity]],2)</f>
        <v>0</v>
      </c>
      <c r="AA218" s="112"/>
      <c r="AB218" s="21">
        <f>ROUND(X218+Z218+Y218,2)*Table1[[#This Row],[Until WA Approved Only Approved this %]]</f>
        <v>0</v>
      </c>
      <c r="AC218" s="136">
        <v>0</v>
      </c>
      <c r="AD218" s="136">
        <f>Table1[[#This Row],[Total Amount]]-Table1[[#This Row],[Previous Amount]]</f>
        <v>0</v>
      </c>
      <c r="AE218" s="115"/>
      <c r="AG218" s="174">
        <v>0</v>
      </c>
      <c r="AH218" s="178">
        <f>AG218-Table1[[#This Row],[Total Amount]]</f>
        <v>0</v>
      </c>
    </row>
    <row r="219" spans="1:35" ht="30" customHeight="1" x14ac:dyDescent="0.3">
      <c r="A219" s="108"/>
      <c r="B219" s="91" t="s">
        <v>99</v>
      </c>
      <c r="C219" s="109">
        <v>64</v>
      </c>
      <c r="D219" s="109">
        <v>77572</v>
      </c>
      <c r="E219" s="109"/>
      <c r="F219" s="17" t="s">
        <v>321</v>
      </c>
      <c r="G219" s="17" t="s">
        <v>358</v>
      </c>
      <c r="H219" s="16" t="s">
        <v>368</v>
      </c>
      <c r="I219" s="109">
        <v>1</v>
      </c>
      <c r="J219" s="109"/>
      <c r="K219" s="109"/>
      <c r="L219" s="109"/>
      <c r="M219" s="109"/>
      <c r="N219" s="92" t="s">
        <v>56</v>
      </c>
      <c r="O219" s="111">
        <f t="shared" si="27"/>
        <v>1</v>
      </c>
      <c r="P219" s="18">
        <v>44874</v>
      </c>
      <c r="Q219" s="125"/>
      <c r="R219" s="112">
        <v>1</v>
      </c>
      <c r="S219" s="112">
        <v>1</v>
      </c>
      <c r="T219" s="112">
        <v>0</v>
      </c>
      <c r="U219" s="113">
        <f>IF(ISBLANK(Table1[[#This Row],[OHC Date]]),$B$7-Table1[[#This Row],[HOC Date]]+1,Table1[[#This Row],[OHC Date]]-Table1[[#This Row],[HOC Date]]+1)/7</f>
        <v>6.7142857142857144</v>
      </c>
      <c r="V219" s="114"/>
      <c r="W219" s="114"/>
      <c r="X219" s="114">
        <f>ROUND(0.7*Table1[[#This Row],[E&amp;D Rate per unit]]*R219*Table1[[#This Row],[Quantity]],2)</f>
        <v>0</v>
      </c>
      <c r="Y219" s="114">
        <f t="shared" si="28"/>
        <v>0</v>
      </c>
      <c r="Z219" s="114">
        <f>ROUND(0.3*T219*Table1[[#This Row],[E&amp;D Rate per unit]]*Table1[[#This Row],[Quantity]],2)</f>
        <v>0</v>
      </c>
      <c r="AA219" s="112"/>
      <c r="AB219" s="21">
        <f>ROUND(X219+Z219+Y219,2)*Table1[[#This Row],[Until WA Approved Only Approved this %]]</f>
        <v>0</v>
      </c>
      <c r="AC219" s="136">
        <v>0</v>
      </c>
      <c r="AD219" s="136">
        <f>Table1[[#This Row],[Total Amount]]-Table1[[#This Row],[Previous Amount]]</f>
        <v>0</v>
      </c>
      <c r="AE219" s="115"/>
      <c r="AG219" s="174">
        <v>0</v>
      </c>
      <c r="AH219" s="178">
        <f>AG219-Table1[[#This Row],[Total Amount]]</f>
        <v>0</v>
      </c>
    </row>
    <row r="220" spans="1:35" ht="30" customHeight="1" x14ac:dyDescent="0.3">
      <c r="A220" s="108"/>
      <c r="B220" s="91" t="s">
        <v>99</v>
      </c>
      <c r="C220" s="109">
        <v>65</v>
      </c>
      <c r="D220" s="109">
        <v>77573</v>
      </c>
      <c r="E220" s="109"/>
      <c r="F220" s="17" t="s">
        <v>321</v>
      </c>
      <c r="G220" s="17" t="s">
        <v>358</v>
      </c>
      <c r="H220" s="16" t="s">
        <v>368</v>
      </c>
      <c r="I220" s="109">
        <v>1</v>
      </c>
      <c r="J220" s="109"/>
      <c r="K220" s="109"/>
      <c r="L220" s="109"/>
      <c r="M220" s="109"/>
      <c r="N220" s="92" t="s">
        <v>56</v>
      </c>
      <c r="O220" s="111">
        <f t="shared" si="27"/>
        <v>1</v>
      </c>
      <c r="P220" s="18">
        <v>44874</v>
      </c>
      <c r="Q220" s="125"/>
      <c r="R220" s="112">
        <v>1</v>
      </c>
      <c r="S220" s="112">
        <v>1</v>
      </c>
      <c r="T220" s="112">
        <v>0</v>
      </c>
      <c r="U220" s="113">
        <f>IF(ISBLANK(Table1[[#This Row],[OHC Date]]),$B$7-Table1[[#This Row],[HOC Date]]+1,Table1[[#This Row],[OHC Date]]-Table1[[#This Row],[HOC Date]]+1)/7</f>
        <v>6.7142857142857144</v>
      </c>
      <c r="V220" s="114"/>
      <c r="W220" s="114"/>
      <c r="X220" s="114">
        <f>ROUND(0.7*Table1[[#This Row],[E&amp;D Rate per unit]]*R220*Table1[[#This Row],[Quantity]],2)</f>
        <v>0</v>
      </c>
      <c r="Y220" s="114">
        <f t="shared" si="28"/>
        <v>0</v>
      </c>
      <c r="Z220" s="114">
        <f>ROUND(0.3*T220*Table1[[#This Row],[E&amp;D Rate per unit]]*Table1[[#This Row],[Quantity]],2)</f>
        <v>0</v>
      </c>
      <c r="AA220" s="112"/>
      <c r="AB220" s="21">
        <f>ROUND(X220+Z220+Y220,2)*Table1[[#This Row],[Until WA Approved Only Approved this %]]</f>
        <v>0</v>
      </c>
      <c r="AC220" s="136">
        <v>0</v>
      </c>
      <c r="AD220" s="136">
        <f>Table1[[#This Row],[Total Amount]]-Table1[[#This Row],[Previous Amount]]</f>
        <v>0</v>
      </c>
      <c r="AE220" s="115"/>
      <c r="AG220" s="174">
        <v>0</v>
      </c>
      <c r="AH220" s="178">
        <f>AG220-Table1[[#This Row],[Total Amount]]</f>
        <v>0</v>
      </c>
    </row>
    <row r="221" spans="1:35" ht="30" customHeight="1" x14ac:dyDescent="0.3">
      <c r="A221" s="91" t="s">
        <v>91</v>
      </c>
      <c r="B221" s="91" t="s">
        <v>99</v>
      </c>
      <c r="C221" s="16" t="s">
        <v>359</v>
      </c>
      <c r="D221" s="109">
        <v>77574</v>
      </c>
      <c r="E221" s="109">
        <v>80522</v>
      </c>
      <c r="F221" s="17" t="s">
        <v>336</v>
      </c>
      <c r="G221" s="17" t="s">
        <v>192</v>
      </c>
      <c r="H221" s="109" t="s">
        <v>129</v>
      </c>
      <c r="I221" s="109">
        <v>1</v>
      </c>
      <c r="J221" s="109">
        <v>2</v>
      </c>
      <c r="K221" s="109">
        <v>1</v>
      </c>
      <c r="L221" s="109">
        <v>1</v>
      </c>
      <c r="M221" s="109">
        <v>1</v>
      </c>
      <c r="N221" s="111" t="s">
        <v>162</v>
      </c>
      <c r="O221" s="111">
        <f t="shared" si="27"/>
        <v>2</v>
      </c>
      <c r="P221" s="18">
        <v>44874</v>
      </c>
      <c r="Q221" s="125">
        <v>44879</v>
      </c>
      <c r="R221" s="112">
        <v>1</v>
      </c>
      <c r="S221" s="112">
        <v>1</v>
      </c>
      <c r="T221" s="112">
        <v>1</v>
      </c>
      <c r="U221" s="113">
        <f>IF(ISBLANK(Table1[[#This Row],[OHC Date]]),$B$7-Table1[[#This Row],[HOC Date]]+1,Table1[[#This Row],[OHC Date]]-Table1[[#This Row],[HOC Date]]+1)/7</f>
        <v>0.8571428571428571</v>
      </c>
      <c r="V221" s="114">
        <v>36.520000000000003</v>
      </c>
      <c r="W221" s="114">
        <v>2.94</v>
      </c>
      <c r="X221" s="114">
        <f>ROUND(0.7*Table1[[#This Row],[E&amp;D Rate per unit]]*R221*Table1[[#This Row],[Quantity]],2)</f>
        <v>51.13</v>
      </c>
      <c r="Y221" s="114">
        <f t="shared" si="28"/>
        <v>5.04</v>
      </c>
      <c r="Z221" s="114">
        <f>ROUND(0.3*T221*Table1[[#This Row],[E&amp;D Rate per unit]]*Table1[[#This Row],[Quantity]],2)</f>
        <v>21.91</v>
      </c>
      <c r="AA221" s="112">
        <v>1</v>
      </c>
      <c r="AB221" s="21">
        <f>ROUND(X221+Z221+Y221,2)*Table1[[#This Row],[Until WA Approved Only Approved this %]]</f>
        <v>78.08</v>
      </c>
      <c r="AC221" s="136">
        <v>78.08</v>
      </c>
      <c r="AD221" s="136">
        <f>Table1[[#This Row],[Total Amount]]-Table1[[#This Row],[Previous Amount]]</f>
        <v>0</v>
      </c>
      <c r="AE221" s="115"/>
      <c r="AG221" s="174">
        <v>78.08</v>
      </c>
      <c r="AH221" s="178">
        <f>AG221-Table1[[#This Row],[Total Amount]]</f>
        <v>0</v>
      </c>
      <c r="AI221" s="171">
        <f t="shared" si="29"/>
        <v>0</v>
      </c>
    </row>
    <row r="222" spans="1:35" ht="30" customHeight="1" x14ac:dyDescent="0.3">
      <c r="A222" s="91" t="s">
        <v>91</v>
      </c>
      <c r="B222" s="91" t="s">
        <v>99</v>
      </c>
      <c r="C222" s="16" t="s">
        <v>384</v>
      </c>
      <c r="D222" s="109">
        <v>77582</v>
      </c>
      <c r="E222" s="109">
        <v>80514</v>
      </c>
      <c r="F222" s="17" t="s">
        <v>385</v>
      </c>
      <c r="G222" s="17" t="s">
        <v>202</v>
      </c>
      <c r="H222" s="109" t="s">
        <v>120</v>
      </c>
      <c r="I222" s="109">
        <v>1</v>
      </c>
      <c r="J222" s="109">
        <v>4</v>
      </c>
      <c r="K222" s="109">
        <v>2.5</v>
      </c>
      <c r="L222" s="109">
        <v>4</v>
      </c>
      <c r="M222" s="109">
        <v>1</v>
      </c>
      <c r="N222" s="92" t="s">
        <v>208</v>
      </c>
      <c r="O222" s="92">
        <f t="shared" si="27"/>
        <v>16</v>
      </c>
      <c r="P222" s="18">
        <v>44874</v>
      </c>
      <c r="Q222" s="125">
        <v>44879</v>
      </c>
      <c r="R222" s="112">
        <v>1</v>
      </c>
      <c r="S222" s="112">
        <v>1</v>
      </c>
      <c r="T222" s="112">
        <v>1</v>
      </c>
      <c r="U222" s="113">
        <f>IF(ISBLANK(Table1[[#This Row],[OHC Date]]),$B$7-Table1[[#This Row],[HOC Date]]+1,Table1[[#This Row],[OHC Date]]-Table1[[#This Row],[HOC Date]]+1)/7</f>
        <v>0.8571428571428571</v>
      </c>
      <c r="V222" s="114">
        <v>16.760000000000002</v>
      </c>
      <c r="W222" s="114">
        <v>0.77</v>
      </c>
      <c r="X222" s="114">
        <f>ROUND(0.7*Table1[[#This Row],[E&amp;D Rate per unit]]*R222*Table1[[#This Row],[Quantity]],2)</f>
        <v>187.71</v>
      </c>
      <c r="Y222" s="114">
        <f>ROUND(O222*U222*W222*S222,2)</f>
        <v>10.56</v>
      </c>
      <c r="Z222" s="114">
        <f>ROUND(0.3*T222*Table1[[#This Row],[E&amp;D Rate per unit]]*Table1[[#This Row],[Quantity]],2)</f>
        <v>80.45</v>
      </c>
      <c r="AA222" s="112">
        <v>1</v>
      </c>
      <c r="AB222" s="21">
        <f>ROUND(X222+Z222+Y222,2)*Table1[[#This Row],[Until WA Approved Only Approved this %]]</f>
        <v>278.72000000000003</v>
      </c>
      <c r="AC222" s="136">
        <v>278.72000000000003</v>
      </c>
      <c r="AD222" s="136">
        <f>Table1[[#This Row],[Total Amount]]-Table1[[#This Row],[Previous Amount]]</f>
        <v>0</v>
      </c>
      <c r="AE222" s="115"/>
      <c r="AG222" s="174">
        <v>278.72000000000003</v>
      </c>
      <c r="AH222" s="178">
        <f>AG222-Table1[[#This Row],[Total Amount]]</f>
        <v>0</v>
      </c>
      <c r="AI222" s="171">
        <f t="shared" si="29"/>
        <v>0</v>
      </c>
    </row>
    <row r="223" spans="1:35" ht="30" customHeight="1" x14ac:dyDescent="0.3">
      <c r="A223" s="91" t="s">
        <v>91</v>
      </c>
      <c r="B223" s="91" t="s">
        <v>99</v>
      </c>
      <c r="C223" s="16" t="s">
        <v>360</v>
      </c>
      <c r="D223" s="109">
        <v>77575</v>
      </c>
      <c r="E223" s="109">
        <v>80505</v>
      </c>
      <c r="F223" s="17" t="s">
        <v>336</v>
      </c>
      <c r="G223" s="17" t="s">
        <v>192</v>
      </c>
      <c r="H223" s="109" t="s">
        <v>129</v>
      </c>
      <c r="I223" s="109">
        <v>1</v>
      </c>
      <c r="J223" s="109">
        <v>1.5</v>
      </c>
      <c r="K223" s="109">
        <v>1</v>
      </c>
      <c r="L223" s="109">
        <v>1</v>
      </c>
      <c r="M223" s="109">
        <v>1</v>
      </c>
      <c r="N223" s="111" t="s">
        <v>162</v>
      </c>
      <c r="O223" s="111">
        <f t="shared" si="27"/>
        <v>1.5</v>
      </c>
      <c r="P223" s="18">
        <v>44875</v>
      </c>
      <c r="Q223" s="125">
        <v>44875</v>
      </c>
      <c r="R223" s="112">
        <v>1</v>
      </c>
      <c r="S223" s="112">
        <v>1</v>
      </c>
      <c r="T223" s="112">
        <v>1</v>
      </c>
      <c r="U223" s="113">
        <f>IF(ISBLANK(Table1[[#This Row],[OHC Date]]),$B$7-Table1[[#This Row],[HOC Date]]+1,Table1[[#This Row],[OHC Date]]-Table1[[#This Row],[HOC Date]]+1)/7</f>
        <v>0.14285714285714285</v>
      </c>
      <c r="V223" s="114">
        <v>36.520000000000003</v>
      </c>
      <c r="W223" s="114">
        <v>2.94</v>
      </c>
      <c r="X223" s="114">
        <f>ROUND(0.7*Table1[[#This Row],[E&amp;D Rate per unit]]*R223*Table1[[#This Row],[Quantity]],2)</f>
        <v>38.35</v>
      </c>
      <c r="Y223" s="114">
        <f t="shared" si="28"/>
        <v>0.63</v>
      </c>
      <c r="Z223" s="114">
        <f>ROUND(0.3*T223*Table1[[#This Row],[E&amp;D Rate per unit]]*Table1[[#This Row],[Quantity]],2)</f>
        <v>16.43</v>
      </c>
      <c r="AA223" s="112">
        <v>1</v>
      </c>
      <c r="AB223" s="21">
        <f>ROUND(X223+Z223+Y223,2)*Table1[[#This Row],[Until WA Approved Only Approved this %]]</f>
        <v>55.41</v>
      </c>
      <c r="AC223" s="136">
        <v>55.41</v>
      </c>
      <c r="AD223" s="136">
        <f>Table1[[#This Row],[Total Amount]]-Table1[[#This Row],[Previous Amount]]</f>
        <v>0</v>
      </c>
      <c r="AE223" s="115"/>
      <c r="AG223" s="174">
        <v>55.41</v>
      </c>
      <c r="AH223" s="178">
        <f>AG223-Table1[[#This Row],[Total Amount]]</f>
        <v>0</v>
      </c>
      <c r="AI223" s="171">
        <f t="shared" si="29"/>
        <v>0</v>
      </c>
    </row>
    <row r="224" spans="1:35" ht="30" customHeight="1" x14ac:dyDescent="0.3">
      <c r="A224" s="91" t="s">
        <v>91</v>
      </c>
      <c r="B224" s="91" t="s">
        <v>99</v>
      </c>
      <c r="C224" s="16">
        <v>66</v>
      </c>
      <c r="D224" s="16">
        <v>77576</v>
      </c>
      <c r="E224" s="16"/>
      <c r="F224" s="17" t="s">
        <v>217</v>
      </c>
      <c r="G224" s="17" t="s">
        <v>218</v>
      </c>
      <c r="H224" s="16" t="s">
        <v>222</v>
      </c>
      <c r="I224" s="16">
        <v>1</v>
      </c>
      <c r="J224" s="16">
        <v>2.5</v>
      </c>
      <c r="K224" s="16">
        <v>1.8</v>
      </c>
      <c r="L224" s="16">
        <v>2</v>
      </c>
      <c r="M224" s="16">
        <v>1</v>
      </c>
      <c r="N224" s="92" t="s">
        <v>223</v>
      </c>
      <c r="O224" s="92">
        <f t="shared" si="27"/>
        <v>2</v>
      </c>
      <c r="P224" s="18">
        <v>44875</v>
      </c>
      <c r="Q224" s="18"/>
      <c r="R224" s="19">
        <v>1</v>
      </c>
      <c r="S224" s="19">
        <v>1</v>
      </c>
      <c r="T224" s="19">
        <v>0</v>
      </c>
      <c r="U224" s="20">
        <f>IF(ISBLANK(Table1[[#This Row],[OHC Date]]),$B$7-Table1[[#This Row],[HOC Date]]+1,Table1[[#This Row],[OHC Date]]-Table1[[#This Row],[HOC Date]]+1)/7</f>
        <v>6.5714285714285712</v>
      </c>
      <c r="V224" s="21">
        <v>63.34</v>
      </c>
      <c r="W224" s="21">
        <v>7.28</v>
      </c>
      <c r="X224" s="21">
        <f>ROUND(0.7*Table1[[#This Row],[E&amp;D Rate per unit]]*R224*Table1[[#This Row],[Quantity]],2)</f>
        <v>88.68</v>
      </c>
      <c r="Y224" s="21">
        <f t="shared" si="28"/>
        <v>95.68</v>
      </c>
      <c r="Z224" s="21">
        <f>ROUND(0.3*T224*Table1[[#This Row],[E&amp;D Rate per unit]]*Table1[[#This Row],[Quantity]],2)</f>
        <v>0</v>
      </c>
      <c r="AA224" s="112">
        <v>1</v>
      </c>
      <c r="AB224" s="21">
        <f>ROUND(X224+Z224+Y224,2)*Table1[[#This Row],[Until WA Approved Only Approved this %]]</f>
        <v>184.36</v>
      </c>
      <c r="AC224" s="139">
        <v>121.96</v>
      </c>
      <c r="AD224" s="139">
        <f>Table1[[#This Row],[Total Amount]]-Table1[[#This Row],[Previous Amount]]</f>
        <v>62.40000000000002</v>
      </c>
      <c r="AE224" s="137" t="s">
        <v>361</v>
      </c>
      <c r="AG224" s="174">
        <v>184.36</v>
      </c>
      <c r="AH224" s="178">
        <f>AG224-Table1[[#This Row],[Total Amount]]</f>
        <v>0</v>
      </c>
      <c r="AI224" s="171">
        <f t="shared" si="29"/>
        <v>0</v>
      </c>
    </row>
    <row r="225" spans="1:35" ht="30" customHeight="1" x14ac:dyDescent="0.3">
      <c r="A225" s="91" t="s">
        <v>91</v>
      </c>
      <c r="B225" s="91" t="s">
        <v>99</v>
      </c>
      <c r="C225" s="16">
        <v>67</v>
      </c>
      <c r="D225" s="16">
        <v>77577</v>
      </c>
      <c r="E225" s="16">
        <v>80530</v>
      </c>
      <c r="F225" s="17" t="s">
        <v>362</v>
      </c>
      <c r="G225" s="17" t="s">
        <v>202</v>
      </c>
      <c r="H225" s="16" t="s">
        <v>121</v>
      </c>
      <c r="I225" s="16">
        <v>1</v>
      </c>
      <c r="J225" s="16">
        <v>3.1</v>
      </c>
      <c r="K225" s="16">
        <v>2.6</v>
      </c>
      <c r="L225" s="16">
        <v>4</v>
      </c>
      <c r="M225" s="16">
        <v>1</v>
      </c>
      <c r="N225" s="92" t="s">
        <v>226</v>
      </c>
      <c r="O225" s="92">
        <f t="shared" si="27"/>
        <v>32.24</v>
      </c>
      <c r="P225" s="18">
        <v>44875</v>
      </c>
      <c r="Q225" s="18">
        <v>44884</v>
      </c>
      <c r="R225" s="19">
        <v>1</v>
      </c>
      <c r="S225" s="19">
        <v>1</v>
      </c>
      <c r="T225" s="19">
        <v>1</v>
      </c>
      <c r="U225" s="20">
        <f>IF(ISBLANK(Table1[[#This Row],[OHC Date]]),$B$7-Table1[[#This Row],[HOC Date]]+1,Table1[[#This Row],[OHC Date]]-Table1[[#This Row],[HOC Date]]+1)/7</f>
        <v>1.4285714285714286</v>
      </c>
      <c r="V225" s="21">
        <v>7.08</v>
      </c>
      <c r="W225" s="21">
        <v>0.49</v>
      </c>
      <c r="X225" s="21">
        <f>ROUND(0.7*Table1[[#This Row],[E&amp;D Rate per unit]]*R225*Table1[[#This Row],[Quantity]],2)</f>
        <v>159.78</v>
      </c>
      <c r="Y225" s="21">
        <f t="shared" si="28"/>
        <v>22.57</v>
      </c>
      <c r="Z225" s="21">
        <f>ROUND(0.3*T225*Table1[[#This Row],[E&amp;D Rate per unit]]*Table1[[#This Row],[Quantity]],2)</f>
        <v>68.48</v>
      </c>
      <c r="AA225" s="112">
        <v>1</v>
      </c>
      <c r="AB225" s="21">
        <f>ROUND(X225+Z225+Y225,2)*Table1[[#This Row],[Until WA Approved Only Approved this %]]</f>
        <v>250.83</v>
      </c>
      <c r="AC225" s="139">
        <v>250.83</v>
      </c>
      <c r="AD225" s="139">
        <f>Table1[[#This Row],[Total Amount]]-Table1[[#This Row],[Previous Amount]]</f>
        <v>0</v>
      </c>
      <c r="AE225" s="137" t="s">
        <v>363</v>
      </c>
      <c r="AG225" s="174">
        <v>250.83</v>
      </c>
      <c r="AH225" s="178">
        <f>AG225-Table1[[#This Row],[Total Amount]]</f>
        <v>0</v>
      </c>
      <c r="AI225" s="171">
        <f t="shared" si="29"/>
        <v>0</v>
      </c>
    </row>
    <row r="226" spans="1:35" ht="30" customHeight="1" x14ac:dyDescent="0.3">
      <c r="A226" s="91" t="s">
        <v>91</v>
      </c>
      <c r="B226" s="91" t="s">
        <v>99</v>
      </c>
      <c r="C226" s="16">
        <v>68</v>
      </c>
      <c r="D226" s="16">
        <v>77579</v>
      </c>
      <c r="E226" s="16"/>
      <c r="F226" s="17" t="s">
        <v>364</v>
      </c>
      <c r="G226" s="17" t="s">
        <v>365</v>
      </c>
      <c r="H226" s="16" t="s">
        <v>207</v>
      </c>
      <c r="I226" s="16">
        <v>1</v>
      </c>
      <c r="J226" s="16">
        <v>6.3</v>
      </c>
      <c r="K226" s="16">
        <v>1.3</v>
      </c>
      <c r="L226" s="16">
        <v>3</v>
      </c>
      <c r="M226" s="16">
        <v>1</v>
      </c>
      <c r="N226" s="92" t="s">
        <v>208</v>
      </c>
      <c r="O226" s="92">
        <f t="shared" si="27"/>
        <v>18.899999999999999</v>
      </c>
      <c r="P226" s="18">
        <v>44875</v>
      </c>
      <c r="Q226" s="18"/>
      <c r="R226" s="19">
        <v>1</v>
      </c>
      <c r="S226" s="19">
        <v>1</v>
      </c>
      <c r="T226" s="19">
        <v>0</v>
      </c>
      <c r="U226" s="20">
        <f>IF(ISBLANK(Table1[[#This Row],[OHC Date]]),$B$7-Table1[[#This Row],[HOC Date]]+1,Table1[[#This Row],[OHC Date]]-Table1[[#This Row],[HOC Date]]+1)/7</f>
        <v>6.5714285714285712</v>
      </c>
      <c r="V226" s="21">
        <v>12.01</v>
      </c>
      <c r="W226" s="21">
        <v>0.49</v>
      </c>
      <c r="X226" s="21">
        <f>ROUND(0.7*Table1[[#This Row],[E&amp;D Rate per unit]]*R226*Table1[[#This Row],[Quantity]],2)</f>
        <v>158.88999999999999</v>
      </c>
      <c r="Y226" s="21">
        <f t="shared" si="28"/>
        <v>60.86</v>
      </c>
      <c r="Z226" s="21">
        <f>ROUND(0.3*T226*Table1[[#This Row],[E&amp;D Rate per unit]]*Table1[[#This Row],[Quantity]],2)</f>
        <v>0</v>
      </c>
      <c r="AA226" s="112">
        <v>1</v>
      </c>
      <c r="AB226" s="21">
        <f>ROUND(X226+Z226+Y226,2)*Table1[[#This Row],[Until WA Approved Only Approved this %]]</f>
        <v>219.75</v>
      </c>
      <c r="AC226" s="139">
        <v>180.06</v>
      </c>
      <c r="AD226" s="139">
        <f>Table1[[#This Row],[Total Amount]]-Table1[[#This Row],[Previous Amount]]</f>
        <v>39.69</v>
      </c>
      <c r="AE226" s="137" t="s">
        <v>361</v>
      </c>
      <c r="AG226" s="174">
        <v>219.75</v>
      </c>
      <c r="AH226" s="178">
        <f>AG226-Table1[[#This Row],[Total Amount]]</f>
        <v>0</v>
      </c>
      <c r="AI226" s="171">
        <f t="shared" si="29"/>
        <v>0</v>
      </c>
    </row>
    <row r="227" spans="1:35" ht="30" customHeight="1" x14ac:dyDescent="0.3">
      <c r="A227" s="91" t="s">
        <v>91</v>
      </c>
      <c r="B227" s="91" t="s">
        <v>99</v>
      </c>
      <c r="C227" s="16" t="s">
        <v>366</v>
      </c>
      <c r="D227" s="16">
        <v>77580</v>
      </c>
      <c r="E227" s="16"/>
      <c r="F227" s="17" t="s">
        <v>364</v>
      </c>
      <c r="G227" s="17" t="s">
        <v>365</v>
      </c>
      <c r="H227" s="16" t="s">
        <v>207</v>
      </c>
      <c r="I227" s="16">
        <v>1</v>
      </c>
      <c r="J227" s="16">
        <v>3.5</v>
      </c>
      <c r="K227" s="16">
        <v>1.3</v>
      </c>
      <c r="L227" s="16">
        <v>4.5</v>
      </c>
      <c r="M227" s="16">
        <v>1</v>
      </c>
      <c r="N227" s="92" t="s">
        <v>208</v>
      </c>
      <c r="O227" s="92">
        <f t="shared" si="27"/>
        <v>15.75</v>
      </c>
      <c r="P227" s="18">
        <v>44875</v>
      </c>
      <c r="Q227" s="18"/>
      <c r="R227" s="19">
        <v>1</v>
      </c>
      <c r="S227" s="19">
        <v>1</v>
      </c>
      <c r="T227" s="19">
        <v>0</v>
      </c>
      <c r="U227" s="20">
        <f>IF(ISBLANK(Table1[[#This Row],[OHC Date]]),$B$7-Table1[[#This Row],[HOC Date]]+1,Table1[[#This Row],[OHC Date]]-Table1[[#This Row],[HOC Date]]+1)/7</f>
        <v>6.5714285714285712</v>
      </c>
      <c r="V227" s="21">
        <v>12.01</v>
      </c>
      <c r="W227" s="21">
        <v>0.49</v>
      </c>
      <c r="X227" s="21">
        <f>ROUND(0.7*Table1[[#This Row],[E&amp;D Rate per unit]]*R227*Table1[[#This Row],[Quantity]],2)</f>
        <v>132.41</v>
      </c>
      <c r="Y227" s="21">
        <f t="shared" si="28"/>
        <v>50.72</v>
      </c>
      <c r="Z227" s="21">
        <f>ROUND(0.3*T227*Table1[[#This Row],[E&amp;D Rate per unit]]*Table1[[#This Row],[Quantity]],2)</f>
        <v>0</v>
      </c>
      <c r="AA227" s="112">
        <v>1</v>
      </c>
      <c r="AB227" s="21">
        <f>ROUND(X227+Z227+Y227,2)*Table1[[#This Row],[Until WA Approved Only Approved this %]]</f>
        <v>183.13</v>
      </c>
      <c r="AC227" s="139">
        <v>150.05000000000001</v>
      </c>
      <c r="AD227" s="139">
        <f>Table1[[#This Row],[Total Amount]]-Table1[[#This Row],[Previous Amount]]</f>
        <v>33.079999999999984</v>
      </c>
      <c r="AE227" s="137" t="s">
        <v>361</v>
      </c>
      <c r="AG227" s="174">
        <v>183.13</v>
      </c>
      <c r="AH227" s="178">
        <f>AG227-Table1[[#This Row],[Total Amount]]</f>
        <v>0</v>
      </c>
      <c r="AI227" s="171">
        <f t="shared" si="29"/>
        <v>0</v>
      </c>
    </row>
    <row r="228" spans="1:35" ht="30" customHeight="1" x14ac:dyDescent="0.3">
      <c r="A228" s="91" t="s">
        <v>91</v>
      </c>
      <c r="B228" s="91" t="s">
        <v>99</v>
      </c>
      <c r="C228" s="16">
        <v>69</v>
      </c>
      <c r="D228" s="16">
        <v>77581</v>
      </c>
      <c r="E228" s="16">
        <v>80518</v>
      </c>
      <c r="F228" s="17" t="s">
        <v>367</v>
      </c>
      <c r="G228" s="17" t="s">
        <v>228</v>
      </c>
      <c r="H228" s="16" t="s">
        <v>222</v>
      </c>
      <c r="I228" s="16">
        <v>1</v>
      </c>
      <c r="J228" s="16">
        <v>2.5</v>
      </c>
      <c r="K228" s="16">
        <v>1.3</v>
      </c>
      <c r="L228" s="16">
        <v>4</v>
      </c>
      <c r="M228" s="16">
        <v>1</v>
      </c>
      <c r="N228" s="92" t="s">
        <v>223</v>
      </c>
      <c r="O228" s="92">
        <f t="shared" si="27"/>
        <v>4</v>
      </c>
      <c r="P228" s="18">
        <v>44876</v>
      </c>
      <c r="Q228" s="18">
        <v>44879</v>
      </c>
      <c r="R228" s="19">
        <v>1</v>
      </c>
      <c r="S228" s="19">
        <v>1</v>
      </c>
      <c r="T228" s="19">
        <v>1</v>
      </c>
      <c r="U228" s="20">
        <f>IF(ISBLANK(Table1[[#This Row],[OHC Date]]),$B$7-Table1[[#This Row],[HOC Date]]+1,Table1[[#This Row],[OHC Date]]-Table1[[#This Row],[HOC Date]]+1)/7</f>
        <v>0.5714285714285714</v>
      </c>
      <c r="V228" s="21">
        <v>63.34</v>
      </c>
      <c r="W228" s="21">
        <v>7.28</v>
      </c>
      <c r="X228" s="21">
        <f>ROUND(0.7*Table1[[#This Row],[E&amp;D Rate per unit]]*R228*Table1[[#This Row],[Quantity]],2)</f>
        <v>177.35</v>
      </c>
      <c r="Y228" s="21">
        <f t="shared" si="28"/>
        <v>16.64</v>
      </c>
      <c r="Z228" s="21">
        <f>ROUND(0.3*T228*Table1[[#This Row],[E&amp;D Rate per unit]]*Table1[[#This Row],[Quantity]],2)</f>
        <v>76.010000000000005</v>
      </c>
      <c r="AA228" s="112">
        <v>1</v>
      </c>
      <c r="AB228" s="21">
        <f>ROUND(X228+Z228+Y228,2)*Table1[[#This Row],[Until WA Approved Only Approved this %]]</f>
        <v>270</v>
      </c>
      <c r="AC228" s="139">
        <v>270</v>
      </c>
      <c r="AD228" s="139">
        <f>Table1[[#This Row],[Total Amount]]-Table1[[#This Row],[Previous Amount]]</f>
        <v>0</v>
      </c>
      <c r="AE228" s="137"/>
      <c r="AG228" s="174">
        <v>270</v>
      </c>
      <c r="AH228" s="178">
        <f>AG228-Table1[[#This Row],[Total Amount]]</f>
        <v>0</v>
      </c>
      <c r="AI228" s="171">
        <f t="shared" si="29"/>
        <v>0</v>
      </c>
    </row>
    <row r="229" spans="1:35" ht="30" customHeight="1" x14ac:dyDescent="0.3">
      <c r="A229" s="91" t="s">
        <v>91</v>
      </c>
      <c r="B229" s="91" t="s">
        <v>99</v>
      </c>
      <c r="C229" s="109">
        <v>70</v>
      </c>
      <c r="D229" s="109">
        <v>77583</v>
      </c>
      <c r="E229" s="109">
        <v>80554</v>
      </c>
      <c r="F229" s="110" t="s">
        <v>369</v>
      </c>
      <c r="G229" s="17" t="s">
        <v>202</v>
      </c>
      <c r="H229" s="109" t="s">
        <v>222</v>
      </c>
      <c r="I229" s="109">
        <v>1</v>
      </c>
      <c r="J229" s="109">
        <v>1.3</v>
      </c>
      <c r="K229" s="109">
        <v>0.9</v>
      </c>
      <c r="L229" s="109">
        <v>4</v>
      </c>
      <c r="M229" s="109">
        <v>1</v>
      </c>
      <c r="N229" s="111" t="s">
        <v>223</v>
      </c>
      <c r="O229" s="111">
        <f t="shared" ref="O229:O262" si="30">ROUND(IF(N229="m3",I229*J229*K229*L229,IF(N229="m2-LxH",I229*J229*L229,IF(N229="m2-LxW",I229*J229*K229,IF(N229="rm",I229*L229,IF(N229="lm",I229*J229,IF(N229="unit",I229,"NA")))))),2)</f>
        <v>4</v>
      </c>
      <c r="P229" s="18">
        <v>44876</v>
      </c>
      <c r="Q229" s="125">
        <v>44901</v>
      </c>
      <c r="R229" s="112">
        <v>1</v>
      </c>
      <c r="S229" s="112">
        <v>1</v>
      </c>
      <c r="T229" s="112">
        <v>1</v>
      </c>
      <c r="U229" s="113">
        <f>IF(ISBLANK(Table1[[#This Row],[OHC Date]]),$B$7-Table1[[#This Row],[HOC Date]]+1,Table1[[#This Row],[OHC Date]]-Table1[[#This Row],[HOC Date]]+1)/7</f>
        <v>3.7142857142857144</v>
      </c>
      <c r="V229" s="114">
        <v>63.34</v>
      </c>
      <c r="W229" s="114">
        <v>7.28</v>
      </c>
      <c r="X229" s="114">
        <f>ROUND(0.7*Table1[[#This Row],[E&amp;D Rate per unit]]*R229*Table1[[#This Row],[Quantity]],2)</f>
        <v>177.35</v>
      </c>
      <c r="Y229" s="114">
        <f t="shared" ref="Y229:Y262" si="31">ROUND(O229*U229*W229*S229,2)</f>
        <v>108.16</v>
      </c>
      <c r="Z229" s="114">
        <f>ROUND(0.3*T229*Table1[[#This Row],[E&amp;D Rate per unit]]*Table1[[#This Row],[Quantity]],2)</f>
        <v>76.010000000000005</v>
      </c>
      <c r="AA229" s="112">
        <v>1</v>
      </c>
      <c r="AB229" s="21">
        <f>ROUND(X229+Z229+Y229,2)*Table1[[#This Row],[Until WA Approved Only Approved this %]]</f>
        <v>361.52</v>
      </c>
      <c r="AC229" s="136">
        <v>239.75</v>
      </c>
      <c r="AD229" s="136">
        <f>Table1[[#This Row],[Total Amount]]-Table1[[#This Row],[Previous Amount]]</f>
        <v>121.76999999999998</v>
      </c>
      <c r="AE229" s="115"/>
      <c r="AG229" s="174">
        <v>361.52</v>
      </c>
      <c r="AH229" s="178">
        <f>AG229-Table1[[#This Row],[Total Amount]]</f>
        <v>0</v>
      </c>
      <c r="AI229" s="171">
        <f t="shared" si="29"/>
        <v>0</v>
      </c>
    </row>
    <row r="230" spans="1:35" ht="30" customHeight="1" x14ac:dyDescent="0.3">
      <c r="A230" s="91" t="s">
        <v>91</v>
      </c>
      <c r="B230" s="91" t="s">
        <v>99</v>
      </c>
      <c r="C230" s="109">
        <v>70</v>
      </c>
      <c r="D230" s="109">
        <v>77583</v>
      </c>
      <c r="E230" s="109">
        <v>80554</v>
      </c>
      <c r="F230" s="110" t="s">
        <v>369</v>
      </c>
      <c r="G230" s="17" t="s">
        <v>202</v>
      </c>
      <c r="H230" s="109" t="s">
        <v>178</v>
      </c>
      <c r="I230" s="109">
        <v>1</v>
      </c>
      <c r="J230" s="109">
        <v>1.3</v>
      </c>
      <c r="K230" s="109">
        <v>0.9</v>
      </c>
      <c r="L230" s="109">
        <v>1</v>
      </c>
      <c r="M230" s="109">
        <v>1</v>
      </c>
      <c r="N230" s="111" t="s">
        <v>162</v>
      </c>
      <c r="O230" s="111">
        <f t="shared" si="30"/>
        <v>1.17</v>
      </c>
      <c r="P230" s="18">
        <v>44876</v>
      </c>
      <c r="Q230" s="125">
        <v>44901</v>
      </c>
      <c r="R230" s="112">
        <v>1</v>
      </c>
      <c r="S230" s="112">
        <v>1</v>
      </c>
      <c r="T230" s="112">
        <v>1</v>
      </c>
      <c r="U230" s="113">
        <f>IF(ISBLANK(Table1[[#This Row],[OHC Date]]),$B$7-Table1[[#This Row],[HOC Date]]+1,Table1[[#This Row],[OHC Date]]-Table1[[#This Row],[HOC Date]]+1)/7</f>
        <v>3.7142857142857144</v>
      </c>
      <c r="V230" s="114">
        <v>6.63</v>
      </c>
      <c r="W230" s="114">
        <v>0.7</v>
      </c>
      <c r="X230" s="114">
        <f>ROUND(0.7*Table1[[#This Row],[E&amp;D Rate per unit]]*R230*Table1[[#This Row],[Quantity]],2)</f>
        <v>5.43</v>
      </c>
      <c r="Y230" s="114">
        <f t="shared" si="31"/>
        <v>3.04</v>
      </c>
      <c r="Z230" s="114">
        <f>ROUND(0.3*T230*Table1[[#This Row],[E&amp;D Rate per unit]]*Table1[[#This Row],[Quantity]],2)</f>
        <v>2.33</v>
      </c>
      <c r="AA230" s="112">
        <v>1</v>
      </c>
      <c r="AB230" s="21">
        <f>ROUND(X230+Z230+Y230,2)*Table1[[#This Row],[Until WA Approved Only Approved this %]]</f>
        <v>10.8</v>
      </c>
      <c r="AC230" s="136">
        <v>7.19</v>
      </c>
      <c r="AD230" s="136">
        <f>Table1[[#This Row],[Total Amount]]-Table1[[#This Row],[Previous Amount]]</f>
        <v>3.6100000000000003</v>
      </c>
      <c r="AE230" s="115"/>
      <c r="AG230" s="174">
        <v>10.8</v>
      </c>
      <c r="AH230" s="178">
        <f>AG230-Table1[[#This Row],[Total Amount]]</f>
        <v>0</v>
      </c>
      <c r="AI230" s="171">
        <f t="shared" si="29"/>
        <v>0</v>
      </c>
    </row>
    <row r="231" spans="1:35" ht="30" customHeight="1" x14ac:dyDescent="0.3">
      <c r="A231" s="91" t="s">
        <v>91</v>
      </c>
      <c r="B231" s="91" t="s">
        <v>99</v>
      </c>
      <c r="C231" s="109">
        <v>71</v>
      </c>
      <c r="D231" s="109">
        <v>77584</v>
      </c>
      <c r="E231" s="109">
        <v>80520</v>
      </c>
      <c r="F231" s="110" t="s">
        <v>370</v>
      </c>
      <c r="G231" s="17" t="s">
        <v>202</v>
      </c>
      <c r="H231" s="109" t="s">
        <v>222</v>
      </c>
      <c r="I231" s="109">
        <v>1</v>
      </c>
      <c r="J231" s="109">
        <v>2.5</v>
      </c>
      <c r="K231" s="109">
        <v>1.3</v>
      </c>
      <c r="L231" s="109">
        <v>4</v>
      </c>
      <c r="M231" s="109">
        <v>1</v>
      </c>
      <c r="N231" s="111" t="s">
        <v>223</v>
      </c>
      <c r="O231" s="111">
        <f t="shared" si="30"/>
        <v>4</v>
      </c>
      <c r="P231" s="18">
        <v>44876</v>
      </c>
      <c r="Q231" s="125">
        <v>44880</v>
      </c>
      <c r="R231" s="112">
        <v>1</v>
      </c>
      <c r="S231" s="112">
        <v>1</v>
      </c>
      <c r="T231" s="112">
        <v>1</v>
      </c>
      <c r="U231" s="113">
        <f>IF(ISBLANK(Table1[[#This Row],[OHC Date]]),$B$7-Table1[[#This Row],[HOC Date]]+1,Table1[[#This Row],[OHC Date]]-Table1[[#This Row],[HOC Date]]+1)/7</f>
        <v>0.7142857142857143</v>
      </c>
      <c r="V231" s="114">
        <v>63.34</v>
      </c>
      <c r="W231" s="114">
        <v>7.28</v>
      </c>
      <c r="X231" s="114">
        <f>ROUND(0.7*Table1[[#This Row],[E&amp;D Rate per unit]]*R231*Table1[[#This Row],[Quantity]],2)</f>
        <v>177.35</v>
      </c>
      <c r="Y231" s="114">
        <f t="shared" si="31"/>
        <v>20.8</v>
      </c>
      <c r="Z231" s="114">
        <f>ROUND(0.3*T231*Table1[[#This Row],[E&amp;D Rate per unit]]*Table1[[#This Row],[Quantity]],2)</f>
        <v>76.010000000000005</v>
      </c>
      <c r="AA231" s="112">
        <v>1</v>
      </c>
      <c r="AB231" s="21">
        <f>ROUND(X231+Z231+Y231,2)*Table1[[#This Row],[Until WA Approved Only Approved this %]]</f>
        <v>274.16000000000003</v>
      </c>
      <c r="AC231" s="136">
        <v>274.16000000000003</v>
      </c>
      <c r="AD231" s="136">
        <f>Table1[[#This Row],[Total Amount]]-Table1[[#This Row],[Previous Amount]]</f>
        <v>0</v>
      </c>
      <c r="AE231" s="115"/>
      <c r="AG231" s="174">
        <v>274.16000000000003</v>
      </c>
      <c r="AH231" s="178">
        <f>AG231-Table1[[#This Row],[Total Amount]]</f>
        <v>0</v>
      </c>
      <c r="AI231" s="171">
        <f t="shared" si="29"/>
        <v>0</v>
      </c>
    </row>
    <row r="232" spans="1:35" ht="30" customHeight="1" x14ac:dyDescent="0.3">
      <c r="A232" s="91" t="s">
        <v>91</v>
      </c>
      <c r="B232" s="91" t="s">
        <v>99</v>
      </c>
      <c r="C232" s="109">
        <v>71</v>
      </c>
      <c r="D232" s="109">
        <v>77584</v>
      </c>
      <c r="E232" s="109">
        <v>80520</v>
      </c>
      <c r="F232" s="110" t="s">
        <v>370</v>
      </c>
      <c r="G232" s="17" t="s">
        <v>202</v>
      </c>
      <c r="H232" s="109" t="s">
        <v>178</v>
      </c>
      <c r="I232" s="109">
        <v>1</v>
      </c>
      <c r="J232" s="109">
        <v>2.5</v>
      </c>
      <c r="K232" s="109">
        <v>1.3</v>
      </c>
      <c r="L232" s="109">
        <v>1</v>
      </c>
      <c r="M232" s="109">
        <v>1</v>
      </c>
      <c r="N232" s="111" t="s">
        <v>162</v>
      </c>
      <c r="O232" s="111">
        <f t="shared" si="30"/>
        <v>3.25</v>
      </c>
      <c r="P232" s="18">
        <v>44876</v>
      </c>
      <c r="Q232" s="125">
        <v>44880</v>
      </c>
      <c r="R232" s="112">
        <v>1</v>
      </c>
      <c r="S232" s="112">
        <v>1</v>
      </c>
      <c r="T232" s="112">
        <v>1</v>
      </c>
      <c r="U232" s="113">
        <f>IF(ISBLANK(Table1[[#This Row],[OHC Date]]),$B$7-Table1[[#This Row],[HOC Date]]+1,Table1[[#This Row],[OHC Date]]-Table1[[#This Row],[HOC Date]]+1)/7</f>
        <v>0.7142857142857143</v>
      </c>
      <c r="V232" s="114">
        <v>6.63</v>
      </c>
      <c r="W232" s="114">
        <v>0.7</v>
      </c>
      <c r="X232" s="114">
        <f>ROUND(0.7*Table1[[#This Row],[E&amp;D Rate per unit]]*R232*Table1[[#This Row],[Quantity]],2)</f>
        <v>15.08</v>
      </c>
      <c r="Y232" s="114">
        <f t="shared" si="31"/>
        <v>1.63</v>
      </c>
      <c r="Z232" s="114">
        <f>ROUND(0.3*T232*Table1[[#This Row],[E&amp;D Rate per unit]]*Table1[[#This Row],[Quantity]],2)</f>
        <v>6.46</v>
      </c>
      <c r="AA232" s="112">
        <v>1</v>
      </c>
      <c r="AB232" s="21">
        <f>ROUND(X232+Z232+Y232,2)*Table1[[#This Row],[Until WA Approved Only Approved this %]]</f>
        <v>23.17</v>
      </c>
      <c r="AC232" s="136">
        <v>23.17</v>
      </c>
      <c r="AD232" s="136">
        <f>Table1[[#This Row],[Total Amount]]-Table1[[#This Row],[Previous Amount]]</f>
        <v>0</v>
      </c>
      <c r="AE232" s="115"/>
      <c r="AG232" s="174">
        <v>23.17</v>
      </c>
      <c r="AH232" s="178">
        <f>AG232-Table1[[#This Row],[Total Amount]]</f>
        <v>0</v>
      </c>
      <c r="AI232" s="171">
        <f t="shared" si="29"/>
        <v>0</v>
      </c>
    </row>
    <row r="233" spans="1:35" ht="30" customHeight="1" x14ac:dyDescent="0.3">
      <c r="A233" s="91" t="s">
        <v>91</v>
      </c>
      <c r="B233" s="91" t="s">
        <v>99</v>
      </c>
      <c r="C233" s="109">
        <v>72</v>
      </c>
      <c r="D233" s="109">
        <v>77585</v>
      </c>
      <c r="E233" s="109"/>
      <c r="F233" s="110" t="s">
        <v>371</v>
      </c>
      <c r="G233" s="17" t="s">
        <v>202</v>
      </c>
      <c r="H233" s="109" t="s">
        <v>222</v>
      </c>
      <c r="I233" s="109">
        <v>1</v>
      </c>
      <c r="J233" s="109">
        <v>2.5</v>
      </c>
      <c r="K233" s="109">
        <v>1.3</v>
      </c>
      <c r="L233" s="109">
        <v>2.2000000000000002</v>
      </c>
      <c r="M233" s="109">
        <v>1</v>
      </c>
      <c r="N233" s="111" t="s">
        <v>223</v>
      </c>
      <c r="O233" s="111">
        <f t="shared" si="30"/>
        <v>2.2000000000000002</v>
      </c>
      <c r="P233" s="18">
        <v>44876</v>
      </c>
      <c r="Q233" s="125"/>
      <c r="R233" s="112">
        <v>1</v>
      </c>
      <c r="S233" s="112">
        <v>1</v>
      </c>
      <c r="T233" s="112">
        <v>0</v>
      </c>
      <c r="U233" s="113">
        <f>IF(ISBLANK(Table1[[#This Row],[OHC Date]]),$B$7-Table1[[#This Row],[HOC Date]]+1,Table1[[#This Row],[OHC Date]]-Table1[[#This Row],[HOC Date]]+1)/7</f>
        <v>6.4285714285714288</v>
      </c>
      <c r="V233" s="114">
        <v>63.34</v>
      </c>
      <c r="W233" s="114">
        <v>7.28</v>
      </c>
      <c r="X233" s="114">
        <f>ROUND(0.7*Table1[[#This Row],[E&amp;D Rate per unit]]*R233*Table1[[#This Row],[Quantity]],2)</f>
        <v>97.54</v>
      </c>
      <c r="Y233" s="114">
        <f t="shared" si="31"/>
        <v>102.96</v>
      </c>
      <c r="Z233" s="114">
        <f>ROUND(0.3*T233*Table1[[#This Row],[E&amp;D Rate per unit]]*Table1[[#This Row],[Quantity]],2)</f>
        <v>0</v>
      </c>
      <c r="AA233" s="112">
        <v>1</v>
      </c>
      <c r="AB233" s="21">
        <f>ROUND(X233+Z233+Y233,2)*Table1[[#This Row],[Until WA Approved Only Approved this %]]</f>
        <v>200.5</v>
      </c>
      <c r="AC233" s="136">
        <v>131.86000000000001</v>
      </c>
      <c r="AD233" s="136">
        <f>Table1[[#This Row],[Total Amount]]-Table1[[#This Row],[Previous Amount]]</f>
        <v>68.639999999999986</v>
      </c>
      <c r="AE233" s="115"/>
      <c r="AG233" s="174">
        <v>200.5</v>
      </c>
      <c r="AH233" s="178">
        <f>AG233-Table1[[#This Row],[Total Amount]]</f>
        <v>0</v>
      </c>
      <c r="AI233" s="171">
        <f t="shared" si="29"/>
        <v>0</v>
      </c>
    </row>
    <row r="234" spans="1:35" ht="30" customHeight="1" x14ac:dyDescent="0.3">
      <c r="A234" s="91" t="s">
        <v>91</v>
      </c>
      <c r="B234" s="91" t="s">
        <v>99</v>
      </c>
      <c r="C234" s="109">
        <v>73</v>
      </c>
      <c r="D234" s="109">
        <v>77586</v>
      </c>
      <c r="E234" s="109">
        <v>80521</v>
      </c>
      <c r="F234" s="110" t="s">
        <v>370</v>
      </c>
      <c r="G234" s="17" t="s">
        <v>202</v>
      </c>
      <c r="H234" s="109" t="s">
        <v>222</v>
      </c>
      <c r="I234" s="109">
        <v>1</v>
      </c>
      <c r="J234" s="109">
        <v>1.8</v>
      </c>
      <c r="K234" s="109">
        <v>1.3</v>
      </c>
      <c r="L234" s="109">
        <v>4.5</v>
      </c>
      <c r="M234" s="109">
        <v>1</v>
      </c>
      <c r="N234" s="111" t="s">
        <v>223</v>
      </c>
      <c r="O234" s="111">
        <f t="shared" si="30"/>
        <v>4.5</v>
      </c>
      <c r="P234" s="18">
        <v>44876</v>
      </c>
      <c r="Q234" s="125">
        <v>44880</v>
      </c>
      <c r="R234" s="112">
        <v>1</v>
      </c>
      <c r="S234" s="112">
        <v>1</v>
      </c>
      <c r="T234" s="112">
        <v>1</v>
      </c>
      <c r="U234" s="113">
        <f>IF(ISBLANK(Table1[[#This Row],[OHC Date]]),$B$7-Table1[[#This Row],[HOC Date]]+1,Table1[[#This Row],[OHC Date]]-Table1[[#This Row],[HOC Date]]+1)/7</f>
        <v>0.7142857142857143</v>
      </c>
      <c r="V234" s="114">
        <v>63.34</v>
      </c>
      <c r="W234" s="114">
        <v>7.28</v>
      </c>
      <c r="X234" s="114">
        <f>ROUND(0.7*Table1[[#This Row],[E&amp;D Rate per unit]]*R234*Table1[[#This Row],[Quantity]],2)</f>
        <v>199.52</v>
      </c>
      <c r="Y234" s="114">
        <f t="shared" si="31"/>
        <v>23.4</v>
      </c>
      <c r="Z234" s="114">
        <f>ROUND(0.3*T234*Table1[[#This Row],[E&amp;D Rate per unit]]*Table1[[#This Row],[Quantity]],2)</f>
        <v>85.51</v>
      </c>
      <c r="AA234" s="112">
        <v>1</v>
      </c>
      <c r="AB234" s="21">
        <f>ROUND(X234+Z234+Y234,2)*Table1[[#This Row],[Until WA Approved Only Approved this %]]</f>
        <v>308.43</v>
      </c>
      <c r="AC234" s="136">
        <v>308.43</v>
      </c>
      <c r="AD234" s="136">
        <f>Table1[[#This Row],[Total Amount]]-Table1[[#This Row],[Previous Amount]]</f>
        <v>0</v>
      </c>
      <c r="AE234" s="115"/>
      <c r="AG234" s="174">
        <v>308.43</v>
      </c>
      <c r="AH234" s="178">
        <f>AG234-Table1[[#This Row],[Total Amount]]</f>
        <v>0</v>
      </c>
      <c r="AI234" s="171">
        <f t="shared" si="29"/>
        <v>0</v>
      </c>
    </row>
    <row r="235" spans="1:35" ht="30" customHeight="1" x14ac:dyDescent="0.3">
      <c r="A235" s="91" t="s">
        <v>91</v>
      </c>
      <c r="B235" s="91" t="s">
        <v>99</v>
      </c>
      <c r="C235" s="109">
        <v>73</v>
      </c>
      <c r="D235" s="109">
        <v>77586</v>
      </c>
      <c r="E235" s="109">
        <v>80521</v>
      </c>
      <c r="F235" s="110" t="s">
        <v>370</v>
      </c>
      <c r="G235" s="17" t="s">
        <v>202</v>
      </c>
      <c r="H235" s="109" t="s">
        <v>178</v>
      </c>
      <c r="I235" s="109">
        <v>1</v>
      </c>
      <c r="J235" s="109">
        <v>1.8</v>
      </c>
      <c r="K235" s="109">
        <v>1.3</v>
      </c>
      <c r="L235" s="109">
        <v>1</v>
      </c>
      <c r="M235" s="109">
        <v>1</v>
      </c>
      <c r="N235" s="111" t="s">
        <v>162</v>
      </c>
      <c r="O235" s="111">
        <f t="shared" si="30"/>
        <v>2.34</v>
      </c>
      <c r="P235" s="18">
        <v>44876</v>
      </c>
      <c r="Q235" s="125">
        <v>44880</v>
      </c>
      <c r="R235" s="112">
        <v>1</v>
      </c>
      <c r="S235" s="112">
        <v>1</v>
      </c>
      <c r="T235" s="112">
        <v>1</v>
      </c>
      <c r="U235" s="113">
        <f>IF(ISBLANK(Table1[[#This Row],[OHC Date]]),$B$7-Table1[[#This Row],[HOC Date]]+1,Table1[[#This Row],[OHC Date]]-Table1[[#This Row],[HOC Date]]+1)/7</f>
        <v>0.7142857142857143</v>
      </c>
      <c r="V235" s="114">
        <v>6.63</v>
      </c>
      <c r="W235" s="114">
        <v>0.7</v>
      </c>
      <c r="X235" s="114">
        <f>ROUND(0.7*Table1[[#This Row],[E&amp;D Rate per unit]]*R235*Table1[[#This Row],[Quantity]],2)</f>
        <v>10.86</v>
      </c>
      <c r="Y235" s="114">
        <f t="shared" si="31"/>
        <v>1.17</v>
      </c>
      <c r="Z235" s="114">
        <f>ROUND(0.3*T235*Table1[[#This Row],[E&amp;D Rate per unit]]*Table1[[#This Row],[Quantity]],2)</f>
        <v>4.6500000000000004</v>
      </c>
      <c r="AA235" s="112">
        <v>1</v>
      </c>
      <c r="AB235" s="21">
        <f>ROUND(X235+Z235+Y235,2)*Table1[[#This Row],[Until WA Approved Only Approved this %]]</f>
        <v>16.68</v>
      </c>
      <c r="AC235" s="136">
        <v>16.68</v>
      </c>
      <c r="AD235" s="136">
        <f>Table1[[#This Row],[Total Amount]]-Table1[[#This Row],[Previous Amount]]</f>
        <v>0</v>
      </c>
      <c r="AE235" s="115"/>
      <c r="AG235" s="174">
        <v>16.68</v>
      </c>
      <c r="AH235" s="178">
        <f>AG235-Table1[[#This Row],[Total Amount]]</f>
        <v>0</v>
      </c>
      <c r="AI235" s="171">
        <f t="shared" si="29"/>
        <v>0</v>
      </c>
    </row>
    <row r="236" spans="1:35" ht="30" customHeight="1" x14ac:dyDescent="0.3">
      <c r="A236" s="91" t="s">
        <v>91</v>
      </c>
      <c r="B236" s="91" t="s">
        <v>99</v>
      </c>
      <c r="C236" s="109">
        <v>74</v>
      </c>
      <c r="D236" s="109">
        <v>77587</v>
      </c>
      <c r="E236" s="109">
        <v>80524</v>
      </c>
      <c r="F236" s="110" t="s">
        <v>372</v>
      </c>
      <c r="G236" s="17" t="s">
        <v>202</v>
      </c>
      <c r="H236" s="109" t="s">
        <v>222</v>
      </c>
      <c r="I236" s="109">
        <v>1</v>
      </c>
      <c r="J236" s="109">
        <v>1.8</v>
      </c>
      <c r="K236" s="109">
        <v>1.3</v>
      </c>
      <c r="L236" s="109">
        <v>4</v>
      </c>
      <c r="M236" s="109">
        <v>1</v>
      </c>
      <c r="N236" s="111" t="s">
        <v>223</v>
      </c>
      <c r="O236" s="111">
        <f t="shared" si="30"/>
        <v>4</v>
      </c>
      <c r="P236" s="18">
        <v>44876</v>
      </c>
      <c r="Q236" s="125">
        <v>44881</v>
      </c>
      <c r="R236" s="112">
        <v>1</v>
      </c>
      <c r="S236" s="112">
        <v>1</v>
      </c>
      <c r="T236" s="112">
        <v>1</v>
      </c>
      <c r="U236" s="113">
        <f>IF(ISBLANK(Table1[[#This Row],[OHC Date]]),$B$7-Table1[[#This Row],[HOC Date]]+1,Table1[[#This Row],[OHC Date]]-Table1[[#This Row],[HOC Date]]+1)/7</f>
        <v>0.8571428571428571</v>
      </c>
      <c r="V236" s="114">
        <v>63.34</v>
      </c>
      <c r="W236" s="114">
        <v>7.28</v>
      </c>
      <c r="X236" s="114">
        <f>ROUND(0.7*Table1[[#This Row],[E&amp;D Rate per unit]]*R236*Table1[[#This Row],[Quantity]],2)</f>
        <v>177.35</v>
      </c>
      <c r="Y236" s="114">
        <f t="shared" si="31"/>
        <v>24.96</v>
      </c>
      <c r="Z236" s="114">
        <f>ROUND(0.3*T236*Table1[[#This Row],[E&amp;D Rate per unit]]*Table1[[#This Row],[Quantity]],2)</f>
        <v>76.010000000000005</v>
      </c>
      <c r="AA236" s="112">
        <v>1</v>
      </c>
      <c r="AB236" s="21">
        <f>ROUND(X236+Z236+Y236,2)*Table1[[#This Row],[Until WA Approved Only Approved this %]]</f>
        <v>278.32</v>
      </c>
      <c r="AC236" s="136">
        <v>278.32</v>
      </c>
      <c r="AD236" s="136">
        <f>Table1[[#This Row],[Total Amount]]-Table1[[#This Row],[Previous Amount]]</f>
        <v>0</v>
      </c>
      <c r="AE236" s="115"/>
      <c r="AG236" s="174">
        <v>278.32</v>
      </c>
      <c r="AH236" s="178">
        <f>AG236-Table1[[#This Row],[Total Amount]]</f>
        <v>0</v>
      </c>
      <c r="AI236" s="171">
        <f t="shared" si="29"/>
        <v>0</v>
      </c>
    </row>
    <row r="237" spans="1:35" ht="30" customHeight="1" x14ac:dyDescent="0.3">
      <c r="A237" s="91" t="s">
        <v>91</v>
      </c>
      <c r="B237" s="91" t="s">
        <v>99</v>
      </c>
      <c r="C237" s="109">
        <v>74</v>
      </c>
      <c r="D237" s="109">
        <v>77587</v>
      </c>
      <c r="E237" s="109">
        <v>80524</v>
      </c>
      <c r="F237" s="110" t="s">
        <v>372</v>
      </c>
      <c r="G237" s="17" t="s">
        <v>202</v>
      </c>
      <c r="H237" s="109" t="s">
        <v>178</v>
      </c>
      <c r="I237" s="109">
        <v>1</v>
      </c>
      <c r="J237" s="109">
        <v>1.8</v>
      </c>
      <c r="K237" s="109">
        <v>1.3</v>
      </c>
      <c r="L237" s="109">
        <v>1</v>
      </c>
      <c r="M237" s="109">
        <v>2</v>
      </c>
      <c r="N237" s="111" t="s">
        <v>162</v>
      </c>
      <c r="O237" s="111">
        <f t="shared" si="30"/>
        <v>2.34</v>
      </c>
      <c r="P237" s="18">
        <v>44876</v>
      </c>
      <c r="Q237" s="125">
        <v>44881</v>
      </c>
      <c r="R237" s="112">
        <v>1</v>
      </c>
      <c r="S237" s="112">
        <v>1</v>
      </c>
      <c r="T237" s="112">
        <v>1</v>
      </c>
      <c r="U237" s="113">
        <f>IF(ISBLANK(Table1[[#This Row],[OHC Date]]),$B$7-Table1[[#This Row],[HOC Date]]+1,Table1[[#This Row],[OHC Date]]-Table1[[#This Row],[HOC Date]]+1)/7</f>
        <v>0.8571428571428571</v>
      </c>
      <c r="V237" s="114">
        <v>6.63</v>
      </c>
      <c r="W237" s="114">
        <v>0.7</v>
      </c>
      <c r="X237" s="114">
        <f>ROUND(0.7*Table1[[#This Row],[E&amp;D Rate per unit]]*R237*Table1[[#This Row],[Quantity]],2)</f>
        <v>10.86</v>
      </c>
      <c r="Y237" s="114">
        <f t="shared" si="31"/>
        <v>1.4</v>
      </c>
      <c r="Z237" s="114">
        <f>ROUND(0.3*T237*Table1[[#This Row],[E&amp;D Rate per unit]]*Table1[[#This Row],[Quantity]],2)</f>
        <v>4.6500000000000004</v>
      </c>
      <c r="AA237" s="112">
        <v>1</v>
      </c>
      <c r="AB237" s="21">
        <f>ROUND(X237+Z237+Y237,2)*Table1[[#This Row],[Until WA Approved Only Approved this %]]</f>
        <v>16.91</v>
      </c>
      <c r="AC237" s="136">
        <v>16.91</v>
      </c>
      <c r="AD237" s="136">
        <f>Table1[[#This Row],[Total Amount]]-Table1[[#This Row],[Previous Amount]]</f>
        <v>0</v>
      </c>
      <c r="AE237" s="115"/>
      <c r="AG237" s="174">
        <v>16.91</v>
      </c>
      <c r="AH237" s="178">
        <f>AG237-Table1[[#This Row],[Total Amount]]</f>
        <v>0</v>
      </c>
      <c r="AI237" s="171">
        <f t="shared" si="29"/>
        <v>0</v>
      </c>
    </row>
    <row r="238" spans="1:35" ht="30" customHeight="1" x14ac:dyDescent="0.3">
      <c r="A238" s="91" t="s">
        <v>91</v>
      </c>
      <c r="B238" s="91" t="s">
        <v>99</v>
      </c>
      <c r="C238" s="109">
        <v>75</v>
      </c>
      <c r="D238" s="109">
        <v>77588</v>
      </c>
      <c r="E238" s="109">
        <v>80519</v>
      </c>
      <c r="F238" s="110" t="s">
        <v>344</v>
      </c>
      <c r="G238" s="17" t="s">
        <v>228</v>
      </c>
      <c r="H238" s="109" t="s">
        <v>222</v>
      </c>
      <c r="I238" s="109">
        <v>1</v>
      </c>
      <c r="J238" s="109">
        <v>2.5</v>
      </c>
      <c r="K238" s="109">
        <v>1.3</v>
      </c>
      <c r="L238" s="109">
        <v>2</v>
      </c>
      <c r="M238" s="109">
        <v>1</v>
      </c>
      <c r="N238" s="111" t="s">
        <v>223</v>
      </c>
      <c r="O238" s="111">
        <f t="shared" si="30"/>
        <v>2</v>
      </c>
      <c r="P238" s="18">
        <v>44877</v>
      </c>
      <c r="Q238" s="125">
        <v>44880</v>
      </c>
      <c r="R238" s="112">
        <v>1</v>
      </c>
      <c r="S238" s="112">
        <v>1</v>
      </c>
      <c r="T238" s="112">
        <v>1</v>
      </c>
      <c r="U238" s="113">
        <f>IF(ISBLANK(Table1[[#This Row],[OHC Date]]),$B$7-Table1[[#This Row],[HOC Date]]+1,Table1[[#This Row],[OHC Date]]-Table1[[#This Row],[HOC Date]]+1)/7</f>
        <v>0.5714285714285714</v>
      </c>
      <c r="V238" s="114">
        <v>63.34</v>
      </c>
      <c r="W238" s="114">
        <v>7.28</v>
      </c>
      <c r="X238" s="114">
        <f>ROUND(0.7*Table1[[#This Row],[E&amp;D Rate per unit]]*R238*Table1[[#This Row],[Quantity]],2)</f>
        <v>88.68</v>
      </c>
      <c r="Y238" s="114">
        <f t="shared" si="31"/>
        <v>8.32</v>
      </c>
      <c r="Z238" s="114">
        <f>ROUND(0.3*T238*Table1[[#This Row],[E&amp;D Rate per unit]]*Table1[[#This Row],[Quantity]],2)</f>
        <v>38</v>
      </c>
      <c r="AA238" s="112">
        <v>1</v>
      </c>
      <c r="AB238" s="21">
        <f>ROUND(X238+Z238+Y238,2)*Table1[[#This Row],[Until WA Approved Only Approved this %]]</f>
        <v>135</v>
      </c>
      <c r="AC238" s="136">
        <v>135</v>
      </c>
      <c r="AD238" s="136">
        <f>Table1[[#This Row],[Total Amount]]-Table1[[#This Row],[Previous Amount]]</f>
        <v>0</v>
      </c>
      <c r="AE238" s="115"/>
      <c r="AG238" s="174">
        <v>135</v>
      </c>
      <c r="AH238" s="178">
        <f>AG238-Table1[[#This Row],[Total Amount]]</f>
        <v>0</v>
      </c>
      <c r="AI238" s="171">
        <f t="shared" si="29"/>
        <v>0</v>
      </c>
    </row>
    <row r="239" spans="1:35" ht="30" customHeight="1" x14ac:dyDescent="0.3">
      <c r="A239" s="91" t="s">
        <v>91</v>
      </c>
      <c r="B239" s="91" t="s">
        <v>99</v>
      </c>
      <c r="C239" s="109">
        <v>76</v>
      </c>
      <c r="D239" s="109">
        <v>77589</v>
      </c>
      <c r="E239" s="109">
        <v>80546</v>
      </c>
      <c r="F239" s="110" t="s">
        <v>373</v>
      </c>
      <c r="G239" s="17" t="s">
        <v>228</v>
      </c>
      <c r="H239" s="109" t="s">
        <v>222</v>
      </c>
      <c r="I239" s="109">
        <v>1</v>
      </c>
      <c r="J239" s="109">
        <v>2.5</v>
      </c>
      <c r="K239" s="109">
        <v>1.3</v>
      </c>
      <c r="L239" s="109">
        <v>3.5</v>
      </c>
      <c r="M239" s="109">
        <v>1</v>
      </c>
      <c r="N239" s="111" t="s">
        <v>223</v>
      </c>
      <c r="O239" s="111">
        <f t="shared" si="30"/>
        <v>3.5</v>
      </c>
      <c r="P239" s="18">
        <v>44879</v>
      </c>
      <c r="Q239" s="125">
        <v>44894</v>
      </c>
      <c r="R239" s="112">
        <v>1</v>
      </c>
      <c r="S239" s="112">
        <v>1</v>
      </c>
      <c r="T239" s="112">
        <v>1</v>
      </c>
      <c r="U239" s="113">
        <f>IF(ISBLANK(Table1[[#This Row],[OHC Date]]),$B$7-Table1[[#This Row],[HOC Date]]+1,Table1[[#This Row],[OHC Date]]-Table1[[#This Row],[HOC Date]]+1)/7</f>
        <v>2.2857142857142856</v>
      </c>
      <c r="V239" s="114">
        <v>63.34</v>
      </c>
      <c r="W239" s="114">
        <v>7.28</v>
      </c>
      <c r="X239" s="114">
        <f>ROUND(0.7*Table1[[#This Row],[E&amp;D Rate per unit]]*R239*Table1[[#This Row],[Quantity]],2)</f>
        <v>155.18</v>
      </c>
      <c r="Y239" s="114">
        <f t="shared" si="31"/>
        <v>58.24</v>
      </c>
      <c r="Z239" s="114">
        <f>ROUND(0.3*T239*Table1[[#This Row],[E&amp;D Rate per unit]]*Table1[[#This Row],[Quantity]],2)</f>
        <v>66.510000000000005</v>
      </c>
      <c r="AA239" s="112">
        <v>1</v>
      </c>
      <c r="AB239" s="21">
        <f>ROUND(X239+Z239+Y239,2)*Table1[[#This Row],[Until WA Approved Only Approved this %]]</f>
        <v>279.93</v>
      </c>
      <c r="AC239" s="136">
        <v>198.86</v>
      </c>
      <c r="AD239" s="136">
        <f>Table1[[#This Row],[Total Amount]]-Table1[[#This Row],[Previous Amount]]</f>
        <v>81.069999999999993</v>
      </c>
      <c r="AE239" s="115"/>
      <c r="AG239" s="174">
        <v>279.93</v>
      </c>
      <c r="AH239" s="178">
        <f>AG239-Table1[[#This Row],[Total Amount]]</f>
        <v>0</v>
      </c>
      <c r="AI239" s="171">
        <f t="shared" si="29"/>
        <v>0</v>
      </c>
    </row>
    <row r="240" spans="1:35" ht="30" customHeight="1" x14ac:dyDescent="0.3">
      <c r="A240" s="91" t="s">
        <v>91</v>
      </c>
      <c r="B240" s="91" t="s">
        <v>99</v>
      </c>
      <c r="C240" s="109" t="s">
        <v>458</v>
      </c>
      <c r="D240" s="109">
        <v>77501</v>
      </c>
      <c r="E240" s="109">
        <v>80556</v>
      </c>
      <c r="F240" s="110" t="s">
        <v>459</v>
      </c>
      <c r="G240" s="17" t="s">
        <v>192</v>
      </c>
      <c r="H240" s="109" t="s">
        <v>129</v>
      </c>
      <c r="I240" s="109">
        <v>1</v>
      </c>
      <c r="J240" s="109">
        <v>1.8</v>
      </c>
      <c r="K240" s="109">
        <v>1</v>
      </c>
      <c r="L240" s="109">
        <v>1</v>
      </c>
      <c r="M240" s="109">
        <v>1</v>
      </c>
      <c r="N240" s="111" t="s">
        <v>162</v>
      </c>
      <c r="O240" s="111">
        <f>ROUND(IF(N240="m3",I240*J240*K240*L240,IF(N240="m2-LxH",I240*J240*L240,IF(N240="m2-LxW",I240*J240*K240,IF(N240="rm",I240*L240,IF(N240="lm",I240*J240,IF(N240="unit",I240,"NA")))))),2)</f>
        <v>1.8</v>
      </c>
      <c r="P240" s="18">
        <v>44879</v>
      </c>
      <c r="Q240" s="125">
        <v>44901</v>
      </c>
      <c r="R240" s="112">
        <v>1</v>
      </c>
      <c r="S240" s="112">
        <v>1</v>
      </c>
      <c r="T240" s="112">
        <v>1</v>
      </c>
      <c r="U240" s="113">
        <f>IF(ISBLANK(Table1[[#This Row],[OHC Date]]),$B$7-Table1[[#This Row],[HOC Date]]+1,Table1[[#This Row],[OHC Date]]-Table1[[#This Row],[HOC Date]]+1)/7</f>
        <v>3.2857142857142856</v>
      </c>
      <c r="V240" s="114">
        <v>36.520000000000003</v>
      </c>
      <c r="W240" s="114">
        <v>2.94</v>
      </c>
      <c r="X240" s="114">
        <f>ROUND(0.7*Table1[[#This Row],[E&amp;D Rate per unit]]*R240*Table1[[#This Row],[Quantity]],2)</f>
        <v>46.02</v>
      </c>
      <c r="Y240" s="114">
        <f>ROUND(O240*U240*W240*S240,2)</f>
        <v>17.39</v>
      </c>
      <c r="Z240" s="114">
        <f>ROUND(0.3*T240*Table1[[#This Row],[E&amp;D Rate per unit]]*Table1[[#This Row],[Quantity]],2)</f>
        <v>19.72</v>
      </c>
      <c r="AA240" s="112">
        <v>1</v>
      </c>
      <c r="AB240" s="21">
        <f>ROUND(X240+Z240+Y240,2)*Table1[[#This Row],[Until WA Approved Only Approved this %]]</f>
        <v>83.13</v>
      </c>
      <c r="AC240" s="136">
        <v>55.09</v>
      </c>
      <c r="AD240" s="136">
        <f>Table1[[#This Row],[Total Amount]]-Table1[[#This Row],[Previous Amount]]</f>
        <v>28.039999999999992</v>
      </c>
      <c r="AE240" s="115"/>
      <c r="AG240" s="174">
        <v>83.13</v>
      </c>
      <c r="AH240" s="178">
        <f>AG240-Table1[[#This Row],[Total Amount]]</f>
        <v>0</v>
      </c>
      <c r="AI240" s="171">
        <f t="shared" si="29"/>
        <v>0</v>
      </c>
    </row>
    <row r="241" spans="1:35" ht="30" customHeight="1" x14ac:dyDescent="0.3">
      <c r="A241" s="91" t="s">
        <v>91</v>
      </c>
      <c r="B241" s="91" t="s">
        <v>99</v>
      </c>
      <c r="C241" s="109">
        <v>77</v>
      </c>
      <c r="D241" s="109">
        <v>77503</v>
      </c>
      <c r="E241" s="109">
        <v>80564</v>
      </c>
      <c r="F241" s="110" t="s">
        <v>374</v>
      </c>
      <c r="G241" s="17" t="s">
        <v>225</v>
      </c>
      <c r="H241" s="109" t="s">
        <v>120</v>
      </c>
      <c r="I241" s="109">
        <v>1</v>
      </c>
      <c r="J241" s="109">
        <v>4</v>
      </c>
      <c r="K241" s="109">
        <v>2.5</v>
      </c>
      <c r="L241" s="109">
        <v>1.5</v>
      </c>
      <c r="M241" s="109">
        <v>1</v>
      </c>
      <c r="N241" s="92" t="s">
        <v>208</v>
      </c>
      <c r="O241" s="92">
        <f t="shared" ref="O241" si="32">ROUND(IF(N241="m3",I241*J241*K241*L241,IF(N241="m2-LxH",I241*J241*L241,IF(N241="m2-LxW",I241*J241*K241,IF(N241="rm",I241*L241,IF(N241="lm",I241*J241,IF(N241="unit",I241,"NA")))))),2)</f>
        <v>6</v>
      </c>
      <c r="P241" s="18">
        <v>44880</v>
      </c>
      <c r="Q241" s="125">
        <v>44905</v>
      </c>
      <c r="R241" s="112">
        <v>1</v>
      </c>
      <c r="S241" s="112">
        <v>1</v>
      </c>
      <c r="T241" s="112">
        <v>1</v>
      </c>
      <c r="U241" s="113">
        <f>IF(ISBLANK(Table1[[#This Row],[OHC Date]]),$B$7-Table1[[#This Row],[HOC Date]]+1,Table1[[#This Row],[OHC Date]]-Table1[[#This Row],[HOC Date]]+1)/7</f>
        <v>3.7142857142857144</v>
      </c>
      <c r="V241" s="114">
        <v>16.760000000000002</v>
      </c>
      <c r="W241" s="114">
        <v>0.77</v>
      </c>
      <c r="X241" s="114">
        <f>ROUND(0.7*Table1[[#This Row],[E&amp;D Rate per unit]]*R241*Table1[[#This Row],[Quantity]],2)</f>
        <v>70.39</v>
      </c>
      <c r="Y241" s="114">
        <f t="shared" si="31"/>
        <v>17.16</v>
      </c>
      <c r="Z241" s="114">
        <f>ROUND(0.3*T241*Table1[[#This Row],[E&amp;D Rate per unit]]*Table1[[#This Row],[Quantity]],2)</f>
        <v>30.17</v>
      </c>
      <c r="AA241" s="112">
        <v>1</v>
      </c>
      <c r="AB241" s="21">
        <f>ROUND(X241+Z241+Y241,2)*Table1[[#This Row],[Until WA Approved Only Approved this %]]</f>
        <v>117.72</v>
      </c>
      <c r="AC241" s="136">
        <v>77.650000000000006</v>
      </c>
      <c r="AD241" s="136">
        <f>Table1[[#This Row],[Total Amount]]-Table1[[#This Row],[Previous Amount]]</f>
        <v>40.069999999999993</v>
      </c>
      <c r="AE241" s="115"/>
      <c r="AG241" s="174">
        <v>117.72</v>
      </c>
      <c r="AH241" s="178">
        <f>AG241-Table1[[#This Row],[Total Amount]]</f>
        <v>0</v>
      </c>
      <c r="AI241" s="171">
        <f t="shared" si="29"/>
        <v>0</v>
      </c>
    </row>
    <row r="242" spans="1:35" ht="30" customHeight="1" x14ac:dyDescent="0.3">
      <c r="A242" s="91" t="s">
        <v>91</v>
      </c>
      <c r="B242" s="91" t="s">
        <v>99</v>
      </c>
      <c r="C242" s="109">
        <v>78</v>
      </c>
      <c r="D242" s="109">
        <v>77504</v>
      </c>
      <c r="E242" s="109">
        <v>80532</v>
      </c>
      <c r="F242" s="110" t="s">
        <v>375</v>
      </c>
      <c r="G242" s="17" t="s">
        <v>225</v>
      </c>
      <c r="H242" s="109" t="s">
        <v>222</v>
      </c>
      <c r="I242" s="109">
        <v>1</v>
      </c>
      <c r="J242" s="109">
        <v>1.8</v>
      </c>
      <c r="K242" s="109">
        <v>1.3</v>
      </c>
      <c r="L242" s="109">
        <v>2</v>
      </c>
      <c r="M242" s="109">
        <v>1</v>
      </c>
      <c r="N242" s="111" t="s">
        <v>223</v>
      </c>
      <c r="O242" s="111">
        <f t="shared" si="30"/>
        <v>2</v>
      </c>
      <c r="P242" s="18">
        <v>44880</v>
      </c>
      <c r="Q242" s="125">
        <v>44884</v>
      </c>
      <c r="R242" s="112">
        <v>1</v>
      </c>
      <c r="S242" s="112">
        <v>1</v>
      </c>
      <c r="T242" s="112">
        <v>1</v>
      </c>
      <c r="U242" s="113">
        <f>IF(ISBLANK(Table1[[#This Row],[OHC Date]]),$B$7-Table1[[#This Row],[HOC Date]]+1,Table1[[#This Row],[OHC Date]]-Table1[[#This Row],[HOC Date]]+1)/7</f>
        <v>0.7142857142857143</v>
      </c>
      <c r="V242" s="114">
        <v>63.34</v>
      </c>
      <c r="W242" s="114">
        <v>7.28</v>
      </c>
      <c r="X242" s="114">
        <f>ROUND(0.7*Table1[[#This Row],[E&amp;D Rate per unit]]*R242*Table1[[#This Row],[Quantity]],2)</f>
        <v>88.68</v>
      </c>
      <c r="Y242" s="114">
        <f t="shared" si="31"/>
        <v>10.4</v>
      </c>
      <c r="Z242" s="114">
        <f>ROUND(0.3*T242*Table1[[#This Row],[E&amp;D Rate per unit]]*Table1[[#This Row],[Quantity]],2)</f>
        <v>38</v>
      </c>
      <c r="AA242" s="112">
        <v>1</v>
      </c>
      <c r="AB242" s="21">
        <f>ROUND(X242+Z242+Y242,2)*Table1[[#This Row],[Until WA Approved Only Approved this %]]</f>
        <v>137.08000000000001</v>
      </c>
      <c r="AC242" s="136">
        <v>137.08000000000001</v>
      </c>
      <c r="AD242" s="136">
        <f>Table1[[#This Row],[Total Amount]]-Table1[[#This Row],[Previous Amount]]</f>
        <v>0</v>
      </c>
      <c r="AE242" s="115"/>
      <c r="AG242" s="174">
        <v>137.08000000000001</v>
      </c>
      <c r="AH242" s="178">
        <f>AG242-Table1[[#This Row],[Total Amount]]</f>
        <v>0</v>
      </c>
      <c r="AI242" s="171">
        <f t="shared" si="29"/>
        <v>0</v>
      </c>
    </row>
    <row r="243" spans="1:35" ht="30" customHeight="1" x14ac:dyDescent="0.3">
      <c r="A243" s="91" t="s">
        <v>91</v>
      </c>
      <c r="B243" s="91" t="s">
        <v>99</v>
      </c>
      <c r="C243" s="109">
        <v>79</v>
      </c>
      <c r="D243" s="109">
        <v>77590</v>
      </c>
      <c r="E243" s="109">
        <v>80551</v>
      </c>
      <c r="F243" s="110" t="s">
        <v>373</v>
      </c>
      <c r="G243" s="17" t="s">
        <v>228</v>
      </c>
      <c r="H243" s="109" t="s">
        <v>222</v>
      </c>
      <c r="I243" s="109">
        <v>1</v>
      </c>
      <c r="J243" s="109">
        <v>2.5</v>
      </c>
      <c r="K243" s="109">
        <v>2.5</v>
      </c>
      <c r="L243" s="109">
        <v>2.5</v>
      </c>
      <c r="M243" s="109">
        <v>1</v>
      </c>
      <c r="N243" s="111" t="s">
        <v>223</v>
      </c>
      <c r="O243" s="111">
        <f t="shared" si="30"/>
        <v>2.5</v>
      </c>
      <c r="P243" s="18">
        <v>44880</v>
      </c>
      <c r="Q243" s="125">
        <v>44900</v>
      </c>
      <c r="R243" s="112">
        <v>1</v>
      </c>
      <c r="S243" s="112">
        <v>1</v>
      </c>
      <c r="T243" s="112">
        <v>1</v>
      </c>
      <c r="U243" s="113">
        <f>IF(ISBLANK(Table1[[#This Row],[OHC Date]]),$B$7-Table1[[#This Row],[HOC Date]]+1,Table1[[#This Row],[OHC Date]]-Table1[[#This Row],[HOC Date]]+1)/7</f>
        <v>3</v>
      </c>
      <c r="V243" s="114">
        <v>63.34</v>
      </c>
      <c r="W243" s="114">
        <v>7.28</v>
      </c>
      <c r="X243" s="114">
        <f>ROUND(0.7*Table1[[#This Row],[E&amp;D Rate per unit]]*R243*Table1[[#This Row],[Quantity]],2)</f>
        <v>110.85</v>
      </c>
      <c r="Y243" s="114">
        <f t="shared" si="31"/>
        <v>54.6</v>
      </c>
      <c r="Z243" s="114">
        <f>ROUND(0.3*T243*Table1[[#This Row],[E&amp;D Rate per unit]]*Table1[[#This Row],[Quantity]],2)</f>
        <v>47.51</v>
      </c>
      <c r="AA243" s="112">
        <v>1</v>
      </c>
      <c r="AB243" s="21">
        <f>ROUND(X243+Z243+Y243,2)*Table1[[#This Row],[Until WA Approved Only Approved this %]]</f>
        <v>212.96</v>
      </c>
      <c r="AC243" s="136">
        <v>139.44999999999999</v>
      </c>
      <c r="AD243" s="136">
        <f>Table1[[#This Row],[Total Amount]]-Table1[[#This Row],[Previous Amount]]</f>
        <v>73.510000000000019</v>
      </c>
      <c r="AE243" s="115"/>
      <c r="AG243" s="174">
        <v>212.96</v>
      </c>
      <c r="AH243" s="178">
        <f>AG243-Table1[[#This Row],[Total Amount]]</f>
        <v>0</v>
      </c>
      <c r="AI243" s="171">
        <f t="shared" si="29"/>
        <v>0</v>
      </c>
    </row>
    <row r="244" spans="1:35" ht="30" customHeight="1" x14ac:dyDescent="0.3">
      <c r="A244" s="91" t="s">
        <v>91</v>
      </c>
      <c r="B244" s="91" t="s">
        <v>99</v>
      </c>
      <c r="C244" s="109" t="s">
        <v>376</v>
      </c>
      <c r="D244" s="109">
        <v>77591</v>
      </c>
      <c r="E244" s="109">
        <v>80552</v>
      </c>
      <c r="F244" s="110" t="s">
        <v>373</v>
      </c>
      <c r="G244" s="17" t="s">
        <v>228</v>
      </c>
      <c r="H244" s="109" t="s">
        <v>222</v>
      </c>
      <c r="I244" s="109">
        <v>1</v>
      </c>
      <c r="J244" s="109">
        <v>2</v>
      </c>
      <c r="K244" s="109">
        <v>1</v>
      </c>
      <c r="L244" s="109">
        <v>3</v>
      </c>
      <c r="M244" s="109">
        <v>1</v>
      </c>
      <c r="N244" s="111" t="s">
        <v>223</v>
      </c>
      <c r="O244" s="111">
        <f t="shared" si="30"/>
        <v>3</v>
      </c>
      <c r="P244" s="18">
        <v>44880</v>
      </c>
      <c r="Q244" s="160">
        <v>44900</v>
      </c>
      <c r="R244" s="112">
        <v>1</v>
      </c>
      <c r="S244" s="112">
        <v>1</v>
      </c>
      <c r="T244" s="112">
        <v>1</v>
      </c>
      <c r="U244" s="113">
        <f>IF(ISBLANK(Table1[[#This Row],[OHC Date]]),$B$7-Table1[[#This Row],[HOC Date]]+1,Table1[[#This Row],[OHC Date]]-Table1[[#This Row],[HOC Date]]+1)/7</f>
        <v>3</v>
      </c>
      <c r="V244" s="114">
        <v>63.34</v>
      </c>
      <c r="W244" s="114">
        <v>7.28</v>
      </c>
      <c r="X244" s="114">
        <f>ROUND(0.7*Table1[[#This Row],[E&amp;D Rate per unit]]*R244*Table1[[#This Row],[Quantity]],2)</f>
        <v>133.01</v>
      </c>
      <c r="Y244" s="114">
        <f t="shared" si="31"/>
        <v>65.52</v>
      </c>
      <c r="Z244" s="114">
        <f>ROUND(0.3*T244*Table1[[#This Row],[E&amp;D Rate per unit]]*Table1[[#This Row],[Quantity]],2)</f>
        <v>57.01</v>
      </c>
      <c r="AA244" s="112">
        <v>1</v>
      </c>
      <c r="AB244" s="21">
        <f>ROUND(X244+Z244+Y244,2)*Table1[[#This Row],[Until WA Approved Only Approved this %]]</f>
        <v>255.54</v>
      </c>
      <c r="AC244" s="136">
        <v>167.33</v>
      </c>
      <c r="AD244" s="136">
        <f>Table1[[#This Row],[Total Amount]]-Table1[[#This Row],[Previous Amount]]</f>
        <v>88.20999999999998</v>
      </c>
      <c r="AE244" s="115"/>
      <c r="AG244" s="174">
        <v>260.93</v>
      </c>
      <c r="AH244" s="178">
        <f>AG244-Table1[[#This Row],[Total Amount]]</f>
        <v>5.3900000000000148</v>
      </c>
      <c r="AI244" s="171">
        <f t="shared" si="29"/>
        <v>2.0656881155865614E-2</v>
      </c>
    </row>
    <row r="245" spans="1:35" ht="30" customHeight="1" x14ac:dyDescent="0.3">
      <c r="A245" s="91" t="s">
        <v>91</v>
      </c>
      <c r="B245" s="91" t="s">
        <v>99</v>
      </c>
      <c r="C245" s="109">
        <v>80</v>
      </c>
      <c r="D245" s="109">
        <v>77592</v>
      </c>
      <c r="E245" s="109">
        <v>80550</v>
      </c>
      <c r="F245" s="110" t="s">
        <v>373</v>
      </c>
      <c r="G245" s="17" t="s">
        <v>228</v>
      </c>
      <c r="H245" s="109" t="s">
        <v>222</v>
      </c>
      <c r="I245" s="109">
        <v>1</v>
      </c>
      <c r="J245" s="109">
        <v>2.5</v>
      </c>
      <c r="K245" s="109">
        <v>1.8</v>
      </c>
      <c r="L245" s="109">
        <v>3.7</v>
      </c>
      <c r="M245" s="109">
        <v>1</v>
      </c>
      <c r="N245" s="111" t="s">
        <v>223</v>
      </c>
      <c r="O245" s="111">
        <f t="shared" si="30"/>
        <v>3.7</v>
      </c>
      <c r="P245" s="18">
        <v>44880</v>
      </c>
      <c r="Q245" s="125">
        <v>44900</v>
      </c>
      <c r="R245" s="112">
        <v>1</v>
      </c>
      <c r="S245" s="112">
        <v>1</v>
      </c>
      <c r="T245" s="112">
        <v>1</v>
      </c>
      <c r="U245" s="113">
        <f>IF(ISBLANK(Table1[[#This Row],[OHC Date]]),$B$7-Table1[[#This Row],[HOC Date]]+1,Table1[[#This Row],[OHC Date]]-Table1[[#This Row],[HOC Date]]+1)/7</f>
        <v>3</v>
      </c>
      <c r="V245" s="114">
        <v>63.34</v>
      </c>
      <c r="W245" s="114">
        <v>7.28</v>
      </c>
      <c r="X245" s="114">
        <f>ROUND(0.7*Table1[[#This Row],[E&amp;D Rate per unit]]*R245*Table1[[#This Row],[Quantity]],2)</f>
        <v>164.05</v>
      </c>
      <c r="Y245" s="114">
        <f t="shared" si="31"/>
        <v>80.81</v>
      </c>
      <c r="Z245" s="114">
        <f>ROUND(0.3*T245*Table1[[#This Row],[E&amp;D Rate per unit]]*Table1[[#This Row],[Quantity]],2)</f>
        <v>70.31</v>
      </c>
      <c r="AA245" s="112">
        <v>1</v>
      </c>
      <c r="AB245" s="21">
        <f>ROUND(X245+Z245+Y245,2)*Table1[[#This Row],[Until WA Approved Only Approved this %]]</f>
        <v>315.17</v>
      </c>
      <c r="AC245" s="136">
        <v>206.38</v>
      </c>
      <c r="AD245" s="136">
        <f>Table1[[#This Row],[Total Amount]]-Table1[[#This Row],[Previous Amount]]</f>
        <v>108.79000000000002</v>
      </c>
      <c r="AE245" s="115"/>
      <c r="AG245" s="174">
        <v>315.17</v>
      </c>
      <c r="AH245" s="178">
        <f>AG245-Table1[[#This Row],[Total Amount]]</f>
        <v>0</v>
      </c>
      <c r="AI245" s="171">
        <f t="shared" si="29"/>
        <v>0</v>
      </c>
    </row>
    <row r="246" spans="1:35" ht="30" customHeight="1" x14ac:dyDescent="0.3">
      <c r="A246" s="91" t="s">
        <v>91</v>
      </c>
      <c r="B246" s="91" t="s">
        <v>99</v>
      </c>
      <c r="C246" s="109">
        <v>81</v>
      </c>
      <c r="D246" s="109">
        <v>77593</v>
      </c>
      <c r="E246" s="109">
        <v>80543</v>
      </c>
      <c r="F246" s="110" t="s">
        <v>373</v>
      </c>
      <c r="G246" s="17" t="s">
        <v>228</v>
      </c>
      <c r="H246" s="109" t="s">
        <v>222</v>
      </c>
      <c r="I246" s="109">
        <v>1</v>
      </c>
      <c r="J246" s="109">
        <v>2.5</v>
      </c>
      <c r="K246" s="109">
        <v>1.3</v>
      </c>
      <c r="L246" s="109">
        <v>3.7</v>
      </c>
      <c r="M246" s="109">
        <v>1</v>
      </c>
      <c r="N246" s="111" t="s">
        <v>223</v>
      </c>
      <c r="O246" s="111">
        <f t="shared" si="30"/>
        <v>3.7</v>
      </c>
      <c r="P246" s="18">
        <v>44880</v>
      </c>
      <c r="Q246" s="125">
        <v>44894</v>
      </c>
      <c r="R246" s="112">
        <v>1</v>
      </c>
      <c r="S246" s="112">
        <v>1</v>
      </c>
      <c r="T246" s="112">
        <v>1</v>
      </c>
      <c r="U246" s="113">
        <f>IF(ISBLANK(Table1[[#This Row],[OHC Date]]),$B$7-Table1[[#This Row],[HOC Date]]+1,Table1[[#This Row],[OHC Date]]-Table1[[#This Row],[HOC Date]]+1)/7</f>
        <v>2.1428571428571428</v>
      </c>
      <c r="V246" s="114">
        <v>63.34</v>
      </c>
      <c r="W246" s="114">
        <v>7.28</v>
      </c>
      <c r="X246" s="114">
        <f>ROUND(0.7*Table1[[#This Row],[E&amp;D Rate per unit]]*R246*Table1[[#This Row],[Quantity]],2)</f>
        <v>164.05</v>
      </c>
      <c r="Y246" s="114">
        <f t="shared" si="31"/>
        <v>57.72</v>
      </c>
      <c r="Z246" s="114">
        <f>ROUND(0.3*T246*Table1[[#This Row],[E&amp;D Rate per unit]]*Table1[[#This Row],[Quantity]],2)</f>
        <v>70.31</v>
      </c>
      <c r="AA246" s="112">
        <v>1</v>
      </c>
      <c r="AB246" s="21">
        <f>ROUND(X246+Z246+Y246,2)*Table1[[#This Row],[Until WA Approved Only Approved this %]]</f>
        <v>292.08</v>
      </c>
      <c r="AC246" s="136">
        <v>206.38</v>
      </c>
      <c r="AD246" s="136">
        <f>Table1[[#This Row],[Total Amount]]-Table1[[#This Row],[Previous Amount]]</f>
        <v>85.699999999999989</v>
      </c>
      <c r="AE246" s="115"/>
      <c r="AG246" s="174">
        <v>292.08</v>
      </c>
      <c r="AH246" s="178">
        <f>AG246-Table1[[#This Row],[Total Amount]]</f>
        <v>0</v>
      </c>
      <c r="AI246" s="171">
        <f t="shared" si="29"/>
        <v>0</v>
      </c>
    </row>
    <row r="247" spans="1:35" ht="30" customHeight="1" x14ac:dyDescent="0.3">
      <c r="A247" s="91" t="s">
        <v>91</v>
      </c>
      <c r="B247" s="91" t="s">
        <v>99</v>
      </c>
      <c r="C247" s="109">
        <v>81</v>
      </c>
      <c r="D247" s="109">
        <v>77593</v>
      </c>
      <c r="E247" s="109">
        <v>80543</v>
      </c>
      <c r="F247" s="110" t="s">
        <v>373</v>
      </c>
      <c r="G247" s="17" t="s">
        <v>228</v>
      </c>
      <c r="H247" s="109" t="s">
        <v>178</v>
      </c>
      <c r="I247" s="109">
        <v>1</v>
      </c>
      <c r="J247" s="109">
        <v>2.5</v>
      </c>
      <c r="K247" s="109">
        <v>1.3</v>
      </c>
      <c r="L247" s="109">
        <v>1</v>
      </c>
      <c r="M247" s="109">
        <v>1</v>
      </c>
      <c r="N247" s="111" t="s">
        <v>162</v>
      </c>
      <c r="O247" s="111">
        <f t="shared" si="30"/>
        <v>3.25</v>
      </c>
      <c r="P247" s="18">
        <v>44880</v>
      </c>
      <c r="Q247" s="125">
        <v>44894</v>
      </c>
      <c r="R247" s="112">
        <v>1</v>
      </c>
      <c r="S247" s="112">
        <v>1</v>
      </c>
      <c r="T247" s="112">
        <v>1</v>
      </c>
      <c r="U247" s="113">
        <f>IF(ISBLANK(Table1[[#This Row],[OHC Date]]),$B$7-Table1[[#This Row],[HOC Date]]+1,Table1[[#This Row],[OHC Date]]-Table1[[#This Row],[HOC Date]]+1)/7</f>
        <v>2.1428571428571428</v>
      </c>
      <c r="V247" s="114">
        <v>6.63</v>
      </c>
      <c r="W247" s="114">
        <v>0.7</v>
      </c>
      <c r="X247" s="114">
        <f>ROUND(0.7*Table1[[#This Row],[E&amp;D Rate per unit]]*R247*Table1[[#This Row],[Quantity]],2)</f>
        <v>15.08</v>
      </c>
      <c r="Y247" s="114">
        <f t="shared" si="31"/>
        <v>4.88</v>
      </c>
      <c r="Z247" s="114">
        <f>ROUND(0.3*T247*Table1[[#This Row],[E&amp;D Rate per unit]]*Table1[[#This Row],[Quantity]],2)</f>
        <v>6.46</v>
      </c>
      <c r="AA247" s="112">
        <v>1</v>
      </c>
      <c r="AB247" s="21">
        <f>ROUND(X247+Z247+Y247,2)*Table1[[#This Row],[Until WA Approved Only Approved this %]]</f>
        <v>26.42</v>
      </c>
      <c r="AC247" s="136">
        <v>18.66</v>
      </c>
      <c r="AD247" s="136">
        <f>Table1[[#This Row],[Total Amount]]-Table1[[#This Row],[Previous Amount]]</f>
        <v>7.7600000000000016</v>
      </c>
      <c r="AE247" s="115"/>
      <c r="AG247" s="174">
        <v>26.42</v>
      </c>
      <c r="AH247" s="178">
        <f>AG247-Table1[[#This Row],[Total Amount]]</f>
        <v>0</v>
      </c>
      <c r="AI247" s="171">
        <f t="shared" si="29"/>
        <v>0</v>
      </c>
    </row>
    <row r="248" spans="1:35" ht="30" customHeight="1" x14ac:dyDescent="0.3">
      <c r="A248" s="91" t="s">
        <v>91</v>
      </c>
      <c r="B248" s="91" t="s">
        <v>99</v>
      </c>
      <c r="C248" s="109">
        <v>82</v>
      </c>
      <c r="D248" s="109">
        <v>77594</v>
      </c>
      <c r="E248" s="109">
        <v>80544</v>
      </c>
      <c r="F248" s="110" t="s">
        <v>373</v>
      </c>
      <c r="G248" s="17" t="s">
        <v>228</v>
      </c>
      <c r="H248" s="109" t="s">
        <v>222</v>
      </c>
      <c r="I248" s="109">
        <v>1</v>
      </c>
      <c r="J248" s="109">
        <v>2.5</v>
      </c>
      <c r="K248" s="109">
        <v>1.3</v>
      </c>
      <c r="L248" s="109">
        <v>3</v>
      </c>
      <c r="M248" s="109">
        <v>1</v>
      </c>
      <c r="N248" s="111" t="s">
        <v>223</v>
      </c>
      <c r="O248" s="111">
        <f t="shared" si="30"/>
        <v>3</v>
      </c>
      <c r="P248" s="18">
        <v>44880</v>
      </c>
      <c r="Q248" s="125">
        <v>44894</v>
      </c>
      <c r="R248" s="112">
        <v>1</v>
      </c>
      <c r="S248" s="112">
        <v>1</v>
      </c>
      <c r="T248" s="112">
        <v>1</v>
      </c>
      <c r="U248" s="113">
        <f>IF(ISBLANK(Table1[[#This Row],[OHC Date]]),$B$7-Table1[[#This Row],[HOC Date]]+1,Table1[[#This Row],[OHC Date]]-Table1[[#This Row],[HOC Date]]+1)/7</f>
        <v>2.1428571428571428</v>
      </c>
      <c r="V248" s="114">
        <v>63.34</v>
      </c>
      <c r="W248" s="114">
        <v>7.28</v>
      </c>
      <c r="X248" s="114">
        <f>ROUND(0.7*Table1[[#This Row],[E&amp;D Rate per unit]]*R248*Table1[[#This Row],[Quantity]],2)</f>
        <v>133.01</v>
      </c>
      <c r="Y248" s="114">
        <f t="shared" si="31"/>
        <v>46.8</v>
      </c>
      <c r="Z248" s="114">
        <f>ROUND(0.3*T248*Table1[[#This Row],[E&amp;D Rate per unit]]*Table1[[#This Row],[Quantity]],2)</f>
        <v>57.01</v>
      </c>
      <c r="AA248" s="112">
        <v>1</v>
      </c>
      <c r="AB248" s="21">
        <f>ROUND(X248+Z248+Y248,2)*Table1[[#This Row],[Until WA Approved Only Approved this %]]</f>
        <v>236.82</v>
      </c>
      <c r="AC248" s="136">
        <v>167.33</v>
      </c>
      <c r="AD248" s="136">
        <f>Table1[[#This Row],[Total Amount]]-Table1[[#This Row],[Previous Amount]]</f>
        <v>69.489999999999981</v>
      </c>
      <c r="AE248" s="115"/>
      <c r="AG248" s="174">
        <v>236.82</v>
      </c>
      <c r="AH248" s="178">
        <f>AG248-Table1[[#This Row],[Total Amount]]</f>
        <v>0</v>
      </c>
      <c r="AI248" s="171">
        <f t="shared" si="29"/>
        <v>0</v>
      </c>
    </row>
    <row r="249" spans="1:35" ht="30" customHeight="1" x14ac:dyDescent="0.3">
      <c r="A249" s="91" t="s">
        <v>91</v>
      </c>
      <c r="B249" s="91" t="s">
        <v>99</v>
      </c>
      <c r="C249" s="109">
        <v>83</v>
      </c>
      <c r="D249" s="109">
        <v>77595</v>
      </c>
      <c r="E249" s="109">
        <v>80547</v>
      </c>
      <c r="F249" s="110" t="s">
        <v>373</v>
      </c>
      <c r="G249" s="17" t="s">
        <v>228</v>
      </c>
      <c r="H249" s="109" t="s">
        <v>222</v>
      </c>
      <c r="I249" s="109">
        <v>1</v>
      </c>
      <c r="J249" s="109">
        <v>2.5</v>
      </c>
      <c r="K249" s="109">
        <v>1.3</v>
      </c>
      <c r="L249" s="109">
        <v>3.5</v>
      </c>
      <c r="M249" s="109">
        <v>1</v>
      </c>
      <c r="N249" s="111" t="s">
        <v>223</v>
      </c>
      <c r="O249" s="111">
        <f t="shared" si="30"/>
        <v>3.5</v>
      </c>
      <c r="P249" s="18">
        <v>44880</v>
      </c>
      <c r="Q249" s="125">
        <v>44894</v>
      </c>
      <c r="R249" s="112">
        <v>1</v>
      </c>
      <c r="S249" s="112">
        <v>1</v>
      </c>
      <c r="T249" s="112">
        <v>1</v>
      </c>
      <c r="U249" s="113">
        <f>IF(ISBLANK(Table1[[#This Row],[OHC Date]]),$B$7-Table1[[#This Row],[HOC Date]]+1,Table1[[#This Row],[OHC Date]]-Table1[[#This Row],[HOC Date]]+1)/7</f>
        <v>2.1428571428571428</v>
      </c>
      <c r="V249" s="114">
        <v>63.34</v>
      </c>
      <c r="W249" s="114">
        <v>7.28</v>
      </c>
      <c r="X249" s="114">
        <f>ROUND(0.7*Table1[[#This Row],[E&amp;D Rate per unit]]*R249*Table1[[#This Row],[Quantity]],2)</f>
        <v>155.18</v>
      </c>
      <c r="Y249" s="114">
        <f t="shared" si="31"/>
        <v>54.6</v>
      </c>
      <c r="Z249" s="114">
        <f>ROUND(0.3*T249*Table1[[#This Row],[E&amp;D Rate per unit]]*Table1[[#This Row],[Quantity]],2)</f>
        <v>66.510000000000005</v>
      </c>
      <c r="AA249" s="112">
        <v>1</v>
      </c>
      <c r="AB249" s="21">
        <f>ROUND(X249+Z249+Y249,2)*Table1[[#This Row],[Until WA Approved Only Approved this %]]</f>
        <v>276.29000000000002</v>
      </c>
      <c r="AC249" s="136">
        <v>195.22</v>
      </c>
      <c r="AD249" s="136">
        <f>Table1[[#This Row],[Total Amount]]-Table1[[#This Row],[Previous Amount]]</f>
        <v>81.070000000000022</v>
      </c>
      <c r="AE249" s="115"/>
      <c r="AG249" s="174">
        <v>276.29000000000002</v>
      </c>
      <c r="AH249" s="178">
        <f>AG249-Table1[[#This Row],[Total Amount]]</f>
        <v>0</v>
      </c>
      <c r="AI249" s="171">
        <f t="shared" si="29"/>
        <v>0</v>
      </c>
    </row>
    <row r="250" spans="1:35" ht="30" customHeight="1" x14ac:dyDescent="0.3">
      <c r="A250" s="91" t="s">
        <v>91</v>
      </c>
      <c r="B250" s="91" t="s">
        <v>99</v>
      </c>
      <c r="C250" s="109" t="s">
        <v>377</v>
      </c>
      <c r="D250" s="109">
        <v>77502</v>
      </c>
      <c r="E250" s="109">
        <v>80537</v>
      </c>
      <c r="F250" s="110" t="s">
        <v>378</v>
      </c>
      <c r="G250" s="17" t="s">
        <v>192</v>
      </c>
      <c r="H250" s="109" t="s">
        <v>128</v>
      </c>
      <c r="I250" s="109">
        <v>1</v>
      </c>
      <c r="J250" s="109">
        <v>4.5</v>
      </c>
      <c r="K250" s="109">
        <v>0.5</v>
      </c>
      <c r="L250" s="109">
        <v>1</v>
      </c>
      <c r="M250" s="109">
        <v>1</v>
      </c>
      <c r="N250" s="111" t="s">
        <v>162</v>
      </c>
      <c r="O250" s="111">
        <f t="shared" si="30"/>
        <v>2.25</v>
      </c>
      <c r="P250" s="18">
        <v>44879</v>
      </c>
      <c r="Q250" s="125">
        <v>44893</v>
      </c>
      <c r="R250" s="112">
        <v>1</v>
      </c>
      <c r="S250" s="112">
        <v>1</v>
      </c>
      <c r="T250" s="112">
        <v>1</v>
      </c>
      <c r="U250" s="113">
        <f>IF(ISBLANK(Table1[[#This Row],[OHC Date]]),$B$7-Table1[[#This Row],[HOC Date]]+1,Table1[[#This Row],[OHC Date]]-Table1[[#This Row],[HOC Date]]+1)/7</f>
        <v>2.1428571428571428</v>
      </c>
      <c r="V250" s="114">
        <v>32.75</v>
      </c>
      <c r="W250" s="114">
        <v>1.05</v>
      </c>
      <c r="X250" s="114">
        <f>ROUND(0.7*Table1[[#This Row],[E&amp;D Rate per unit]]*R250*Table1[[#This Row],[Quantity]],2)</f>
        <v>51.58</v>
      </c>
      <c r="Y250" s="114">
        <f t="shared" si="31"/>
        <v>5.0599999999999996</v>
      </c>
      <c r="Z250" s="114">
        <f>ROUND(0.3*T250*Table1[[#This Row],[E&amp;D Rate per unit]]*Table1[[#This Row],[Quantity]],2)</f>
        <v>22.11</v>
      </c>
      <c r="AA250" s="112">
        <v>1</v>
      </c>
      <c r="AB250" s="21">
        <f>ROUND(X250+Z250+Y250,2)*Table1[[#This Row],[Until WA Approved Only Approved this %]]</f>
        <v>78.75</v>
      </c>
      <c r="AC250" s="136">
        <v>55.63</v>
      </c>
      <c r="AD250" s="136">
        <f>Table1[[#This Row],[Total Amount]]-Table1[[#This Row],[Previous Amount]]</f>
        <v>23.119999999999997</v>
      </c>
      <c r="AE250" s="115"/>
      <c r="AG250" s="174">
        <v>78.75</v>
      </c>
      <c r="AH250" s="178">
        <f>AG250-Table1[[#This Row],[Total Amount]]</f>
        <v>0</v>
      </c>
      <c r="AI250" s="171">
        <f t="shared" si="29"/>
        <v>0</v>
      </c>
    </row>
    <row r="251" spans="1:35" ht="30" customHeight="1" x14ac:dyDescent="0.3">
      <c r="A251" s="91" t="s">
        <v>91</v>
      </c>
      <c r="B251" s="91" t="s">
        <v>99</v>
      </c>
      <c r="C251" s="109">
        <v>84</v>
      </c>
      <c r="D251" s="109">
        <v>77505</v>
      </c>
      <c r="E251" s="109"/>
      <c r="F251" s="110" t="s">
        <v>379</v>
      </c>
      <c r="G251" s="17" t="s">
        <v>202</v>
      </c>
      <c r="H251" s="109" t="s">
        <v>115</v>
      </c>
      <c r="I251" s="109">
        <v>1</v>
      </c>
      <c r="J251" s="109">
        <v>2.5</v>
      </c>
      <c r="K251" s="109">
        <v>1.8</v>
      </c>
      <c r="L251" s="109">
        <v>3.7</v>
      </c>
      <c r="M251" s="109">
        <v>1</v>
      </c>
      <c r="N251" s="111" t="s">
        <v>223</v>
      </c>
      <c r="O251" s="111">
        <f t="shared" si="30"/>
        <v>3.7</v>
      </c>
      <c r="P251" s="18">
        <v>44881</v>
      </c>
      <c r="Q251" s="125"/>
      <c r="R251" s="112">
        <v>1</v>
      </c>
      <c r="S251" s="112">
        <v>1</v>
      </c>
      <c r="T251" s="112">
        <v>0</v>
      </c>
      <c r="U251" s="113">
        <f>IF(ISBLANK(Table1[[#This Row],[OHC Date]]),$B$7-Table1[[#This Row],[HOC Date]]+1,Table1[[#This Row],[OHC Date]]-Table1[[#This Row],[HOC Date]]+1)/7</f>
        <v>5.7142857142857144</v>
      </c>
      <c r="V251" s="114">
        <v>103.33</v>
      </c>
      <c r="W251" s="114">
        <v>10.29</v>
      </c>
      <c r="X251" s="114">
        <f>ROUND(0.7*Table1[[#This Row],[E&amp;D Rate per unit]]*R251*Table1[[#This Row],[Quantity]],2)</f>
        <v>267.62</v>
      </c>
      <c r="Y251" s="114">
        <f t="shared" si="31"/>
        <v>217.56</v>
      </c>
      <c r="Z251" s="114">
        <f>ROUND(0.3*T251*Table1[[#This Row],[E&amp;D Rate per unit]]*Table1[[#This Row],[Quantity]],2)</f>
        <v>0</v>
      </c>
      <c r="AA251" s="112">
        <v>1</v>
      </c>
      <c r="AB251" s="21">
        <f>ROUND(X251+Z251+Y251,2)*Table1[[#This Row],[Until WA Approved Only Approved this %]]</f>
        <v>485.18</v>
      </c>
      <c r="AC251" s="136">
        <v>322.01</v>
      </c>
      <c r="AD251" s="136">
        <f>Table1[[#This Row],[Total Amount]]-Table1[[#This Row],[Previous Amount]]</f>
        <v>163.17000000000002</v>
      </c>
      <c r="AE251" s="115"/>
      <c r="AG251" s="174">
        <v>485.18</v>
      </c>
      <c r="AH251" s="178">
        <f>AG251-Table1[[#This Row],[Total Amount]]</f>
        <v>0</v>
      </c>
      <c r="AI251" s="171">
        <f t="shared" si="29"/>
        <v>0</v>
      </c>
    </row>
    <row r="252" spans="1:35" ht="30" customHeight="1" x14ac:dyDescent="0.3">
      <c r="A252" s="91" t="s">
        <v>91</v>
      </c>
      <c r="B252" s="91" t="s">
        <v>99</v>
      </c>
      <c r="C252" s="109">
        <v>85</v>
      </c>
      <c r="D252" s="109">
        <v>77506</v>
      </c>
      <c r="E252" s="109">
        <v>80560</v>
      </c>
      <c r="F252" s="110" t="s">
        <v>380</v>
      </c>
      <c r="G252" s="17" t="s">
        <v>228</v>
      </c>
      <c r="H252" s="109" t="s">
        <v>207</v>
      </c>
      <c r="I252" s="109">
        <v>1</v>
      </c>
      <c r="J252" s="109">
        <v>6.3</v>
      </c>
      <c r="K252" s="109">
        <v>1.3</v>
      </c>
      <c r="L252" s="109">
        <v>2</v>
      </c>
      <c r="M252" s="109">
        <v>1</v>
      </c>
      <c r="N252" s="111" t="s">
        <v>208</v>
      </c>
      <c r="O252" s="111">
        <f t="shared" si="30"/>
        <v>12.6</v>
      </c>
      <c r="P252" s="18">
        <v>44881</v>
      </c>
      <c r="Q252" s="125">
        <v>44905</v>
      </c>
      <c r="R252" s="112">
        <v>1</v>
      </c>
      <c r="S252" s="112">
        <v>1</v>
      </c>
      <c r="T252" s="112">
        <v>1</v>
      </c>
      <c r="U252" s="113">
        <f>IF(ISBLANK(Table1[[#This Row],[OHC Date]]),$B$7-Table1[[#This Row],[HOC Date]]+1,Table1[[#This Row],[OHC Date]]-Table1[[#This Row],[HOC Date]]+1)/7</f>
        <v>3.5714285714285716</v>
      </c>
      <c r="V252" s="114">
        <v>12.01</v>
      </c>
      <c r="W252" s="114">
        <v>0.49</v>
      </c>
      <c r="X252" s="114">
        <f>ROUND(0.7*Table1[[#This Row],[E&amp;D Rate per unit]]*R252*Table1[[#This Row],[Quantity]],2)</f>
        <v>105.93</v>
      </c>
      <c r="Y252" s="114">
        <f t="shared" si="31"/>
        <v>22.05</v>
      </c>
      <c r="Z252" s="114">
        <f>ROUND(0.3*T252*Table1[[#This Row],[E&amp;D Rate per unit]]*Table1[[#This Row],[Quantity]],2)</f>
        <v>45.4</v>
      </c>
      <c r="AA252" s="112">
        <v>1</v>
      </c>
      <c r="AB252" s="21">
        <f>ROUND(X252+Z252+Y252,2)*Table1[[#This Row],[Until WA Approved Only Approved this %]]</f>
        <v>173.38</v>
      </c>
      <c r="AC252" s="136">
        <v>114.75</v>
      </c>
      <c r="AD252" s="136">
        <f>Table1[[#This Row],[Total Amount]]-Table1[[#This Row],[Previous Amount]]</f>
        <v>58.629999999999995</v>
      </c>
      <c r="AE252" s="115"/>
      <c r="AG252" s="174">
        <v>173.38</v>
      </c>
      <c r="AH252" s="178">
        <f>AG252-Table1[[#This Row],[Total Amount]]</f>
        <v>0</v>
      </c>
      <c r="AI252" s="171">
        <f t="shared" si="29"/>
        <v>0</v>
      </c>
    </row>
    <row r="253" spans="1:35" ht="30" customHeight="1" x14ac:dyDescent="0.3">
      <c r="A253" s="91" t="s">
        <v>91</v>
      </c>
      <c r="B253" s="91" t="s">
        <v>99</v>
      </c>
      <c r="C253" s="109">
        <v>86</v>
      </c>
      <c r="D253" s="109">
        <v>77507</v>
      </c>
      <c r="E253" s="109">
        <v>80531</v>
      </c>
      <c r="F253" s="110" t="s">
        <v>375</v>
      </c>
      <c r="G253" s="17" t="s">
        <v>225</v>
      </c>
      <c r="H253" s="109" t="s">
        <v>222</v>
      </c>
      <c r="I253" s="109">
        <v>1</v>
      </c>
      <c r="J253" s="109">
        <v>1.3</v>
      </c>
      <c r="K253" s="109">
        <v>0.9</v>
      </c>
      <c r="L253" s="109">
        <v>2</v>
      </c>
      <c r="M253" s="109">
        <v>1</v>
      </c>
      <c r="N253" s="111" t="s">
        <v>223</v>
      </c>
      <c r="O253" s="111">
        <f t="shared" si="30"/>
        <v>2</v>
      </c>
      <c r="P253" s="18">
        <v>44881</v>
      </c>
      <c r="Q253" s="125">
        <v>44884</v>
      </c>
      <c r="R253" s="112">
        <v>1</v>
      </c>
      <c r="S253" s="112">
        <v>1</v>
      </c>
      <c r="T253" s="112">
        <v>1</v>
      </c>
      <c r="U253" s="113">
        <f>IF(ISBLANK(Table1[[#This Row],[OHC Date]]),$B$7-Table1[[#This Row],[HOC Date]]+1,Table1[[#This Row],[OHC Date]]-Table1[[#This Row],[HOC Date]]+1)/7</f>
        <v>0.5714285714285714</v>
      </c>
      <c r="V253" s="114">
        <v>63.34</v>
      </c>
      <c r="W253" s="114">
        <v>7.28</v>
      </c>
      <c r="X253" s="114">
        <f>ROUND(0.7*Table1[[#This Row],[E&amp;D Rate per unit]]*R253*Table1[[#This Row],[Quantity]],2)</f>
        <v>88.68</v>
      </c>
      <c r="Y253" s="114">
        <f t="shared" si="31"/>
        <v>8.32</v>
      </c>
      <c r="Z253" s="114">
        <f>ROUND(0.3*T253*Table1[[#This Row],[E&amp;D Rate per unit]]*Table1[[#This Row],[Quantity]],2)</f>
        <v>38</v>
      </c>
      <c r="AA253" s="112">
        <v>1</v>
      </c>
      <c r="AB253" s="21">
        <f>ROUND(X253+Z253+Y253,2)*Table1[[#This Row],[Until WA Approved Only Approved this %]]</f>
        <v>135</v>
      </c>
      <c r="AC253" s="136">
        <v>135</v>
      </c>
      <c r="AD253" s="136">
        <f>Table1[[#This Row],[Total Amount]]-Table1[[#This Row],[Previous Amount]]</f>
        <v>0</v>
      </c>
      <c r="AE253" s="115"/>
      <c r="AG253" s="174">
        <v>135</v>
      </c>
      <c r="AH253" s="178">
        <f>AG253-Table1[[#This Row],[Total Amount]]</f>
        <v>0</v>
      </c>
      <c r="AI253" s="171">
        <f t="shared" si="29"/>
        <v>0</v>
      </c>
    </row>
    <row r="254" spans="1:35" ht="30" customHeight="1" x14ac:dyDescent="0.3">
      <c r="A254" s="91" t="s">
        <v>91</v>
      </c>
      <c r="B254" s="91" t="s">
        <v>99</v>
      </c>
      <c r="C254" s="109">
        <v>87</v>
      </c>
      <c r="D254" s="109">
        <v>77508</v>
      </c>
      <c r="E254" s="109">
        <v>80572</v>
      </c>
      <c r="F254" s="110" t="s">
        <v>381</v>
      </c>
      <c r="G254" s="17" t="s">
        <v>202</v>
      </c>
      <c r="H254" s="109" t="s">
        <v>222</v>
      </c>
      <c r="I254" s="109">
        <v>1</v>
      </c>
      <c r="J254" s="109">
        <v>2.5</v>
      </c>
      <c r="K254" s="109">
        <v>1.3</v>
      </c>
      <c r="L254" s="109">
        <v>4</v>
      </c>
      <c r="M254" s="109">
        <v>1</v>
      </c>
      <c r="N254" s="111" t="s">
        <v>223</v>
      </c>
      <c r="O254" s="111">
        <f t="shared" si="30"/>
        <v>4</v>
      </c>
      <c r="P254" s="18">
        <v>44882</v>
      </c>
      <c r="Q254" s="125">
        <v>44908</v>
      </c>
      <c r="R254" s="112">
        <v>1</v>
      </c>
      <c r="S254" s="112">
        <v>1</v>
      </c>
      <c r="T254" s="112">
        <v>1</v>
      </c>
      <c r="U254" s="113">
        <f>IF(ISBLANK(Table1[[#This Row],[OHC Date]]),$B$7-Table1[[#This Row],[HOC Date]]+1,Table1[[#This Row],[OHC Date]]-Table1[[#This Row],[HOC Date]]+1)/7</f>
        <v>3.8571428571428572</v>
      </c>
      <c r="V254" s="114">
        <v>63.34</v>
      </c>
      <c r="W254" s="114">
        <v>7.28</v>
      </c>
      <c r="X254" s="114">
        <f>ROUND(0.7*Table1[[#This Row],[E&amp;D Rate per unit]]*R254*Table1[[#This Row],[Quantity]],2)</f>
        <v>177.35</v>
      </c>
      <c r="Y254" s="114">
        <f t="shared" si="31"/>
        <v>112.32</v>
      </c>
      <c r="Z254" s="114">
        <f>ROUND(0.3*T254*Table1[[#This Row],[E&amp;D Rate per unit]]*Table1[[#This Row],[Quantity]],2)</f>
        <v>76.010000000000005</v>
      </c>
      <c r="AA254" s="112">
        <v>1</v>
      </c>
      <c r="AB254" s="21">
        <f>ROUND(X254+Z254+Y254,2)*Table1[[#This Row],[Until WA Approved Only Approved this %]]</f>
        <v>365.68</v>
      </c>
      <c r="AC254" s="136">
        <v>214.79</v>
      </c>
      <c r="AD254" s="136">
        <f>Table1[[#This Row],[Total Amount]]-Table1[[#This Row],[Previous Amount]]</f>
        <v>150.89000000000001</v>
      </c>
      <c r="AE254" s="115"/>
      <c r="AG254" s="174">
        <v>365.68</v>
      </c>
      <c r="AH254" s="178">
        <f>AG254-Table1[[#This Row],[Total Amount]]</f>
        <v>0</v>
      </c>
      <c r="AI254" s="171">
        <f t="shared" si="29"/>
        <v>0</v>
      </c>
    </row>
    <row r="255" spans="1:35" ht="30" customHeight="1" x14ac:dyDescent="0.3">
      <c r="A255" s="91" t="s">
        <v>91</v>
      </c>
      <c r="B255" s="91" t="s">
        <v>99</v>
      </c>
      <c r="C255" s="109">
        <v>87</v>
      </c>
      <c r="D255" s="109">
        <v>77508</v>
      </c>
      <c r="E255" s="109">
        <v>80572</v>
      </c>
      <c r="F255" s="110" t="s">
        <v>381</v>
      </c>
      <c r="G255" s="17" t="s">
        <v>202</v>
      </c>
      <c r="H255" s="109" t="s">
        <v>178</v>
      </c>
      <c r="I255" s="109">
        <v>1</v>
      </c>
      <c r="J255" s="109">
        <v>2.5</v>
      </c>
      <c r="K255" s="109">
        <v>1.3</v>
      </c>
      <c r="L255" s="109">
        <v>1</v>
      </c>
      <c r="M255" s="109">
        <v>1</v>
      </c>
      <c r="N255" s="111" t="s">
        <v>162</v>
      </c>
      <c r="O255" s="111">
        <f t="shared" si="30"/>
        <v>3.25</v>
      </c>
      <c r="P255" s="18">
        <v>44882</v>
      </c>
      <c r="Q255" s="125">
        <v>44908</v>
      </c>
      <c r="R255" s="112">
        <v>1</v>
      </c>
      <c r="S255" s="112">
        <v>1</v>
      </c>
      <c r="T255" s="112">
        <v>1</v>
      </c>
      <c r="U255" s="113">
        <f>IF(ISBLANK(Table1[[#This Row],[OHC Date]]),$B$7-Table1[[#This Row],[HOC Date]]+1,Table1[[#This Row],[OHC Date]]-Table1[[#This Row],[HOC Date]]+1)/7</f>
        <v>3.8571428571428572</v>
      </c>
      <c r="V255" s="114">
        <v>6.63</v>
      </c>
      <c r="W255" s="114">
        <v>0.7</v>
      </c>
      <c r="X255" s="114">
        <f>ROUND(0.7*Table1[[#This Row],[E&amp;D Rate per unit]]*R255*Table1[[#This Row],[Quantity]],2)</f>
        <v>15.08</v>
      </c>
      <c r="Y255" s="114">
        <f t="shared" si="31"/>
        <v>8.7799999999999994</v>
      </c>
      <c r="Z255" s="114">
        <f>ROUND(0.3*T255*Table1[[#This Row],[E&amp;D Rate per unit]]*Table1[[#This Row],[Quantity]],2)</f>
        <v>6.46</v>
      </c>
      <c r="AA255" s="112">
        <v>1</v>
      </c>
      <c r="AB255" s="21">
        <f>ROUND(X255+Z255+Y255,2)*Table1[[#This Row],[Until WA Approved Only Approved this %]]</f>
        <v>30.32</v>
      </c>
      <c r="AC255" s="136">
        <v>18.010000000000002</v>
      </c>
      <c r="AD255" s="136">
        <f>Table1[[#This Row],[Total Amount]]-Table1[[#This Row],[Previous Amount]]</f>
        <v>12.309999999999999</v>
      </c>
      <c r="AE255" s="115"/>
      <c r="AG255" s="174">
        <v>30.32</v>
      </c>
      <c r="AH255" s="178">
        <f>AG255-Table1[[#This Row],[Total Amount]]</f>
        <v>0</v>
      </c>
      <c r="AI255" s="171">
        <f t="shared" si="29"/>
        <v>0</v>
      </c>
    </row>
    <row r="256" spans="1:35" ht="29.25" customHeight="1" x14ac:dyDescent="0.3">
      <c r="A256" s="91" t="s">
        <v>91</v>
      </c>
      <c r="B256" s="91" t="s">
        <v>99</v>
      </c>
      <c r="C256" s="109">
        <v>88</v>
      </c>
      <c r="D256" s="109">
        <v>77509</v>
      </c>
      <c r="E256" s="109"/>
      <c r="F256" s="110" t="s">
        <v>382</v>
      </c>
      <c r="G256" s="17" t="s">
        <v>202</v>
      </c>
      <c r="H256" s="109" t="s">
        <v>207</v>
      </c>
      <c r="I256" s="109">
        <v>1</v>
      </c>
      <c r="J256" s="109">
        <v>14.6</v>
      </c>
      <c r="K256" s="109">
        <v>1.3</v>
      </c>
      <c r="L256" s="109">
        <v>4</v>
      </c>
      <c r="M256" s="109">
        <v>1</v>
      </c>
      <c r="N256" s="111" t="s">
        <v>208</v>
      </c>
      <c r="O256" s="111">
        <f t="shared" si="30"/>
        <v>58.4</v>
      </c>
      <c r="P256" s="18">
        <v>44882</v>
      </c>
      <c r="Q256" s="125"/>
      <c r="R256" s="112">
        <v>1</v>
      </c>
      <c r="S256" s="112">
        <v>1</v>
      </c>
      <c r="T256" s="112">
        <v>0</v>
      </c>
      <c r="U256" s="113">
        <f>IF(ISBLANK(Table1[[#This Row],[OHC Date]]),$B$7-Table1[[#This Row],[HOC Date]]+1,Table1[[#This Row],[OHC Date]]-Table1[[#This Row],[HOC Date]]+1)/7</f>
        <v>5.5714285714285712</v>
      </c>
      <c r="V256" s="114">
        <v>12.01</v>
      </c>
      <c r="W256" s="114">
        <v>0.49</v>
      </c>
      <c r="X256" s="114">
        <f>ROUND(0.7*Table1[[#This Row],[E&amp;D Rate per unit]]*R256*Table1[[#This Row],[Quantity]],2)</f>
        <v>490.97</v>
      </c>
      <c r="Y256" s="114">
        <f t="shared" si="31"/>
        <v>159.43</v>
      </c>
      <c r="Z256" s="114">
        <f>ROUND(0.3*T256*Table1[[#This Row],[E&amp;D Rate per unit]]*Table1[[#This Row],[Quantity]],2)</f>
        <v>0</v>
      </c>
      <c r="AA256" s="112">
        <v>1</v>
      </c>
      <c r="AB256" s="21">
        <f>ROUND(X256+Z256+Y256,2)*Table1[[#This Row],[Until WA Approved Only Approved this %]]</f>
        <v>650.4</v>
      </c>
      <c r="AC256" s="136">
        <v>527.76</v>
      </c>
      <c r="AD256" s="136">
        <f>Table1[[#This Row],[Total Amount]]-Table1[[#This Row],[Previous Amount]]</f>
        <v>122.63999999999999</v>
      </c>
      <c r="AE256" s="115"/>
      <c r="AG256" s="174">
        <v>650.4</v>
      </c>
      <c r="AH256" s="178">
        <f>AG256-Table1[[#This Row],[Total Amount]]</f>
        <v>0</v>
      </c>
      <c r="AI256" s="171">
        <f t="shared" si="29"/>
        <v>0</v>
      </c>
    </row>
    <row r="257" spans="1:35" ht="29.25" customHeight="1" x14ac:dyDescent="0.3">
      <c r="A257" s="91" t="s">
        <v>91</v>
      </c>
      <c r="B257" s="91" t="s">
        <v>99</v>
      </c>
      <c r="C257" s="109">
        <v>88</v>
      </c>
      <c r="D257" s="109">
        <v>77509</v>
      </c>
      <c r="E257" s="109"/>
      <c r="F257" s="110" t="s">
        <v>382</v>
      </c>
      <c r="G257" s="17" t="s">
        <v>202</v>
      </c>
      <c r="H257" s="109" t="s">
        <v>178</v>
      </c>
      <c r="I257" s="109">
        <v>1</v>
      </c>
      <c r="J257" s="109">
        <v>14.6</v>
      </c>
      <c r="K257" s="109">
        <v>1.3</v>
      </c>
      <c r="L257" s="109">
        <v>1</v>
      </c>
      <c r="M257" s="109">
        <v>1</v>
      </c>
      <c r="N257" s="111" t="s">
        <v>162</v>
      </c>
      <c r="O257" s="111">
        <f t="shared" si="30"/>
        <v>18.98</v>
      </c>
      <c r="P257" s="18">
        <v>44882</v>
      </c>
      <c r="Q257" s="125"/>
      <c r="R257" s="112">
        <v>1</v>
      </c>
      <c r="S257" s="112">
        <v>1</v>
      </c>
      <c r="T257" s="112">
        <v>0</v>
      </c>
      <c r="U257" s="113">
        <f>IF(ISBLANK(Table1[[#This Row],[OHC Date]]),$B$7-Table1[[#This Row],[HOC Date]]+1,Table1[[#This Row],[OHC Date]]-Table1[[#This Row],[HOC Date]]+1)/7</f>
        <v>5.5714285714285712</v>
      </c>
      <c r="V257" s="114">
        <v>6.63</v>
      </c>
      <c r="W257" s="114">
        <v>0.7</v>
      </c>
      <c r="X257" s="114">
        <f>ROUND(0.7*Table1[[#This Row],[E&amp;D Rate per unit]]*R257*Table1[[#This Row],[Quantity]],2)</f>
        <v>88.09</v>
      </c>
      <c r="Y257" s="114">
        <f t="shared" si="31"/>
        <v>74.02</v>
      </c>
      <c r="Z257" s="114">
        <f>ROUND(0.3*T257*Table1[[#This Row],[E&amp;D Rate per unit]]*Table1[[#This Row],[Quantity]],2)</f>
        <v>0</v>
      </c>
      <c r="AA257" s="112">
        <v>1</v>
      </c>
      <c r="AB257" s="21">
        <f>ROUND(X257+Z257+Y257,2)*Table1[[#This Row],[Until WA Approved Only Approved this %]]</f>
        <v>162.11000000000001</v>
      </c>
      <c r="AC257" s="136">
        <v>105.17</v>
      </c>
      <c r="AD257" s="136">
        <f>Table1[[#This Row],[Total Amount]]-Table1[[#This Row],[Previous Amount]]</f>
        <v>56.940000000000012</v>
      </c>
      <c r="AE257" s="115"/>
      <c r="AG257" s="174">
        <v>162.11000000000001</v>
      </c>
      <c r="AH257" s="178">
        <f>AG257-Table1[[#This Row],[Total Amount]]</f>
        <v>0</v>
      </c>
      <c r="AI257" s="171">
        <f t="shared" si="29"/>
        <v>0</v>
      </c>
    </row>
    <row r="258" spans="1:35" ht="29.25" customHeight="1" x14ac:dyDescent="0.3">
      <c r="A258" s="91" t="s">
        <v>91</v>
      </c>
      <c r="B258" s="91" t="s">
        <v>99</v>
      </c>
      <c r="C258" s="109" t="s">
        <v>460</v>
      </c>
      <c r="D258" s="109">
        <v>77510</v>
      </c>
      <c r="E258" s="109"/>
      <c r="F258" s="110" t="s">
        <v>240</v>
      </c>
      <c r="G258" s="17" t="s">
        <v>192</v>
      </c>
      <c r="H258" s="109" t="s">
        <v>129</v>
      </c>
      <c r="I258" s="109">
        <v>1</v>
      </c>
      <c r="J258" s="109">
        <v>3.5</v>
      </c>
      <c r="K258" s="109">
        <v>1</v>
      </c>
      <c r="L258" s="109">
        <v>1</v>
      </c>
      <c r="M258" s="109">
        <v>1</v>
      </c>
      <c r="N258" s="111" t="s">
        <v>162</v>
      </c>
      <c r="O258" s="111">
        <f>ROUND(IF(N258="m3",I258*J258*K258*L258,IF(N258="m2-LxH",I258*J258*L258,IF(N258="m2-LxW",I258*J258*K258,IF(N258="rm",I258*L258,IF(N258="lm",I258*J258,IF(N258="unit",I258,"NA")))))),2)</f>
        <v>3.5</v>
      </c>
      <c r="P258" s="18">
        <v>44882</v>
      </c>
      <c r="Q258" s="125"/>
      <c r="R258" s="112">
        <v>1</v>
      </c>
      <c r="S258" s="112">
        <v>1</v>
      </c>
      <c r="T258" s="112">
        <v>0</v>
      </c>
      <c r="U258" s="113">
        <f>IF(ISBLANK(Table1[[#This Row],[OHC Date]]),$B$7-Table1[[#This Row],[HOC Date]]+1,Table1[[#This Row],[OHC Date]]-Table1[[#This Row],[HOC Date]]+1)/7</f>
        <v>5.5714285714285712</v>
      </c>
      <c r="V258" s="114">
        <v>36.520000000000003</v>
      </c>
      <c r="W258" s="114">
        <v>2.94</v>
      </c>
      <c r="X258" s="114">
        <f>ROUND(0.7*Table1[[#This Row],[E&amp;D Rate per unit]]*R258*Table1[[#This Row],[Quantity]],2)</f>
        <v>89.47</v>
      </c>
      <c r="Y258" s="114">
        <f>ROUND(O258*U258*W258*S258,2)</f>
        <v>57.33</v>
      </c>
      <c r="Z258" s="114">
        <f>ROUND(0.3*T258*Table1[[#This Row],[E&amp;D Rate per unit]]*Table1[[#This Row],[Quantity]],2)</f>
        <v>0</v>
      </c>
      <c r="AA258" s="112">
        <v>1</v>
      </c>
      <c r="AB258" s="21">
        <f>ROUND(X258+Z258+Y258,2)*Table1[[#This Row],[Until WA Approved Only Approved this %]]</f>
        <v>146.80000000000001</v>
      </c>
      <c r="AC258" s="136">
        <v>102.7</v>
      </c>
      <c r="AD258" s="136">
        <f>Table1[[#This Row],[Total Amount]]-Table1[[#This Row],[Previous Amount]]</f>
        <v>44.100000000000009</v>
      </c>
      <c r="AE258" s="115"/>
      <c r="AG258" s="174">
        <v>146.80000000000001</v>
      </c>
      <c r="AH258" s="178">
        <f>AG258-Table1[[#This Row],[Total Amount]]</f>
        <v>0</v>
      </c>
      <c r="AI258" s="171">
        <f t="shared" si="29"/>
        <v>0</v>
      </c>
    </row>
    <row r="259" spans="1:35" ht="30" customHeight="1" x14ac:dyDescent="0.3">
      <c r="A259" s="91" t="s">
        <v>91</v>
      </c>
      <c r="B259" s="91" t="s">
        <v>99</v>
      </c>
      <c r="C259" s="109">
        <v>89</v>
      </c>
      <c r="D259" s="109">
        <v>77511</v>
      </c>
      <c r="E259" s="109"/>
      <c r="F259" s="110" t="s">
        <v>382</v>
      </c>
      <c r="G259" s="17" t="s">
        <v>202</v>
      </c>
      <c r="H259" s="109" t="s">
        <v>120</v>
      </c>
      <c r="I259" s="109">
        <v>1</v>
      </c>
      <c r="J259" s="109">
        <v>5.8</v>
      </c>
      <c r="K259" s="109">
        <v>2.5</v>
      </c>
      <c r="L259" s="109">
        <v>4</v>
      </c>
      <c r="M259" s="109">
        <v>1</v>
      </c>
      <c r="N259" s="92" t="s">
        <v>208</v>
      </c>
      <c r="O259" s="92">
        <f t="shared" ref="O259" si="33">ROUND(IF(N259="m3",I259*J259*K259*L259,IF(N259="m2-LxH",I259*J259*L259,IF(N259="m2-LxW",I259*J259*K259,IF(N259="rm",I259*L259,IF(N259="lm",I259*J259,IF(N259="unit",I259,"NA")))))),2)</f>
        <v>23.2</v>
      </c>
      <c r="P259" s="18">
        <v>44883</v>
      </c>
      <c r="Q259" s="125"/>
      <c r="R259" s="112">
        <v>1</v>
      </c>
      <c r="S259" s="112">
        <v>1</v>
      </c>
      <c r="T259" s="112">
        <v>0</v>
      </c>
      <c r="U259" s="113">
        <f>IF(ISBLANK(Table1[[#This Row],[OHC Date]]),$B$7-Table1[[#This Row],[HOC Date]]+1,Table1[[#This Row],[OHC Date]]-Table1[[#This Row],[HOC Date]]+1)/7</f>
        <v>5.4285714285714288</v>
      </c>
      <c r="V259" s="114">
        <v>16.760000000000002</v>
      </c>
      <c r="W259" s="114">
        <v>0.77</v>
      </c>
      <c r="X259" s="114">
        <f>ROUND(0.7*Table1[[#This Row],[E&amp;D Rate per unit]]*R259*Table1[[#This Row],[Quantity]],2)</f>
        <v>272.18</v>
      </c>
      <c r="Y259" s="114">
        <f t="shared" si="31"/>
        <v>96.98</v>
      </c>
      <c r="Z259" s="114">
        <f>ROUND(0.3*T259*Table1[[#This Row],[E&amp;D Rate per unit]]*Table1[[#This Row],[Quantity]],2)</f>
        <v>0</v>
      </c>
      <c r="AA259" s="112">
        <v>1</v>
      </c>
      <c r="AB259" s="21">
        <f>ROUND(X259+Z259+Y259,2)*Table1[[#This Row],[Until WA Approved Only Approved this %]]</f>
        <v>369.16</v>
      </c>
      <c r="AC259" s="136">
        <v>292.60000000000002</v>
      </c>
      <c r="AD259" s="136">
        <f>Table1[[#This Row],[Total Amount]]-Table1[[#This Row],[Previous Amount]]</f>
        <v>76.56</v>
      </c>
      <c r="AE259" s="115"/>
      <c r="AG259" s="174">
        <v>369.16</v>
      </c>
      <c r="AH259" s="178">
        <f>AG259-Table1[[#This Row],[Total Amount]]</f>
        <v>0</v>
      </c>
      <c r="AI259" s="171">
        <f t="shared" si="29"/>
        <v>0</v>
      </c>
    </row>
    <row r="260" spans="1:35" ht="30" customHeight="1" x14ac:dyDescent="0.3">
      <c r="A260" s="91" t="s">
        <v>91</v>
      </c>
      <c r="B260" s="91" t="s">
        <v>99</v>
      </c>
      <c r="C260" s="109">
        <v>89</v>
      </c>
      <c r="D260" s="109">
        <v>77511</v>
      </c>
      <c r="E260" s="109"/>
      <c r="F260" s="110" t="s">
        <v>382</v>
      </c>
      <c r="G260" s="17" t="s">
        <v>202</v>
      </c>
      <c r="H260" s="109" t="s">
        <v>178</v>
      </c>
      <c r="I260" s="109">
        <v>1</v>
      </c>
      <c r="J260" s="109">
        <v>5.8</v>
      </c>
      <c r="K260" s="109">
        <v>2.5</v>
      </c>
      <c r="L260" s="109">
        <v>1</v>
      </c>
      <c r="M260" s="109">
        <v>1</v>
      </c>
      <c r="N260" s="111" t="s">
        <v>162</v>
      </c>
      <c r="O260" s="111">
        <f t="shared" si="30"/>
        <v>14.5</v>
      </c>
      <c r="P260" s="18">
        <v>44883</v>
      </c>
      <c r="Q260" s="125"/>
      <c r="R260" s="112">
        <v>1</v>
      </c>
      <c r="S260" s="112">
        <v>1</v>
      </c>
      <c r="T260" s="112">
        <v>0</v>
      </c>
      <c r="U260" s="113">
        <f>IF(ISBLANK(Table1[[#This Row],[OHC Date]]),$B$7-Table1[[#This Row],[HOC Date]]+1,Table1[[#This Row],[OHC Date]]-Table1[[#This Row],[HOC Date]]+1)/7</f>
        <v>5.4285714285714288</v>
      </c>
      <c r="V260" s="114">
        <v>6.63</v>
      </c>
      <c r="W260" s="114">
        <v>0.7</v>
      </c>
      <c r="X260" s="114">
        <f>ROUND(0.7*Table1[[#This Row],[E&amp;D Rate per unit]]*R260*Table1[[#This Row],[Quantity]],2)</f>
        <v>67.290000000000006</v>
      </c>
      <c r="Y260" s="114">
        <f t="shared" si="31"/>
        <v>55.1</v>
      </c>
      <c r="Z260" s="114">
        <f>ROUND(0.3*T260*Table1[[#This Row],[E&amp;D Rate per unit]]*Table1[[#This Row],[Quantity]],2)</f>
        <v>0</v>
      </c>
      <c r="AA260" s="112">
        <v>1</v>
      </c>
      <c r="AB260" s="21">
        <f>ROUND(X260+Z260+Y260,2)*Table1[[#This Row],[Until WA Approved Only Approved this %]]</f>
        <v>122.39</v>
      </c>
      <c r="AC260" s="136">
        <v>78.89</v>
      </c>
      <c r="AD260" s="136">
        <f>Table1[[#This Row],[Total Amount]]-Table1[[#This Row],[Previous Amount]]</f>
        <v>43.5</v>
      </c>
      <c r="AE260" s="115"/>
      <c r="AG260" s="174">
        <v>122.39</v>
      </c>
      <c r="AH260" s="178">
        <f>AG260-Table1[[#This Row],[Total Amount]]</f>
        <v>0</v>
      </c>
      <c r="AI260" s="171">
        <f t="shared" si="29"/>
        <v>0</v>
      </c>
    </row>
    <row r="261" spans="1:35" ht="30" customHeight="1" x14ac:dyDescent="0.3">
      <c r="A261" s="91" t="s">
        <v>91</v>
      </c>
      <c r="B261" s="91" t="s">
        <v>99</v>
      </c>
      <c r="C261" s="109" t="s">
        <v>383</v>
      </c>
      <c r="D261" s="109">
        <v>77512</v>
      </c>
      <c r="E261" s="109"/>
      <c r="F261" s="110" t="s">
        <v>382</v>
      </c>
      <c r="G261" s="17" t="s">
        <v>202</v>
      </c>
      <c r="H261" s="109" t="s">
        <v>222</v>
      </c>
      <c r="I261" s="109">
        <v>1</v>
      </c>
      <c r="J261" s="109">
        <v>1</v>
      </c>
      <c r="K261" s="109">
        <v>0.9</v>
      </c>
      <c r="L261" s="109">
        <v>4</v>
      </c>
      <c r="M261" s="109">
        <v>1</v>
      </c>
      <c r="N261" s="111" t="s">
        <v>223</v>
      </c>
      <c r="O261" s="111">
        <f t="shared" si="30"/>
        <v>4</v>
      </c>
      <c r="P261" s="18">
        <v>44883</v>
      </c>
      <c r="Q261" s="125"/>
      <c r="R261" s="112">
        <v>1</v>
      </c>
      <c r="S261" s="112">
        <v>1</v>
      </c>
      <c r="T261" s="112">
        <v>0</v>
      </c>
      <c r="U261" s="113">
        <f>IF(ISBLANK(Table1[[#This Row],[OHC Date]]),$B$7-Table1[[#This Row],[HOC Date]]+1,Table1[[#This Row],[OHC Date]]-Table1[[#This Row],[HOC Date]]+1)/7</f>
        <v>5.4285714285714288</v>
      </c>
      <c r="V261" s="114">
        <v>63.34</v>
      </c>
      <c r="W261" s="114">
        <v>7.28</v>
      </c>
      <c r="X261" s="114">
        <f>ROUND(0.7*Table1[[#This Row],[E&amp;D Rate per unit]]*R261*Table1[[#This Row],[Quantity]],2)</f>
        <v>177.35</v>
      </c>
      <c r="Y261" s="114">
        <f t="shared" si="31"/>
        <v>158.08000000000001</v>
      </c>
      <c r="Z261" s="114">
        <f>ROUND(0.3*T261*Table1[[#This Row],[E&amp;D Rate per unit]]*Table1[[#This Row],[Quantity]],2)</f>
        <v>0</v>
      </c>
      <c r="AA261" s="112">
        <v>1</v>
      </c>
      <c r="AB261" s="21">
        <f>ROUND(X261+Z261+Y261,2)*Table1[[#This Row],[Until WA Approved Only Approved this %]]</f>
        <v>335.43</v>
      </c>
      <c r="AC261" s="136">
        <v>210.63</v>
      </c>
      <c r="AD261" s="136">
        <f>Table1[[#This Row],[Total Amount]]-Table1[[#This Row],[Previous Amount]]</f>
        <v>124.80000000000001</v>
      </c>
      <c r="AE261" s="115"/>
      <c r="AG261" s="174">
        <v>335.43</v>
      </c>
      <c r="AH261" s="178">
        <f>AG261-Table1[[#This Row],[Total Amount]]</f>
        <v>0</v>
      </c>
      <c r="AI261" s="171">
        <f t="shared" si="29"/>
        <v>0</v>
      </c>
    </row>
    <row r="262" spans="1:35" ht="30" customHeight="1" x14ac:dyDescent="0.3">
      <c r="A262" s="91" t="s">
        <v>91</v>
      </c>
      <c r="B262" s="91" t="s">
        <v>99</v>
      </c>
      <c r="C262" s="109" t="s">
        <v>383</v>
      </c>
      <c r="D262" s="109">
        <v>77512</v>
      </c>
      <c r="E262" s="109"/>
      <c r="F262" s="110" t="s">
        <v>382</v>
      </c>
      <c r="G262" s="17" t="s">
        <v>202</v>
      </c>
      <c r="H262" s="109" t="s">
        <v>178</v>
      </c>
      <c r="I262" s="109">
        <v>1</v>
      </c>
      <c r="J262" s="109">
        <v>1</v>
      </c>
      <c r="K262" s="109">
        <v>0.9</v>
      </c>
      <c r="L262" s="109">
        <v>1</v>
      </c>
      <c r="M262" s="109">
        <v>1</v>
      </c>
      <c r="N262" s="111" t="s">
        <v>162</v>
      </c>
      <c r="O262" s="111">
        <f t="shared" si="30"/>
        <v>0.9</v>
      </c>
      <c r="P262" s="18">
        <v>44883</v>
      </c>
      <c r="Q262" s="125"/>
      <c r="R262" s="112">
        <v>1</v>
      </c>
      <c r="S262" s="112">
        <v>1</v>
      </c>
      <c r="T262" s="112">
        <v>0</v>
      </c>
      <c r="U262" s="113">
        <f>IF(ISBLANK(Table1[[#This Row],[OHC Date]]),$B$7-Table1[[#This Row],[HOC Date]]+1,Table1[[#This Row],[OHC Date]]-Table1[[#This Row],[HOC Date]]+1)/7</f>
        <v>5.4285714285714288</v>
      </c>
      <c r="V262" s="114">
        <v>6.63</v>
      </c>
      <c r="W262" s="114">
        <v>0.7</v>
      </c>
      <c r="X262" s="114">
        <f>ROUND(0.7*Table1[[#This Row],[E&amp;D Rate per unit]]*R262*Table1[[#This Row],[Quantity]],2)</f>
        <v>4.18</v>
      </c>
      <c r="Y262" s="114">
        <f t="shared" si="31"/>
        <v>3.42</v>
      </c>
      <c r="Z262" s="114">
        <f>ROUND(0.3*T262*Table1[[#This Row],[E&amp;D Rate per unit]]*Table1[[#This Row],[Quantity]],2)</f>
        <v>0</v>
      </c>
      <c r="AA262" s="112">
        <v>1</v>
      </c>
      <c r="AB262" s="21">
        <f>ROUND(X262+Z262+Y262,2)*Table1[[#This Row],[Until WA Approved Only Approved this %]]</f>
        <v>7.6</v>
      </c>
      <c r="AC262" s="136">
        <v>4.9000000000000004</v>
      </c>
      <c r="AD262" s="136">
        <f>Table1[[#This Row],[Total Amount]]-Table1[[#This Row],[Previous Amount]]</f>
        <v>2.6999999999999993</v>
      </c>
      <c r="AE262" s="115"/>
      <c r="AG262" s="174">
        <v>7.6</v>
      </c>
      <c r="AH262" s="178">
        <f>AG262-Table1[[#This Row],[Total Amount]]</f>
        <v>0</v>
      </c>
      <c r="AI262" s="171">
        <f t="shared" si="29"/>
        <v>0</v>
      </c>
    </row>
    <row r="263" spans="1:35" ht="30" customHeight="1" x14ac:dyDescent="0.3">
      <c r="A263" s="91" t="s">
        <v>91</v>
      </c>
      <c r="B263" s="91" t="s">
        <v>99</v>
      </c>
      <c r="C263" s="109">
        <v>90</v>
      </c>
      <c r="D263" s="109">
        <v>77513</v>
      </c>
      <c r="E263" s="109">
        <v>80574</v>
      </c>
      <c r="F263" s="110" t="s">
        <v>374</v>
      </c>
      <c r="G263" s="17" t="s">
        <v>202</v>
      </c>
      <c r="H263" s="109" t="s">
        <v>121</v>
      </c>
      <c r="I263" s="109">
        <v>1</v>
      </c>
      <c r="J263" s="109">
        <v>5</v>
      </c>
      <c r="K263" s="109">
        <v>3.1</v>
      </c>
      <c r="L263" s="109">
        <v>4</v>
      </c>
      <c r="M263" s="109">
        <v>1</v>
      </c>
      <c r="N263" s="111" t="s">
        <v>226</v>
      </c>
      <c r="O263" s="111">
        <f t="shared" ref="O263:O284" si="34">ROUND(IF(N263="m3",I263*J263*K263*L263,IF(N263="m2-LxH",I263*J263*L263,IF(N263="m2-LxW",I263*J263*K263,IF(N263="rm",I263*L263,IF(N263="lm",I263*J263,IF(N263="unit",I263,"NA")))))),2)</f>
        <v>62</v>
      </c>
      <c r="P263" s="18">
        <v>44884</v>
      </c>
      <c r="Q263" s="125">
        <v>44911</v>
      </c>
      <c r="R263" s="112">
        <v>1</v>
      </c>
      <c r="S263" s="112">
        <v>1</v>
      </c>
      <c r="T263" s="112">
        <v>1</v>
      </c>
      <c r="U263" s="113">
        <f>IF(ISBLANK(Table1[[#This Row],[OHC Date]]),$B$7-Table1[[#This Row],[HOC Date]]+1,Table1[[#This Row],[OHC Date]]-Table1[[#This Row],[HOC Date]]+1)/7</f>
        <v>4</v>
      </c>
      <c r="V263" s="114">
        <v>7.08</v>
      </c>
      <c r="W263" s="114">
        <v>0.49</v>
      </c>
      <c r="X263" s="114">
        <f>ROUND(0.7*Table1[[#This Row],[E&amp;D Rate per unit]]*R263*Table1[[#This Row],[Quantity]],2)</f>
        <v>307.27</v>
      </c>
      <c r="Y263" s="114">
        <f t="shared" ref="Y263:Y284" si="35">ROUND(O263*U263*W263*S263,2)</f>
        <v>121.52</v>
      </c>
      <c r="Z263" s="114">
        <f>ROUND(0.3*T263*Table1[[#This Row],[E&amp;D Rate per unit]]*Table1[[#This Row],[Quantity]],2)</f>
        <v>131.69</v>
      </c>
      <c r="AA263" s="112">
        <v>1</v>
      </c>
      <c r="AB263" s="21">
        <f>ROUND(X263+Z263+Y263,2)*Table1[[#This Row],[Until WA Approved Only Approved this %]]</f>
        <v>560.48</v>
      </c>
      <c r="AC263" s="136">
        <v>337.65</v>
      </c>
      <c r="AD263" s="136">
        <f>Table1[[#This Row],[Total Amount]]-Table1[[#This Row],[Previous Amount]]</f>
        <v>222.83000000000004</v>
      </c>
      <c r="AE263" s="115"/>
      <c r="AG263" s="174">
        <v>560.48</v>
      </c>
      <c r="AH263" s="178">
        <f>AG263-Table1[[#This Row],[Total Amount]]</f>
        <v>0</v>
      </c>
      <c r="AI263" s="171">
        <f t="shared" si="29"/>
        <v>0</v>
      </c>
    </row>
    <row r="264" spans="1:35" ht="30" customHeight="1" x14ac:dyDescent="0.3">
      <c r="A264" s="91" t="s">
        <v>91</v>
      </c>
      <c r="B264" s="91" t="s">
        <v>99</v>
      </c>
      <c r="C264" s="109">
        <v>90</v>
      </c>
      <c r="D264" s="109">
        <v>77513</v>
      </c>
      <c r="E264" s="109">
        <v>80574</v>
      </c>
      <c r="F264" s="110" t="s">
        <v>374</v>
      </c>
      <c r="G264" s="17" t="s">
        <v>202</v>
      </c>
      <c r="H264" s="109" t="s">
        <v>178</v>
      </c>
      <c r="I264" s="109">
        <v>1</v>
      </c>
      <c r="J264" s="109">
        <v>5</v>
      </c>
      <c r="K264" s="109">
        <v>3.1</v>
      </c>
      <c r="L264" s="109">
        <v>1</v>
      </c>
      <c r="M264" s="109">
        <v>1</v>
      </c>
      <c r="N264" s="111" t="s">
        <v>162</v>
      </c>
      <c r="O264" s="111">
        <f t="shared" si="34"/>
        <v>15.5</v>
      </c>
      <c r="P264" s="18">
        <v>44884</v>
      </c>
      <c r="Q264" s="125">
        <v>44911</v>
      </c>
      <c r="R264" s="112">
        <v>1</v>
      </c>
      <c r="S264" s="112">
        <v>1</v>
      </c>
      <c r="T264" s="112">
        <v>1</v>
      </c>
      <c r="U264" s="113">
        <f>IF(ISBLANK(Table1[[#This Row],[OHC Date]]),$B$7-Table1[[#This Row],[HOC Date]]+1,Table1[[#This Row],[OHC Date]]-Table1[[#This Row],[HOC Date]]+1)/7</f>
        <v>4</v>
      </c>
      <c r="V264" s="114">
        <v>6.63</v>
      </c>
      <c r="W264" s="114">
        <v>0.7</v>
      </c>
      <c r="X264" s="114">
        <f>ROUND(0.7*Table1[[#This Row],[E&amp;D Rate per unit]]*R264*Table1[[#This Row],[Quantity]],2)</f>
        <v>71.94</v>
      </c>
      <c r="Y264" s="114">
        <f t="shared" si="35"/>
        <v>43.4</v>
      </c>
      <c r="Z264" s="114">
        <f>ROUND(0.3*T264*Table1[[#This Row],[E&amp;D Rate per unit]]*Table1[[#This Row],[Quantity]],2)</f>
        <v>30.83</v>
      </c>
      <c r="AA264" s="112">
        <v>1</v>
      </c>
      <c r="AB264" s="21">
        <f>ROUND(X264+Z264+Y264,2)*Table1[[#This Row],[Until WA Approved Only Approved this %]]</f>
        <v>146.16999999999999</v>
      </c>
      <c r="AC264" s="136">
        <v>82.79</v>
      </c>
      <c r="AD264" s="136">
        <f>Table1[[#This Row],[Total Amount]]-Table1[[#This Row],[Previous Amount]]</f>
        <v>63.379999999999981</v>
      </c>
      <c r="AE264" s="115"/>
      <c r="AG264" s="174">
        <v>146.16999999999999</v>
      </c>
      <c r="AH264" s="178">
        <f>AG264-Table1[[#This Row],[Total Amount]]</f>
        <v>0</v>
      </c>
      <c r="AI264" s="171">
        <f t="shared" si="29"/>
        <v>0</v>
      </c>
    </row>
    <row r="265" spans="1:35" ht="30" customHeight="1" x14ac:dyDescent="0.3">
      <c r="A265" s="91" t="s">
        <v>91</v>
      </c>
      <c r="B265" s="91" t="s">
        <v>99</v>
      </c>
      <c r="C265" s="109">
        <v>91</v>
      </c>
      <c r="D265" s="109">
        <v>77514</v>
      </c>
      <c r="E265" s="109">
        <v>80541</v>
      </c>
      <c r="F265" s="110" t="s">
        <v>461</v>
      </c>
      <c r="G265" s="17" t="s">
        <v>202</v>
      </c>
      <c r="H265" s="109" t="s">
        <v>222</v>
      </c>
      <c r="I265" s="109">
        <v>1</v>
      </c>
      <c r="J265" s="109">
        <v>1.3</v>
      </c>
      <c r="K265" s="109">
        <v>0.9</v>
      </c>
      <c r="L265" s="109">
        <v>1</v>
      </c>
      <c r="M265" s="109">
        <v>1</v>
      </c>
      <c r="N265" s="111" t="s">
        <v>223</v>
      </c>
      <c r="O265" s="111">
        <f t="shared" si="34"/>
        <v>1</v>
      </c>
      <c r="P265" s="18">
        <v>44884</v>
      </c>
      <c r="Q265" s="125">
        <v>44893</v>
      </c>
      <c r="R265" s="112">
        <v>1</v>
      </c>
      <c r="S265" s="112">
        <v>1</v>
      </c>
      <c r="T265" s="112">
        <v>1</v>
      </c>
      <c r="U265" s="113">
        <f>IF(ISBLANK(Table1[[#This Row],[OHC Date]]),$B$7-Table1[[#This Row],[HOC Date]]+1,Table1[[#This Row],[OHC Date]]-Table1[[#This Row],[HOC Date]]+1)/7</f>
        <v>1.4285714285714286</v>
      </c>
      <c r="V265" s="114">
        <v>63.34</v>
      </c>
      <c r="W265" s="114">
        <v>7.28</v>
      </c>
      <c r="X265" s="114">
        <f>ROUND(0.7*Table1[[#This Row],[E&amp;D Rate per unit]]*R265*Table1[[#This Row],[Quantity]],2)</f>
        <v>44.34</v>
      </c>
      <c r="Y265" s="114">
        <f t="shared" si="35"/>
        <v>10.4</v>
      </c>
      <c r="Z265" s="114">
        <f>ROUND(0.3*T265*Table1[[#This Row],[E&amp;D Rate per unit]]*Table1[[#This Row],[Quantity]],2)</f>
        <v>19</v>
      </c>
      <c r="AA265" s="112">
        <v>1</v>
      </c>
      <c r="AB265" s="21">
        <f>ROUND(X265+Z265+Y265,2)*Table1[[#This Row],[Until WA Approved Only Approved this %]]</f>
        <v>73.739999999999995</v>
      </c>
      <c r="AC265" s="136">
        <v>51.62</v>
      </c>
      <c r="AD265" s="136">
        <f>Table1[[#This Row],[Total Amount]]-Table1[[#This Row],[Previous Amount]]</f>
        <v>22.119999999999997</v>
      </c>
      <c r="AE265" s="115"/>
      <c r="AG265" s="174">
        <v>73.739999999999995</v>
      </c>
      <c r="AH265" s="178">
        <f>AG265-Table1[[#This Row],[Total Amount]]</f>
        <v>0</v>
      </c>
      <c r="AI265" s="171">
        <f t="shared" si="29"/>
        <v>0</v>
      </c>
    </row>
    <row r="266" spans="1:35" ht="30" customHeight="1" x14ac:dyDescent="0.3">
      <c r="A266" s="91" t="s">
        <v>91</v>
      </c>
      <c r="B266" s="91" t="s">
        <v>99</v>
      </c>
      <c r="C266" s="109" t="s">
        <v>462</v>
      </c>
      <c r="D266" s="109">
        <v>77515</v>
      </c>
      <c r="E266" s="109">
        <v>80542</v>
      </c>
      <c r="F266" s="110" t="s">
        <v>318</v>
      </c>
      <c r="G266" s="17" t="s">
        <v>202</v>
      </c>
      <c r="H266" s="109" t="s">
        <v>129</v>
      </c>
      <c r="I266" s="109">
        <v>1</v>
      </c>
      <c r="J266" s="109">
        <v>2.5</v>
      </c>
      <c r="K266" s="109">
        <v>0.75</v>
      </c>
      <c r="L266" s="109">
        <v>1</v>
      </c>
      <c r="M266" s="109">
        <v>1</v>
      </c>
      <c r="N266" s="111" t="s">
        <v>162</v>
      </c>
      <c r="O266" s="111">
        <f t="shared" si="34"/>
        <v>1.88</v>
      </c>
      <c r="P266" s="18">
        <v>44884</v>
      </c>
      <c r="Q266" s="125">
        <v>44893</v>
      </c>
      <c r="R266" s="112">
        <v>1</v>
      </c>
      <c r="S266" s="112">
        <v>1</v>
      </c>
      <c r="T266" s="112">
        <v>1</v>
      </c>
      <c r="U266" s="113">
        <f>IF(ISBLANK(Table1[[#This Row],[OHC Date]]),$B$7-Table1[[#This Row],[HOC Date]]+1,Table1[[#This Row],[OHC Date]]-Table1[[#This Row],[HOC Date]]+1)/7</f>
        <v>1.4285714285714286</v>
      </c>
      <c r="V266" s="114">
        <v>36.520000000000003</v>
      </c>
      <c r="W266" s="114">
        <v>2.94</v>
      </c>
      <c r="X266" s="114">
        <f>ROUND(0.7*Table1[[#This Row],[E&amp;D Rate per unit]]*R266*Table1[[#This Row],[Quantity]],2)</f>
        <v>48.06</v>
      </c>
      <c r="Y266" s="114">
        <f t="shared" si="35"/>
        <v>7.9</v>
      </c>
      <c r="Z266" s="114">
        <f>ROUND(0.3*T266*Table1[[#This Row],[E&amp;D Rate per unit]]*Table1[[#This Row],[Quantity]],2)</f>
        <v>20.6</v>
      </c>
      <c r="AA266" s="112">
        <v>1</v>
      </c>
      <c r="AB266" s="21">
        <f>ROUND(X266+Z266+Y266,2)*Table1[[#This Row],[Until WA Approved Only Approved this %]]</f>
        <v>76.56</v>
      </c>
      <c r="AC266" s="136">
        <v>53.59</v>
      </c>
      <c r="AD266" s="136">
        <f>Table1[[#This Row],[Total Amount]]-Table1[[#This Row],[Previous Amount]]</f>
        <v>22.97</v>
      </c>
      <c r="AE266" s="115"/>
      <c r="AG266" s="174">
        <v>76.56</v>
      </c>
      <c r="AH266" s="178">
        <f>AG266-Table1[[#This Row],[Total Amount]]</f>
        <v>0</v>
      </c>
      <c r="AI266" s="171">
        <f t="shared" si="29"/>
        <v>0</v>
      </c>
    </row>
    <row r="267" spans="1:35" ht="30" customHeight="1" x14ac:dyDescent="0.3">
      <c r="A267" s="91" t="s">
        <v>91</v>
      </c>
      <c r="B267" s="91" t="s">
        <v>99</v>
      </c>
      <c r="C267" s="109" t="s">
        <v>463</v>
      </c>
      <c r="D267" s="109">
        <v>77516</v>
      </c>
      <c r="E267" s="109">
        <v>80575</v>
      </c>
      <c r="F267" s="110" t="s">
        <v>464</v>
      </c>
      <c r="G267" s="17" t="s">
        <v>202</v>
      </c>
      <c r="H267" s="109" t="s">
        <v>222</v>
      </c>
      <c r="I267" s="109">
        <v>1</v>
      </c>
      <c r="J267" s="109">
        <v>2</v>
      </c>
      <c r="K267" s="109">
        <v>1.3</v>
      </c>
      <c r="L267" s="109">
        <v>3.5</v>
      </c>
      <c r="M267" s="109">
        <v>1</v>
      </c>
      <c r="N267" s="111" t="s">
        <v>223</v>
      </c>
      <c r="O267" s="111">
        <f t="shared" si="34"/>
        <v>3.5</v>
      </c>
      <c r="P267" s="18">
        <v>44886</v>
      </c>
      <c r="Q267" s="125">
        <v>44911</v>
      </c>
      <c r="R267" s="112">
        <v>1</v>
      </c>
      <c r="S267" s="112">
        <v>1</v>
      </c>
      <c r="T267" s="112">
        <v>1</v>
      </c>
      <c r="U267" s="113">
        <f>IF(ISBLANK(Table1[[#This Row],[OHC Date]]),$B$7-Table1[[#This Row],[HOC Date]]+1,Table1[[#This Row],[OHC Date]]-Table1[[#This Row],[HOC Date]]+1)/7</f>
        <v>3.7142857142857144</v>
      </c>
      <c r="V267" s="114">
        <v>63.34</v>
      </c>
      <c r="W267" s="114">
        <v>7.28</v>
      </c>
      <c r="X267" s="114">
        <f>ROUND(0.7*Table1[[#This Row],[E&amp;D Rate per unit]]*R267*Table1[[#This Row],[Quantity]],2)</f>
        <v>155.18</v>
      </c>
      <c r="Y267" s="114">
        <f t="shared" si="35"/>
        <v>94.64</v>
      </c>
      <c r="Z267" s="114">
        <f>ROUND(0.3*T267*Table1[[#This Row],[E&amp;D Rate per unit]]*Table1[[#This Row],[Quantity]],2)</f>
        <v>66.510000000000005</v>
      </c>
      <c r="AA267" s="112">
        <v>1</v>
      </c>
      <c r="AB267" s="21">
        <f>ROUND(X267+Z267+Y267,2)*Table1[[#This Row],[Until WA Approved Only Approved this %]]</f>
        <v>316.33</v>
      </c>
      <c r="AC267" s="136">
        <v>173.38</v>
      </c>
      <c r="AD267" s="136">
        <f>Table1[[#This Row],[Total Amount]]-Table1[[#This Row],[Previous Amount]]</f>
        <v>142.94999999999999</v>
      </c>
      <c r="AE267" s="115"/>
      <c r="AG267" s="174">
        <v>316.33</v>
      </c>
      <c r="AH267" s="178">
        <f>AG267-Table1[[#This Row],[Total Amount]]</f>
        <v>0</v>
      </c>
      <c r="AI267" s="171">
        <f t="shared" ref="AI267:AI330" si="36">AH267/AG267</f>
        <v>0</v>
      </c>
    </row>
    <row r="268" spans="1:35" ht="30" customHeight="1" x14ac:dyDescent="0.3">
      <c r="A268" s="91" t="s">
        <v>91</v>
      </c>
      <c r="B268" s="91" t="s">
        <v>99</v>
      </c>
      <c r="C268" s="109">
        <v>92</v>
      </c>
      <c r="D268" s="109">
        <v>77517</v>
      </c>
      <c r="E268" s="109"/>
      <c r="F268" s="110" t="s">
        <v>465</v>
      </c>
      <c r="G268" s="17" t="s">
        <v>466</v>
      </c>
      <c r="H268" s="109" t="s">
        <v>222</v>
      </c>
      <c r="I268" s="109">
        <v>1</v>
      </c>
      <c r="J268" s="109">
        <v>2.5</v>
      </c>
      <c r="K268" s="109">
        <v>1.8</v>
      </c>
      <c r="L268" s="109">
        <v>5.5</v>
      </c>
      <c r="M268" s="109">
        <v>1</v>
      </c>
      <c r="N268" s="111" t="s">
        <v>223</v>
      </c>
      <c r="O268" s="111">
        <f t="shared" si="34"/>
        <v>5.5</v>
      </c>
      <c r="P268" s="18">
        <v>44886</v>
      </c>
      <c r="Q268" s="125"/>
      <c r="R268" s="112">
        <v>1</v>
      </c>
      <c r="S268" s="112">
        <v>1</v>
      </c>
      <c r="T268" s="112">
        <v>0</v>
      </c>
      <c r="U268" s="113">
        <f>IF(ISBLANK(Table1[[#This Row],[OHC Date]]),$B$7-Table1[[#This Row],[HOC Date]]+1,Table1[[#This Row],[OHC Date]]-Table1[[#This Row],[HOC Date]]+1)/7</f>
        <v>5</v>
      </c>
      <c r="V268" s="114">
        <v>63.34</v>
      </c>
      <c r="W268" s="114">
        <v>7.28</v>
      </c>
      <c r="X268" s="114">
        <f>ROUND(0.7*Table1[[#This Row],[E&amp;D Rate per unit]]*R268*Table1[[#This Row],[Quantity]],2)</f>
        <v>243.86</v>
      </c>
      <c r="Y268" s="114">
        <f t="shared" si="35"/>
        <v>200.2</v>
      </c>
      <c r="Z268" s="114">
        <f>ROUND(0.3*T268*Table1[[#This Row],[E&amp;D Rate per unit]]*Table1[[#This Row],[Quantity]],2)</f>
        <v>0</v>
      </c>
      <c r="AA268" s="112">
        <v>1</v>
      </c>
      <c r="AB268" s="21">
        <f>ROUND(X268+Z268+Y268,2)*Table1[[#This Row],[Until WA Approved Only Approved this %]]</f>
        <v>444.06</v>
      </c>
      <c r="AC268" s="136">
        <v>272.45999999999998</v>
      </c>
      <c r="AD268" s="136">
        <f>Table1[[#This Row],[Total Amount]]-Table1[[#This Row],[Previous Amount]]</f>
        <v>171.60000000000002</v>
      </c>
      <c r="AE268" s="115"/>
      <c r="AG268" s="174">
        <v>444.06</v>
      </c>
      <c r="AH268" s="178">
        <f>AG268-Table1[[#This Row],[Total Amount]]</f>
        <v>0</v>
      </c>
      <c r="AI268" s="171">
        <f t="shared" si="36"/>
        <v>0</v>
      </c>
    </row>
    <row r="269" spans="1:35" ht="30" customHeight="1" x14ac:dyDescent="0.3">
      <c r="A269" s="91" t="s">
        <v>91</v>
      </c>
      <c r="B269" s="91" t="s">
        <v>99</v>
      </c>
      <c r="C269" s="109">
        <v>92</v>
      </c>
      <c r="D269" s="109">
        <v>77517</v>
      </c>
      <c r="E269" s="109"/>
      <c r="F269" s="110" t="s">
        <v>465</v>
      </c>
      <c r="G269" s="17" t="s">
        <v>466</v>
      </c>
      <c r="H269" s="109" t="s">
        <v>178</v>
      </c>
      <c r="I269" s="109">
        <v>1</v>
      </c>
      <c r="J269" s="109">
        <v>2.5</v>
      </c>
      <c r="K269" s="109">
        <v>1.8</v>
      </c>
      <c r="L269" s="109">
        <v>1</v>
      </c>
      <c r="M269" s="109">
        <v>1</v>
      </c>
      <c r="N269" s="111" t="s">
        <v>162</v>
      </c>
      <c r="O269" s="111">
        <f t="shared" si="34"/>
        <v>4.5</v>
      </c>
      <c r="P269" s="18">
        <v>44886</v>
      </c>
      <c r="Q269" s="125"/>
      <c r="R269" s="112">
        <v>1</v>
      </c>
      <c r="S269" s="112">
        <v>1</v>
      </c>
      <c r="T269" s="112">
        <v>0</v>
      </c>
      <c r="U269" s="113">
        <f>IF(ISBLANK(Table1[[#This Row],[OHC Date]]),$B$7-Table1[[#This Row],[HOC Date]]+1,Table1[[#This Row],[OHC Date]]-Table1[[#This Row],[HOC Date]]+1)/7</f>
        <v>5</v>
      </c>
      <c r="V269" s="114">
        <v>6.63</v>
      </c>
      <c r="W269" s="114">
        <v>0.7</v>
      </c>
      <c r="X269" s="114">
        <f>ROUND(0.7*Table1[[#This Row],[E&amp;D Rate per unit]]*R269*Table1[[#This Row],[Quantity]],2)</f>
        <v>20.88</v>
      </c>
      <c r="Y269" s="114">
        <f t="shared" si="35"/>
        <v>15.75</v>
      </c>
      <c r="Z269" s="114">
        <f>ROUND(0.3*T269*Table1[[#This Row],[E&amp;D Rate per unit]]*Table1[[#This Row],[Quantity]],2)</f>
        <v>0</v>
      </c>
      <c r="AA269" s="112">
        <v>1</v>
      </c>
      <c r="AB269" s="21">
        <f>ROUND(X269+Z269+Y269,2)*Table1[[#This Row],[Until WA Approved Only Approved this %]]</f>
        <v>36.630000000000003</v>
      </c>
      <c r="AC269" s="136">
        <v>23.13</v>
      </c>
      <c r="AD269" s="136">
        <f>Table1[[#This Row],[Total Amount]]-Table1[[#This Row],[Previous Amount]]</f>
        <v>13.500000000000004</v>
      </c>
      <c r="AE269" s="115"/>
      <c r="AG269" s="174">
        <v>36.630000000000003</v>
      </c>
      <c r="AH269" s="178">
        <f>AG269-Table1[[#This Row],[Total Amount]]</f>
        <v>0</v>
      </c>
      <c r="AI269" s="171">
        <f t="shared" si="36"/>
        <v>0</v>
      </c>
    </row>
    <row r="270" spans="1:35" ht="30" customHeight="1" x14ac:dyDescent="0.3">
      <c r="A270" s="91" t="s">
        <v>91</v>
      </c>
      <c r="B270" s="91" t="s">
        <v>99</v>
      </c>
      <c r="C270" s="109">
        <v>93</v>
      </c>
      <c r="D270" s="109">
        <v>77518</v>
      </c>
      <c r="E270" s="109"/>
      <c r="F270" s="110" t="s">
        <v>470</v>
      </c>
      <c r="G270" s="17" t="s">
        <v>202</v>
      </c>
      <c r="H270" s="109" t="s">
        <v>115</v>
      </c>
      <c r="I270" s="109">
        <v>1</v>
      </c>
      <c r="J270" s="109">
        <v>2.5</v>
      </c>
      <c r="K270" s="109">
        <v>1.8</v>
      </c>
      <c r="L270" s="109">
        <v>3.7</v>
      </c>
      <c r="M270" s="109">
        <v>1</v>
      </c>
      <c r="N270" s="111" t="s">
        <v>223</v>
      </c>
      <c r="O270" s="111">
        <f t="shared" si="34"/>
        <v>3.7</v>
      </c>
      <c r="P270" s="18">
        <v>44887</v>
      </c>
      <c r="Q270" s="125"/>
      <c r="R270" s="112">
        <v>1</v>
      </c>
      <c r="S270" s="112">
        <v>1</v>
      </c>
      <c r="T270" s="112">
        <v>0</v>
      </c>
      <c r="U270" s="113">
        <f>IF(ISBLANK(Table1[[#This Row],[OHC Date]]),$B$7-Table1[[#This Row],[HOC Date]]+1,Table1[[#This Row],[OHC Date]]-Table1[[#This Row],[HOC Date]]+1)/7</f>
        <v>4.8571428571428568</v>
      </c>
      <c r="V270" s="114">
        <v>103.33</v>
      </c>
      <c r="W270" s="114">
        <v>10.29</v>
      </c>
      <c r="X270" s="114">
        <f>ROUND(0.7*Table1[[#This Row],[E&amp;D Rate per unit]]*R270*Table1[[#This Row],[Quantity]],2)</f>
        <v>267.62</v>
      </c>
      <c r="Y270" s="114">
        <f t="shared" si="35"/>
        <v>184.93</v>
      </c>
      <c r="Z270" s="114">
        <f>ROUND(0.3*T270*Table1[[#This Row],[E&amp;D Rate per unit]]*Table1[[#This Row],[Quantity]],2)</f>
        <v>0</v>
      </c>
      <c r="AA270" s="112">
        <v>1</v>
      </c>
      <c r="AB270" s="21">
        <f>ROUND(X270+Z270+Y270,2)*Table1[[#This Row],[Until WA Approved Only Approved this %]]</f>
        <v>452.55</v>
      </c>
      <c r="AC270" s="136">
        <v>289.38</v>
      </c>
      <c r="AD270" s="136">
        <f>Table1[[#This Row],[Total Amount]]-Table1[[#This Row],[Previous Amount]]</f>
        <v>163.17000000000002</v>
      </c>
      <c r="AE270" s="115"/>
      <c r="AG270" s="174">
        <v>452.55</v>
      </c>
      <c r="AH270" s="178">
        <f>AG270-Table1[[#This Row],[Total Amount]]</f>
        <v>0</v>
      </c>
      <c r="AI270" s="171">
        <f t="shared" si="36"/>
        <v>0</v>
      </c>
    </row>
    <row r="271" spans="1:35" ht="30" customHeight="1" x14ac:dyDescent="0.3">
      <c r="A271" s="91" t="s">
        <v>91</v>
      </c>
      <c r="B271" s="91" t="s">
        <v>99</v>
      </c>
      <c r="C271" s="109">
        <v>94</v>
      </c>
      <c r="D271" s="109">
        <v>77519</v>
      </c>
      <c r="E271" s="109"/>
      <c r="F271" s="110" t="s">
        <v>471</v>
      </c>
      <c r="G271" s="17" t="s">
        <v>202</v>
      </c>
      <c r="H271" s="109" t="s">
        <v>207</v>
      </c>
      <c r="I271" s="109">
        <v>1</v>
      </c>
      <c r="J271" s="109">
        <v>5.4</v>
      </c>
      <c r="K271" s="109">
        <v>1.3</v>
      </c>
      <c r="L271" s="109">
        <v>4</v>
      </c>
      <c r="M271" s="109">
        <v>1</v>
      </c>
      <c r="N271" s="111" t="s">
        <v>208</v>
      </c>
      <c r="O271" s="111">
        <f t="shared" si="34"/>
        <v>21.6</v>
      </c>
      <c r="P271" s="18">
        <v>44887</v>
      </c>
      <c r="Q271" s="125"/>
      <c r="R271" s="112">
        <v>1</v>
      </c>
      <c r="S271" s="112">
        <v>1</v>
      </c>
      <c r="T271" s="112">
        <v>0</v>
      </c>
      <c r="U271" s="113">
        <f>IF(ISBLANK(Table1[[#This Row],[OHC Date]]),$B$7-Table1[[#This Row],[HOC Date]]+1,Table1[[#This Row],[OHC Date]]-Table1[[#This Row],[HOC Date]]+1)/7</f>
        <v>4.8571428571428568</v>
      </c>
      <c r="V271" s="114">
        <v>12.01</v>
      </c>
      <c r="W271" s="114">
        <v>0.49</v>
      </c>
      <c r="X271" s="114">
        <f>ROUND(0.7*Table1[[#This Row],[E&amp;D Rate per unit]]*R271*Table1[[#This Row],[Quantity]],2)</f>
        <v>181.59</v>
      </c>
      <c r="Y271" s="114">
        <f t="shared" si="35"/>
        <v>51.41</v>
      </c>
      <c r="Z271" s="114">
        <f>ROUND(0.3*T271*Table1[[#This Row],[E&amp;D Rate per unit]]*Table1[[#This Row],[Quantity]],2)</f>
        <v>0</v>
      </c>
      <c r="AA271" s="112">
        <v>1</v>
      </c>
      <c r="AB271" s="21">
        <f>ROUND(X271+Z271+Y271,2)*Table1[[#This Row],[Until WA Approved Only Approved this %]]</f>
        <v>233</v>
      </c>
      <c r="AC271" s="136">
        <v>187.64</v>
      </c>
      <c r="AD271" s="136">
        <f>Table1[[#This Row],[Total Amount]]-Table1[[#This Row],[Previous Amount]]</f>
        <v>45.360000000000014</v>
      </c>
      <c r="AE271" s="115"/>
      <c r="AG271" s="174">
        <v>233</v>
      </c>
      <c r="AH271" s="178">
        <f>AG271-Table1[[#This Row],[Total Amount]]</f>
        <v>0</v>
      </c>
      <c r="AI271" s="171">
        <f t="shared" si="36"/>
        <v>0</v>
      </c>
    </row>
    <row r="272" spans="1:35" ht="30" customHeight="1" x14ac:dyDescent="0.3">
      <c r="A272" s="91" t="s">
        <v>91</v>
      </c>
      <c r="B272" s="91" t="s">
        <v>99</v>
      </c>
      <c r="C272" s="109" t="s">
        <v>467</v>
      </c>
      <c r="D272" s="109">
        <v>77520</v>
      </c>
      <c r="E272" s="109"/>
      <c r="F272" s="110" t="s">
        <v>471</v>
      </c>
      <c r="G272" s="17" t="s">
        <v>202</v>
      </c>
      <c r="H272" s="109" t="s">
        <v>129</v>
      </c>
      <c r="I272" s="109">
        <v>1</v>
      </c>
      <c r="J272" s="109">
        <v>5.4</v>
      </c>
      <c r="K272" s="109">
        <v>0.75</v>
      </c>
      <c r="L272" s="109">
        <v>1</v>
      </c>
      <c r="M272" s="109">
        <v>1</v>
      </c>
      <c r="N272" s="111" t="s">
        <v>162</v>
      </c>
      <c r="O272" s="111">
        <f t="shared" si="34"/>
        <v>4.05</v>
      </c>
      <c r="P272" s="18">
        <v>44887</v>
      </c>
      <c r="Q272" s="125"/>
      <c r="R272" s="112">
        <v>1</v>
      </c>
      <c r="S272" s="112">
        <v>1</v>
      </c>
      <c r="T272" s="112">
        <v>0</v>
      </c>
      <c r="U272" s="113">
        <f>IF(ISBLANK(Table1[[#This Row],[OHC Date]]),$B$7-Table1[[#This Row],[HOC Date]]+1,Table1[[#This Row],[OHC Date]]-Table1[[#This Row],[HOC Date]]+1)/7</f>
        <v>4.8571428571428568</v>
      </c>
      <c r="V272" s="114">
        <v>36.520000000000003</v>
      </c>
      <c r="W272" s="114">
        <v>2.94</v>
      </c>
      <c r="X272" s="114">
        <f>ROUND(0.7*Table1[[#This Row],[E&amp;D Rate per unit]]*R272*Table1[[#This Row],[Quantity]],2)</f>
        <v>103.53</v>
      </c>
      <c r="Y272" s="114">
        <f t="shared" si="35"/>
        <v>57.83</v>
      </c>
      <c r="Z272" s="114">
        <f>ROUND(0.3*T272*Table1[[#This Row],[E&amp;D Rate per unit]]*Table1[[#This Row],[Quantity]],2)</f>
        <v>0</v>
      </c>
      <c r="AA272" s="112">
        <v>1</v>
      </c>
      <c r="AB272" s="21">
        <f>ROUND(X272+Z272+Y272,2)*Table1[[#This Row],[Until WA Approved Only Approved this %]]</f>
        <v>161.36000000000001</v>
      </c>
      <c r="AC272" s="136">
        <v>110.33</v>
      </c>
      <c r="AD272" s="136">
        <f>Table1[[#This Row],[Total Amount]]-Table1[[#This Row],[Previous Amount]]</f>
        <v>51.030000000000015</v>
      </c>
      <c r="AE272" s="115"/>
      <c r="AG272" s="174">
        <v>161.36000000000001</v>
      </c>
      <c r="AH272" s="178">
        <f>AG272-Table1[[#This Row],[Total Amount]]</f>
        <v>0</v>
      </c>
      <c r="AI272" s="171">
        <f t="shared" si="36"/>
        <v>0</v>
      </c>
    </row>
    <row r="273" spans="1:35" ht="30" customHeight="1" x14ac:dyDescent="0.3">
      <c r="A273" s="91" t="s">
        <v>91</v>
      </c>
      <c r="B273" s="91" t="s">
        <v>99</v>
      </c>
      <c r="C273" s="109" t="s">
        <v>468</v>
      </c>
      <c r="D273" s="109">
        <v>77521</v>
      </c>
      <c r="E273" s="109"/>
      <c r="F273" s="110" t="s">
        <v>471</v>
      </c>
      <c r="G273" s="17" t="s">
        <v>202</v>
      </c>
      <c r="H273" s="109" t="s">
        <v>120</v>
      </c>
      <c r="I273" s="109">
        <v>1</v>
      </c>
      <c r="J273" s="109">
        <v>4.9000000000000004</v>
      </c>
      <c r="K273" s="109">
        <v>2.5</v>
      </c>
      <c r="L273" s="109">
        <v>4</v>
      </c>
      <c r="M273" s="109">
        <v>1</v>
      </c>
      <c r="N273" s="92" t="s">
        <v>208</v>
      </c>
      <c r="O273" s="92">
        <f t="shared" si="34"/>
        <v>19.600000000000001</v>
      </c>
      <c r="P273" s="18">
        <v>44887</v>
      </c>
      <c r="Q273" s="125"/>
      <c r="R273" s="112">
        <v>1</v>
      </c>
      <c r="S273" s="112">
        <v>1</v>
      </c>
      <c r="T273" s="112">
        <v>0</v>
      </c>
      <c r="U273" s="113">
        <f>IF(ISBLANK(Table1[[#This Row],[OHC Date]]),$B$7-Table1[[#This Row],[HOC Date]]+1,Table1[[#This Row],[OHC Date]]-Table1[[#This Row],[HOC Date]]+1)/7</f>
        <v>4.8571428571428568</v>
      </c>
      <c r="V273" s="114">
        <v>16.760000000000002</v>
      </c>
      <c r="W273" s="114">
        <v>0.77</v>
      </c>
      <c r="X273" s="114">
        <f>ROUND(0.7*Table1[[#This Row],[E&amp;D Rate per unit]]*R273*Table1[[#This Row],[Quantity]],2)</f>
        <v>229.95</v>
      </c>
      <c r="Y273" s="114">
        <f t="shared" si="35"/>
        <v>73.3</v>
      </c>
      <c r="Z273" s="114">
        <f>ROUND(0.3*T273*Table1[[#This Row],[E&amp;D Rate per unit]]*Table1[[#This Row],[Quantity]],2)</f>
        <v>0</v>
      </c>
      <c r="AA273" s="112">
        <v>1</v>
      </c>
      <c r="AB273" s="21">
        <f>ROUND(X273+Z273+Y273,2)*Table1[[#This Row],[Until WA Approved Only Approved this %]]</f>
        <v>303.25</v>
      </c>
      <c r="AC273" s="136">
        <v>238.57</v>
      </c>
      <c r="AD273" s="136">
        <f>Table1[[#This Row],[Total Amount]]-Table1[[#This Row],[Previous Amount]]</f>
        <v>64.680000000000007</v>
      </c>
      <c r="AE273" s="115"/>
      <c r="AG273" s="174">
        <v>303.25</v>
      </c>
      <c r="AH273" s="178">
        <f>AG273-Table1[[#This Row],[Total Amount]]</f>
        <v>0</v>
      </c>
      <c r="AI273" s="171">
        <f t="shared" si="36"/>
        <v>0</v>
      </c>
    </row>
    <row r="274" spans="1:35" ht="30" customHeight="1" x14ac:dyDescent="0.3">
      <c r="A274" s="91" t="s">
        <v>91</v>
      </c>
      <c r="B274" s="91" t="s">
        <v>99</v>
      </c>
      <c r="C274" s="109" t="s">
        <v>469</v>
      </c>
      <c r="D274" s="109">
        <v>77522</v>
      </c>
      <c r="E274" s="109"/>
      <c r="F274" s="110" t="s">
        <v>471</v>
      </c>
      <c r="G274" s="17" t="s">
        <v>202</v>
      </c>
      <c r="H274" s="109" t="s">
        <v>222</v>
      </c>
      <c r="I274" s="109">
        <v>1</v>
      </c>
      <c r="J274" s="109">
        <v>2.5</v>
      </c>
      <c r="K274" s="109">
        <v>1.8</v>
      </c>
      <c r="L274" s="109">
        <v>4</v>
      </c>
      <c r="M274" s="109">
        <v>1</v>
      </c>
      <c r="N274" s="111" t="s">
        <v>223</v>
      </c>
      <c r="O274" s="111">
        <f t="shared" si="34"/>
        <v>4</v>
      </c>
      <c r="P274" s="18">
        <v>44887</v>
      </c>
      <c r="Q274" s="125"/>
      <c r="R274" s="112">
        <v>1</v>
      </c>
      <c r="S274" s="112">
        <v>1</v>
      </c>
      <c r="T274" s="112">
        <v>0</v>
      </c>
      <c r="U274" s="113">
        <f>IF(ISBLANK(Table1[[#This Row],[OHC Date]]),$B$7-Table1[[#This Row],[HOC Date]]+1,Table1[[#This Row],[OHC Date]]-Table1[[#This Row],[HOC Date]]+1)/7</f>
        <v>4.8571428571428568</v>
      </c>
      <c r="V274" s="114">
        <v>63.34</v>
      </c>
      <c r="W274" s="114">
        <v>7.28</v>
      </c>
      <c r="X274" s="114">
        <f>ROUND(0.7*Table1[[#This Row],[E&amp;D Rate per unit]]*R274*Table1[[#This Row],[Quantity]],2)</f>
        <v>177.35</v>
      </c>
      <c r="Y274" s="114">
        <f t="shared" si="35"/>
        <v>141.44</v>
      </c>
      <c r="Z274" s="114">
        <f>ROUND(0.3*T274*Table1[[#This Row],[E&amp;D Rate per unit]]*Table1[[#This Row],[Quantity]],2)</f>
        <v>0</v>
      </c>
      <c r="AA274" s="112">
        <v>1</v>
      </c>
      <c r="AB274" s="21">
        <f>ROUND(X274+Z274+Y274,2)*Table1[[#This Row],[Until WA Approved Only Approved this %]]</f>
        <v>318.79000000000002</v>
      </c>
      <c r="AC274" s="136">
        <v>193.99</v>
      </c>
      <c r="AD274" s="136">
        <f>Table1[[#This Row],[Total Amount]]-Table1[[#This Row],[Previous Amount]]</f>
        <v>124.80000000000001</v>
      </c>
      <c r="AE274" s="115"/>
      <c r="AG274" s="174">
        <v>318.79000000000002</v>
      </c>
      <c r="AH274" s="178">
        <f>AG274-Table1[[#This Row],[Total Amount]]</f>
        <v>0</v>
      </c>
      <c r="AI274" s="171">
        <f t="shared" si="36"/>
        <v>0</v>
      </c>
    </row>
    <row r="275" spans="1:35" ht="30" customHeight="1" x14ac:dyDescent="0.3">
      <c r="A275" s="91" t="s">
        <v>91</v>
      </c>
      <c r="B275" s="91" t="s">
        <v>99</v>
      </c>
      <c r="C275" s="109">
        <v>95</v>
      </c>
      <c r="D275" s="109">
        <v>77523</v>
      </c>
      <c r="E275" s="109"/>
      <c r="F275" s="110" t="s">
        <v>472</v>
      </c>
      <c r="G275" s="17" t="s">
        <v>206</v>
      </c>
      <c r="H275" s="109" t="s">
        <v>222</v>
      </c>
      <c r="I275" s="109">
        <v>1</v>
      </c>
      <c r="J275" s="109">
        <v>1</v>
      </c>
      <c r="K275" s="109">
        <v>0.6</v>
      </c>
      <c r="L275" s="109">
        <v>2</v>
      </c>
      <c r="M275" s="109">
        <v>1</v>
      </c>
      <c r="N275" s="111" t="s">
        <v>223</v>
      </c>
      <c r="O275" s="111">
        <f t="shared" si="34"/>
        <v>2</v>
      </c>
      <c r="P275" s="18">
        <v>44888</v>
      </c>
      <c r="Q275" s="125"/>
      <c r="R275" s="112">
        <v>1</v>
      </c>
      <c r="S275" s="112">
        <v>1</v>
      </c>
      <c r="T275" s="112">
        <v>0</v>
      </c>
      <c r="U275" s="113">
        <f>IF(ISBLANK(Table1[[#This Row],[OHC Date]]),$B$7-Table1[[#This Row],[HOC Date]]+1,Table1[[#This Row],[OHC Date]]-Table1[[#This Row],[HOC Date]]+1)/7</f>
        <v>4.7142857142857144</v>
      </c>
      <c r="V275" s="114">
        <v>63.34</v>
      </c>
      <c r="W275" s="114">
        <v>7.28</v>
      </c>
      <c r="X275" s="114">
        <f>ROUND(0.7*Table1[[#This Row],[E&amp;D Rate per unit]]*R275*Table1[[#This Row],[Quantity]],2)</f>
        <v>88.68</v>
      </c>
      <c r="Y275" s="114">
        <f t="shared" si="35"/>
        <v>68.64</v>
      </c>
      <c r="Z275" s="114">
        <f>ROUND(0.3*T275*Table1[[#This Row],[E&amp;D Rate per unit]]*Table1[[#This Row],[Quantity]],2)</f>
        <v>0</v>
      </c>
      <c r="AA275" s="112">
        <v>1</v>
      </c>
      <c r="AB275" s="21">
        <f>ROUND(X275+Z275+Y275,2)*Table1[[#This Row],[Until WA Approved Only Approved this %]]</f>
        <v>157.32</v>
      </c>
      <c r="AC275" s="136">
        <v>94.92</v>
      </c>
      <c r="AD275" s="136">
        <f>Table1[[#This Row],[Total Amount]]-Table1[[#This Row],[Previous Amount]]</f>
        <v>62.399999999999991</v>
      </c>
      <c r="AE275" s="115"/>
      <c r="AG275" s="174">
        <v>157.32</v>
      </c>
      <c r="AH275" s="178">
        <f>AG275-Table1[[#This Row],[Total Amount]]</f>
        <v>0</v>
      </c>
      <c r="AI275" s="171">
        <f t="shared" si="36"/>
        <v>0</v>
      </c>
    </row>
    <row r="276" spans="1:35" ht="30" customHeight="1" x14ac:dyDescent="0.3">
      <c r="A276" s="91" t="s">
        <v>91</v>
      </c>
      <c r="B276" s="91" t="s">
        <v>99</v>
      </c>
      <c r="C276" s="109">
        <v>96</v>
      </c>
      <c r="D276" s="109">
        <v>77524</v>
      </c>
      <c r="E276" s="109"/>
      <c r="F276" s="110" t="s">
        <v>473</v>
      </c>
      <c r="G276" s="17" t="s">
        <v>218</v>
      </c>
      <c r="H276" s="109" t="s">
        <v>120</v>
      </c>
      <c r="I276" s="109">
        <v>1</v>
      </c>
      <c r="J276" s="109">
        <v>8</v>
      </c>
      <c r="K276" s="109">
        <v>2.5</v>
      </c>
      <c r="L276" s="109">
        <v>1.5</v>
      </c>
      <c r="M276" s="109">
        <v>1</v>
      </c>
      <c r="N276" s="92" t="s">
        <v>208</v>
      </c>
      <c r="O276" s="92">
        <f t="shared" si="34"/>
        <v>12</v>
      </c>
      <c r="P276" s="18">
        <v>44888</v>
      </c>
      <c r="Q276" s="125"/>
      <c r="R276" s="112">
        <v>1</v>
      </c>
      <c r="S276" s="112">
        <v>1</v>
      </c>
      <c r="T276" s="112">
        <v>0</v>
      </c>
      <c r="U276" s="113">
        <f>IF(ISBLANK(Table1[[#This Row],[OHC Date]]),$B$7-Table1[[#This Row],[HOC Date]]+1,Table1[[#This Row],[OHC Date]]-Table1[[#This Row],[HOC Date]]+1)/7</f>
        <v>4.7142857142857144</v>
      </c>
      <c r="V276" s="114">
        <v>16.760000000000002</v>
      </c>
      <c r="W276" s="114">
        <v>0.77</v>
      </c>
      <c r="X276" s="114">
        <f>ROUND(0.7*Table1[[#This Row],[E&amp;D Rate per unit]]*R276*Table1[[#This Row],[Quantity]],2)</f>
        <v>140.78</v>
      </c>
      <c r="Y276" s="114">
        <f t="shared" si="35"/>
        <v>43.56</v>
      </c>
      <c r="Z276" s="114">
        <f>ROUND(0.3*T276*Table1[[#This Row],[E&amp;D Rate per unit]]*Table1[[#This Row],[Quantity]],2)</f>
        <v>0</v>
      </c>
      <c r="AA276" s="112">
        <v>1</v>
      </c>
      <c r="AB276" s="21">
        <f>ROUND(X276+Z276+Y276,2)*Table1[[#This Row],[Until WA Approved Only Approved this %]]</f>
        <v>184.34</v>
      </c>
      <c r="AC276" s="136">
        <v>144.74</v>
      </c>
      <c r="AD276" s="136">
        <f>Table1[[#This Row],[Total Amount]]-Table1[[#This Row],[Previous Amount]]</f>
        <v>39.599999999999994</v>
      </c>
      <c r="AE276" s="115"/>
      <c r="AG276" s="174">
        <v>184.34</v>
      </c>
      <c r="AH276" s="178">
        <f>AG276-Table1[[#This Row],[Total Amount]]</f>
        <v>0</v>
      </c>
      <c r="AI276" s="171">
        <f t="shared" si="36"/>
        <v>0</v>
      </c>
    </row>
    <row r="277" spans="1:35" ht="30" customHeight="1" x14ac:dyDescent="0.3">
      <c r="A277" s="91" t="s">
        <v>91</v>
      </c>
      <c r="B277" s="91" t="s">
        <v>99</v>
      </c>
      <c r="C277" s="109">
        <v>97</v>
      </c>
      <c r="D277" s="109">
        <v>77525</v>
      </c>
      <c r="E277" s="109">
        <v>80569</v>
      </c>
      <c r="F277" s="110" t="s">
        <v>473</v>
      </c>
      <c r="G277" s="17" t="s">
        <v>218</v>
      </c>
      <c r="H277" s="109" t="s">
        <v>222</v>
      </c>
      <c r="I277" s="109">
        <v>1</v>
      </c>
      <c r="J277" s="109">
        <v>2.5</v>
      </c>
      <c r="K277" s="109">
        <v>1.3</v>
      </c>
      <c r="L277" s="109">
        <v>1.5</v>
      </c>
      <c r="M277" s="109">
        <v>1</v>
      </c>
      <c r="N277" s="111" t="s">
        <v>223</v>
      </c>
      <c r="O277" s="111">
        <f t="shared" si="34"/>
        <v>1.5</v>
      </c>
      <c r="P277" s="18">
        <v>44888</v>
      </c>
      <c r="Q277" s="125">
        <v>44909</v>
      </c>
      <c r="R277" s="112">
        <v>1</v>
      </c>
      <c r="S277" s="112">
        <v>1</v>
      </c>
      <c r="T277" s="112">
        <v>1</v>
      </c>
      <c r="U277" s="113">
        <f>IF(ISBLANK(Table1[[#This Row],[OHC Date]]),$B$7-Table1[[#This Row],[HOC Date]]+1,Table1[[#This Row],[OHC Date]]-Table1[[#This Row],[HOC Date]]+1)/7</f>
        <v>3.1428571428571428</v>
      </c>
      <c r="V277" s="114">
        <v>63.34</v>
      </c>
      <c r="W277" s="114">
        <v>7.28</v>
      </c>
      <c r="X277" s="114">
        <f>ROUND(0.7*Table1[[#This Row],[E&amp;D Rate per unit]]*R277*Table1[[#This Row],[Quantity]],2)</f>
        <v>66.510000000000005</v>
      </c>
      <c r="Y277" s="114">
        <f t="shared" si="35"/>
        <v>34.32</v>
      </c>
      <c r="Z277" s="114">
        <f>ROUND(0.3*T277*Table1[[#This Row],[E&amp;D Rate per unit]]*Table1[[#This Row],[Quantity]],2)</f>
        <v>28.5</v>
      </c>
      <c r="AA277" s="112">
        <v>1</v>
      </c>
      <c r="AB277" s="21">
        <f>ROUND(X277+Z277+Y277,2)*Table1[[#This Row],[Until WA Approved Only Approved this %]]</f>
        <v>129.33000000000001</v>
      </c>
      <c r="AC277" s="136">
        <v>71.19</v>
      </c>
      <c r="AD277" s="136">
        <f>Table1[[#This Row],[Total Amount]]-Table1[[#This Row],[Previous Amount]]</f>
        <v>58.140000000000015</v>
      </c>
      <c r="AE277" s="115"/>
      <c r="AG277" s="174">
        <v>129.33000000000001</v>
      </c>
      <c r="AH277" s="178">
        <f>AG277-Table1[[#This Row],[Total Amount]]</f>
        <v>0</v>
      </c>
      <c r="AI277" s="171">
        <f t="shared" si="36"/>
        <v>0</v>
      </c>
    </row>
    <row r="278" spans="1:35" ht="30" customHeight="1" x14ac:dyDescent="0.3">
      <c r="A278" s="91" t="s">
        <v>91</v>
      </c>
      <c r="B278" s="91" t="s">
        <v>99</v>
      </c>
      <c r="C278" s="109">
        <v>98</v>
      </c>
      <c r="D278" s="109">
        <v>77526</v>
      </c>
      <c r="E278" s="109"/>
      <c r="F278" s="110" t="s">
        <v>472</v>
      </c>
      <c r="G278" s="17" t="s">
        <v>225</v>
      </c>
      <c r="H278" s="109" t="s">
        <v>222</v>
      </c>
      <c r="I278" s="109">
        <v>1</v>
      </c>
      <c r="J278" s="109">
        <v>1</v>
      </c>
      <c r="K278" s="109">
        <v>0.6</v>
      </c>
      <c r="L278" s="109">
        <v>2</v>
      </c>
      <c r="M278" s="109">
        <v>1</v>
      </c>
      <c r="N278" s="111" t="s">
        <v>223</v>
      </c>
      <c r="O278" s="111">
        <f t="shared" si="34"/>
        <v>2</v>
      </c>
      <c r="P278" s="18">
        <v>44888</v>
      </c>
      <c r="Q278" s="125"/>
      <c r="R278" s="112">
        <v>1</v>
      </c>
      <c r="S278" s="112">
        <v>1</v>
      </c>
      <c r="T278" s="112">
        <v>0</v>
      </c>
      <c r="U278" s="113">
        <f>IF(ISBLANK(Table1[[#This Row],[OHC Date]]),$B$7-Table1[[#This Row],[HOC Date]]+1,Table1[[#This Row],[OHC Date]]-Table1[[#This Row],[HOC Date]]+1)/7</f>
        <v>4.7142857142857144</v>
      </c>
      <c r="V278" s="114">
        <v>63.34</v>
      </c>
      <c r="W278" s="114">
        <v>7.28</v>
      </c>
      <c r="X278" s="114">
        <f>ROUND(0.7*Table1[[#This Row],[E&amp;D Rate per unit]]*R278*Table1[[#This Row],[Quantity]],2)</f>
        <v>88.68</v>
      </c>
      <c r="Y278" s="114">
        <f t="shared" si="35"/>
        <v>68.64</v>
      </c>
      <c r="Z278" s="114">
        <f>ROUND(0.3*T278*Table1[[#This Row],[E&amp;D Rate per unit]]*Table1[[#This Row],[Quantity]],2)</f>
        <v>0</v>
      </c>
      <c r="AA278" s="112">
        <v>1</v>
      </c>
      <c r="AB278" s="21">
        <f>ROUND(X278+Z278+Y278,2)*Table1[[#This Row],[Until WA Approved Only Approved this %]]</f>
        <v>157.32</v>
      </c>
      <c r="AC278" s="136">
        <v>94.92</v>
      </c>
      <c r="AD278" s="136">
        <f>Table1[[#This Row],[Total Amount]]-Table1[[#This Row],[Previous Amount]]</f>
        <v>62.399999999999991</v>
      </c>
      <c r="AE278" s="115"/>
      <c r="AG278" s="174">
        <v>157.32</v>
      </c>
      <c r="AH278" s="178">
        <f>AG278-Table1[[#This Row],[Total Amount]]</f>
        <v>0</v>
      </c>
      <c r="AI278" s="171">
        <f t="shared" si="36"/>
        <v>0</v>
      </c>
    </row>
    <row r="279" spans="1:35" ht="30" customHeight="1" x14ac:dyDescent="0.3">
      <c r="A279" s="91" t="s">
        <v>91</v>
      </c>
      <c r="B279" s="91" t="s">
        <v>99</v>
      </c>
      <c r="C279" s="109" t="s">
        <v>474</v>
      </c>
      <c r="D279" s="109">
        <v>77527</v>
      </c>
      <c r="E279" s="109">
        <v>80534</v>
      </c>
      <c r="F279" s="110" t="s">
        <v>475</v>
      </c>
      <c r="G279" s="17" t="s">
        <v>225</v>
      </c>
      <c r="H279" s="109" t="s">
        <v>128</v>
      </c>
      <c r="I279" s="109">
        <v>1</v>
      </c>
      <c r="J279" s="109">
        <v>2.5</v>
      </c>
      <c r="K279" s="109">
        <v>0.5</v>
      </c>
      <c r="L279" s="109">
        <v>1</v>
      </c>
      <c r="M279" s="109">
        <v>1</v>
      </c>
      <c r="N279" s="111" t="s">
        <v>162</v>
      </c>
      <c r="O279" s="111">
        <f t="shared" si="34"/>
        <v>1.25</v>
      </c>
      <c r="P279" s="18">
        <v>44888</v>
      </c>
      <c r="Q279" s="125">
        <v>44889</v>
      </c>
      <c r="R279" s="112">
        <v>1</v>
      </c>
      <c r="S279" s="112">
        <v>1</v>
      </c>
      <c r="T279" s="112">
        <v>1</v>
      </c>
      <c r="U279" s="113">
        <f>IF(ISBLANK(Table1[[#This Row],[OHC Date]]),$B$7-Table1[[#This Row],[HOC Date]]+1,Table1[[#This Row],[OHC Date]]-Table1[[#This Row],[HOC Date]]+1)/7</f>
        <v>0.2857142857142857</v>
      </c>
      <c r="V279" s="114">
        <v>32.75</v>
      </c>
      <c r="W279" s="114">
        <v>1.05</v>
      </c>
      <c r="X279" s="114">
        <f>ROUND(0.7*Table1[[#This Row],[E&amp;D Rate per unit]]*R279*Table1[[#This Row],[Quantity]],2)</f>
        <v>28.66</v>
      </c>
      <c r="Y279" s="114">
        <f t="shared" si="35"/>
        <v>0.38</v>
      </c>
      <c r="Z279" s="114">
        <f>ROUND(0.3*T279*Table1[[#This Row],[E&amp;D Rate per unit]]*Table1[[#This Row],[Quantity]],2)</f>
        <v>12.28</v>
      </c>
      <c r="AA279" s="112">
        <v>1</v>
      </c>
      <c r="AB279" s="21">
        <f>ROUND(X279+Z279+Y279,2)*Table1[[#This Row],[Until WA Approved Only Approved this %]]</f>
        <v>41.32</v>
      </c>
      <c r="AC279" s="136">
        <v>41.32</v>
      </c>
      <c r="AD279" s="136">
        <f>Table1[[#This Row],[Total Amount]]-Table1[[#This Row],[Previous Amount]]</f>
        <v>0</v>
      </c>
      <c r="AE279" s="115"/>
      <c r="AG279" s="174">
        <v>41.32</v>
      </c>
      <c r="AH279" s="178">
        <f>AG279-Table1[[#This Row],[Total Amount]]</f>
        <v>0</v>
      </c>
      <c r="AI279" s="171">
        <f t="shared" si="36"/>
        <v>0</v>
      </c>
    </row>
    <row r="280" spans="1:35" ht="30" customHeight="1" x14ac:dyDescent="0.3">
      <c r="A280" s="91" t="s">
        <v>91</v>
      </c>
      <c r="B280" s="91" t="s">
        <v>99</v>
      </c>
      <c r="C280" s="109">
        <v>99</v>
      </c>
      <c r="D280" s="109">
        <v>77529</v>
      </c>
      <c r="E280" s="109">
        <v>80553</v>
      </c>
      <c r="F280" s="110" t="s">
        <v>476</v>
      </c>
      <c r="G280" s="17" t="s">
        <v>202</v>
      </c>
      <c r="H280" s="109" t="s">
        <v>222</v>
      </c>
      <c r="I280" s="109">
        <v>1</v>
      </c>
      <c r="J280" s="109">
        <v>1.3</v>
      </c>
      <c r="K280" s="109">
        <v>1.3</v>
      </c>
      <c r="L280" s="109">
        <v>1</v>
      </c>
      <c r="M280" s="109">
        <v>1</v>
      </c>
      <c r="N280" s="111" t="s">
        <v>223</v>
      </c>
      <c r="O280" s="111">
        <f t="shared" si="34"/>
        <v>1</v>
      </c>
      <c r="P280" s="18">
        <v>44889</v>
      </c>
      <c r="Q280" s="125">
        <v>44901</v>
      </c>
      <c r="R280" s="112">
        <v>1</v>
      </c>
      <c r="S280" s="112">
        <v>1</v>
      </c>
      <c r="T280" s="112">
        <v>1</v>
      </c>
      <c r="U280" s="113">
        <f>IF(ISBLANK(Table1[[#This Row],[OHC Date]]),$B$7-Table1[[#This Row],[HOC Date]]+1,Table1[[#This Row],[OHC Date]]-Table1[[#This Row],[HOC Date]]+1)/7</f>
        <v>1.8571428571428572</v>
      </c>
      <c r="V280" s="114">
        <v>63.34</v>
      </c>
      <c r="W280" s="114">
        <v>7.28</v>
      </c>
      <c r="X280" s="114">
        <f>ROUND(0.7*Table1[[#This Row],[E&amp;D Rate per unit]]*R280*Table1[[#This Row],[Quantity]],2)</f>
        <v>44.34</v>
      </c>
      <c r="Y280" s="114">
        <f t="shared" si="35"/>
        <v>13.52</v>
      </c>
      <c r="Z280" s="114">
        <f>ROUND(0.3*T280*Table1[[#This Row],[E&amp;D Rate per unit]]*Table1[[#This Row],[Quantity]],2)</f>
        <v>19</v>
      </c>
      <c r="AA280" s="112">
        <v>1</v>
      </c>
      <c r="AB280" s="21">
        <f>ROUND(X280+Z280+Y280,2)*Table1[[#This Row],[Until WA Approved Only Approved this %]]</f>
        <v>76.86</v>
      </c>
      <c r="AC280" s="136">
        <v>46.42</v>
      </c>
      <c r="AD280" s="136">
        <f>Table1[[#This Row],[Total Amount]]-Table1[[#This Row],[Previous Amount]]</f>
        <v>30.439999999999998</v>
      </c>
      <c r="AE280" s="115"/>
      <c r="AG280" s="174">
        <v>76.86</v>
      </c>
      <c r="AH280" s="178">
        <f>AG280-Table1[[#This Row],[Total Amount]]</f>
        <v>0</v>
      </c>
      <c r="AI280" s="171">
        <f t="shared" si="36"/>
        <v>0</v>
      </c>
    </row>
    <row r="281" spans="1:35" ht="30" customHeight="1" x14ac:dyDescent="0.3">
      <c r="A281" s="91" t="s">
        <v>91</v>
      </c>
      <c r="B281" s="91" t="s">
        <v>99</v>
      </c>
      <c r="C281" s="109">
        <v>100</v>
      </c>
      <c r="D281" s="109">
        <v>77530</v>
      </c>
      <c r="E281" s="109"/>
      <c r="F281" s="110" t="s">
        <v>472</v>
      </c>
      <c r="G281" s="17" t="s">
        <v>202</v>
      </c>
      <c r="H281" s="109" t="s">
        <v>222</v>
      </c>
      <c r="I281" s="109">
        <v>1</v>
      </c>
      <c r="J281" s="109">
        <v>1</v>
      </c>
      <c r="K281" s="109">
        <v>0.75</v>
      </c>
      <c r="L281" s="109">
        <v>4</v>
      </c>
      <c r="M281" s="109">
        <v>2</v>
      </c>
      <c r="N281" s="111" t="s">
        <v>223</v>
      </c>
      <c r="O281" s="111">
        <f t="shared" si="34"/>
        <v>4</v>
      </c>
      <c r="P281" s="18">
        <v>44889</v>
      </c>
      <c r="Q281" s="125"/>
      <c r="R281" s="112">
        <v>1</v>
      </c>
      <c r="S281" s="112">
        <v>1</v>
      </c>
      <c r="T281" s="112">
        <v>0</v>
      </c>
      <c r="U281" s="113">
        <f>IF(ISBLANK(Table1[[#This Row],[OHC Date]]),$B$7-Table1[[#This Row],[HOC Date]]+1,Table1[[#This Row],[OHC Date]]-Table1[[#This Row],[HOC Date]]+1)/7</f>
        <v>4.5714285714285712</v>
      </c>
      <c r="V281" s="114">
        <v>63.34</v>
      </c>
      <c r="W281" s="114">
        <v>7.28</v>
      </c>
      <c r="X281" s="114">
        <f>ROUND(0.7*Table1[[#This Row],[E&amp;D Rate per unit]]*R281*Table1[[#This Row],[Quantity]],2)</f>
        <v>177.35</v>
      </c>
      <c r="Y281" s="114">
        <f t="shared" si="35"/>
        <v>133.12</v>
      </c>
      <c r="Z281" s="114">
        <f>ROUND(0.3*T281*Table1[[#This Row],[E&amp;D Rate per unit]]*Table1[[#This Row],[Quantity]],2)</f>
        <v>0</v>
      </c>
      <c r="AA281" s="112">
        <v>1</v>
      </c>
      <c r="AB281" s="21">
        <f>ROUND(X281+Z281+Y281,2)*Table1[[#This Row],[Until WA Approved Only Approved this %]]</f>
        <v>310.47000000000003</v>
      </c>
      <c r="AC281" s="136">
        <v>185.67</v>
      </c>
      <c r="AD281" s="136">
        <f>Table1[[#This Row],[Total Amount]]-Table1[[#This Row],[Previous Amount]]</f>
        <v>124.80000000000004</v>
      </c>
      <c r="AE281" s="115"/>
      <c r="AG281" s="174">
        <v>310.47000000000003</v>
      </c>
      <c r="AH281" s="178">
        <f>AG281-Table1[[#This Row],[Total Amount]]</f>
        <v>0</v>
      </c>
      <c r="AI281" s="171">
        <f t="shared" si="36"/>
        <v>0</v>
      </c>
    </row>
    <row r="282" spans="1:35" ht="30" customHeight="1" x14ac:dyDescent="0.3">
      <c r="A282" s="91" t="s">
        <v>91</v>
      </c>
      <c r="B282" s="91" t="s">
        <v>99</v>
      </c>
      <c r="C282" s="109" t="s">
        <v>477</v>
      </c>
      <c r="D282" s="109">
        <v>77531</v>
      </c>
      <c r="E282" s="109"/>
      <c r="F282" s="110" t="s">
        <v>478</v>
      </c>
      <c r="G282" s="17" t="s">
        <v>202</v>
      </c>
      <c r="H282" s="109" t="s">
        <v>129</v>
      </c>
      <c r="I282" s="109">
        <v>1</v>
      </c>
      <c r="J282" s="109">
        <v>2.5</v>
      </c>
      <c r="K282" s="109">
        <v>0.75</v>
      </c>
      <c r="L282" s="109">
        <v>1</v>
      </c>
      <c r="M282" s="109">
        <v>1</v>
      </c>
      <c r="N282" s="111" t="s">
        <v>162</v>
      </c>
      <c r="O282" s="111">
        <f t="shared" si="34"/>
        <v>1.88</v>
      </c>
      <c r="P282" s="18">
        <v>44889</v>
      </c>
      <c r="Q282" s="125"/>
      <c r="R282" s="112">
        <v>1</v>
      </c>
      <c r="S282" s="112">
        <v>1</v>
      </c>
      <c r="T282" s="112">
        <v>0</v>
      </c>
      <c r="U282" s="113">
        <f>IF(ISBLANK(Table1[[#This Row],[OHC Date]]),$B$7-Table1[[#This Row],[HOC Date]]+1,Table1[[#This Row],[OHC Date]]-Table1[[#This Row],[HOC Date]]+1)/7</f>
        <v>4.5714285714285712</v>
      </c>
      <c r="V282" s="114">
        <v>36.520000000000003</v>
      </c>
      <c r="W282" s="114">
        <v>2.94</v>
      </c>
      <c r="X282" s="114">
        <f>ROUND(0.7*Table1[[#This Row],[E&amp;D Rate per unit]]*R282*Table1[[#This Row],[Quantity]],2)</f>
        <v>48.06</v>
      </c>
      <c r="Y282" s="114">
        <f t="shared" si="35"/>
        <v>25.27</v>
      </c>
      <c r="Z282" s="114">
        <f>ROUND(0.3*T282*Table1[[#This Row],[E&amp;D Rate per unit]]*Table1[[#This Row],[Quantity]],2)</f>
        <v>0</v>
      </c>
      <c r="AA282" s="112">
        <v>1</v>
      </c>
      <c r="AB282" s="21">
        <f>ROUND(X282+Z282+Y282,2)*Table1[[#This Row],[Until WA Approved Only Approved this %]]</f>
        <v>73.33</v>
      </c>
      <c r="AC282" s="136">
        <v>49.64</v>
      </c>
      <c r="AD282" s="136">
        <f>Table1[[#This Row],[Total Amount]]-Table1[[#This Row],[Previous Amount]]</f>
        <v>23.689999999999998</v>
      </c>
      <c r="AE282" s="115"/>
      <c r="AG282" s="174">
        <v>73.33</v>
      </c>
      <c r="AH282" s="178">
        <f>AG282-Table1[[#This Row],[Total Amount]]</f>
        <v>0</v>
      </c>
      <c r="AI282" s="171">
        <f t="shared" si="36"/>
        <v>0</v>
      </c>
    </row>
    <row r="283" spans="1:35" ht="30" customHeight="1" x14ac:dyDescent="0.3">
      <c r="A283" s="91" t="s">
        <v>91</v>
      </c>
      <c r="B283" s="91" t="s">
        <v>99</v>
      </c>
      <c r="C283" s="109">
        <v>101</v>
      </c>
      <c r="D283" s="109">
        <v>77532</v>
      </c>
      <c r="E283" s="109"/>
      <c r="F283" s="110" t="s">
        <v>472</v>
      </c>
      <c r="G283" s="17" t="s">
        <v>256</v>
      </c>
      <c r="H283" s="109" t="s">
        <v>222</v>
      </c>
      <c r="I283" s="109">
        <v>1</v>
      </c>
      <c r="J283" s="109">
        <v>1</v>
      </c>
      <c r="K283" s="109">
        <v>0.5</v>
      </c>
      <c r="L283" s="109">
        <v>4</v>
      </c>
      <c r="M283" s="109">
        <v>2</v>
      </c>
      <c r="N283" s="111" t="s">
        <v>223</v>
      </c>
      <c r="O283" s="111">
        <f t="shared" si="34"/>
        <v>4</v>
      </c>
      <c r="P283" s="18">
        <v>44890</v>
      </c>
      <c r="Q283" s="125"/>
      <c r="R283" s="112">
        <v>1</v>
      </c>
      <c r="S283" s="112">
        <v>1</v>
      </c>
      <c r="T283" s="112">
        <v>0</v>
      </c>
      <c r="U283" s="113">
        <f>IF(ISBLANK(Table1[[#This Row],[OHC Date]]),$B$7-Table1[[#This Row],[HOC Date]]+1,Table1[[#This Row],[OHC Date]]-Table1[[#This Row],[HOC Date]]+1)/7</f>
        <v>4.4285714285714288</v>
      </c>
      <c r="V283" s="114">
        <v>63.34</v>
      </c>
      <c r="W283" s="114">
        <v>7.28</v>
      </c>
      <c r="X283" s="114">
        <f>ROUND(0.7*Table1[[#This Row],[E&amp;D Rate per unit]]*R283*Table1[[#This Row],[Quantity]],2)</f>
        <v>177.35</v>
      </c>
      <c r="Y283" s="114">
        <f t="shared" si="35"/>
        <v>128.96</v>
      </c>
      <c r="Z283" s="114">
        <f>ROUND(0.3*T283*Table1[[#This Row],[E&amp;D Rate per unit]]*Table1[[#This Row],[Quantity]],2)</f>
        <v>0</v>
      </c>
      <c r="AA283" s="112">
        <v>1</v>
      </c>
      <c r="AB283" s="21">
        <f>ROUND(X283+Z283+Y283,2)*Table1[[#This Row],[Until WA Approved Only Approved this %]]</f>
        <v>306.31</v>
      </c>
      <c r="AC283" s="136">
        <v>181.51</v>
      </c>
      <c r="AD283" s="136">
        <f>Table1[[#This Row],[Total Amount]]-Table1[[#This Row],[Previous Amount]]</f>
        <v>124.80000000000001</v>
      </c>
      <c r="AE283" s="115"/>
      <c r="AG283" s="174">
        <v>306.31</v>
      </c>
      <c r="AH283" s="178">
        <f>AG283-Table1[[#This Row],[Total Amount]]</f>
        <v>0</v>
      </c>
      <c r="AI283" s="171">
        <f t="shared" si="36"/>
        <v>0</v>
      </c>
    </row>
    <row r="284" spans="1:35" ht="30" customHeight="1" x14ac:dyDescent="0.3">
      <c r="A284" s="91" t="s">
        <v>91</v>
      </c>
      <c r="B284" s="91" t="s">
        <v>99</v>
      </c>
      <c r="C284" s="109" t="s">
        <v>479</v>
      </c>
      <c r="D284" s="109">
        <v>77533</v>
      </c>
      <c r="E284" s="109"/>
      <c r="F284" s="110" t="s">
        <v>240</v>
      </c>
      <c r="G284" s="17" t="s">
        <v>161</v>
      </c>
      <c r="H284" s="109" t="s">
        <v>128</v>
      </c>
      <c r="I284" s="109">
        <v>1</v>
      </c>
      <c r="J284" s="109">
        <v>10.8</v>
      </c>
      <c r="K284" s="109">
        <v>0.5</v>
      </c>
      <c r="L284" s="109">
        <v>1</v>
      </c>
      <c r="M284" s="109">
        <v>1</v>
      </c>
      <c r="N284" s="111" t="s">
        <v>162</v>
      </c>
      <c r="O284" s="111">
        <f t="shared" si="34"/>
        <v>5.4</v>
      </c>
      <c r="P284" s="18">
        <v>44890</v>
      </c>
      <c r="Q284" s="125"/>
      <c r="R284" s="112">
        <v>1</v>
      </c>
      <c r="S284" s="112">
        <v>1</v>
      </c>
      <c r="T284" s="112">
        <v>0</v>
      </c>
      <c r="U284" s="113">
        <f>IF(ISBLANK(Table1[[#This Row],[OHC Date]]),$B$7-Table1[[#This Row],[HOC Date]]+1,Table1[[#This Row],[OHC Date]]-Table1[[#This Row],[HOC Date]]+1)/7</f>
        <v>4.4285714285714288</v>
      </c>
      <c r="V284" s="114">
        <v>32.75</v>
      </c>
      <c r="W284" s="114">
        <v>1.05</v>
      </c>
      <c r="X284" s="114">
        <f>ROUND(0.7*Table1[[#This Row],[E&amp;D Rate per unit]]*R284*Table1[[#This Row],[Quantity]],2)</f>
        <v>123.8</v>
      </c>
      <c r="Y284" s="114">
        <f t="shared" si="35"/>
        <v>25.11</v>
      </c>
      <c r="Z284" s="114">
        <f>ROUND(0.3*T284*Table1[[#This Row],[E&amp;D Rate per unit]]*Table1[[#This Row],[Quantity]],2)</f>
        <v>0</v>
      </c>
      <c r="AA284" s="112">
        <v>1</v>
      </c>
      <c r="AB284" s="21">
        <f>ROUND(X284+Z284+Y284,2)*Table1[[#This Row],[Until WA Approved Only Approved this %]]</f>
        <v>148.91</v>
      </c>
      <c r="AC284" s="136">
        <v>124.61</v>
      </c>
      <c r="AD284" s="136">
        <f>Table1[[#This Row],[Total Amount]]-Table1[[#This Row],[Previous Amount]]</f>
        <v>24.299999999999997</v>
      </c>
      <c r="AE284" s="115"/>
      <c r="AG284" s="174">
        <v>148.91</v>
      </c>
      <c r="AH284" s="178">
        <f>AG284-Table1[[#This Row],[Total Amount]]</f>
        <v>0</v>
      </c>
      <c r="AI284" s="171">
        <f t="shared" si="36"/>
        <v>0</v>
      </c>
    </row>
    <row r="285" spans="1:35" ht="30" customHeight="1" x14ac:dyDescent="0.3">
      <c r="A285" s="91" t="s">
        <v>91</v>
      </c>
      <c r="B285" s="91" t="s">
        <v>98</v>
      </c>
      <c r="C285" s="109">
        <v>18</v>
      </c>
      <c r="D285" s="109">
        <v>74639</v>
      </c>
      <c r="E285" s="109">
        <v>76808</v>
      </c>
      <c r="F285" s="110" t="s">
        <v>386</v>
      </c>
      <c r="G285" s="17" t="s">
        <v>228</v>
      </c>
      <c r="H285" s="109" t="s">
        <v>222</v>
      </c>
      <c r="I285" s="109">
        <v>1</v>
      </c>
      <c r="J285" s="109">
        <v>1.8</v>
      </c>
      <c r="K285" s="109">
        <v>1.3</v>
      </c>
      <c r="L285" s="109">
        <v>2</v>
      </c>
      <c r="M285" s="109">
        <v>1</v>
      </c>
      <c r="N285" s="111" t="s">
        <v>223</v>
      </c>
      <c r="O285" s="111">
        <f t="shared" ref="O285:O302" si="37">ROUND(IF(N285="m3",I285*J285*K285*L285,IF(N285="m2-LxH",I285*J285*L285,IF(N285="m2-LxW",I285*J285*K285,IF(N285="rm",I285*L285,IF(N285="lm",I285*J285,IF(N285="unit",I285,"NA")))))),2)</f>
        <v>2</v>
      </c>
      <c r="P285" s="125">
        <v>44861</v>
      </c>
      <c r="Q285" s="125">
        <v>44870</v>
      </c>
      <c r="R285" s="112">
        <v>1</v>
      </c>
      <c r="S285" s="112">
        <v>1</v>
      </c>
      <c r="T285" s="112">
        <v>1</v>
      </c>
      <c r="U285" s="113">
        <f>IF(ISBLANK(Table1[[#This Row],[OHC Date]]),$B$7-Table1[[#This Row],[HOC Date]]+1,Table1[[#This Row],[OHC Date]]-Table1[[#This Row],[HOC Date]]+1)/7</f>
        <v>1.4285714285714286</v>
      </c>
      <c r="V285" s="114">
        <v>63.34</v>
      </c>
      <c r="W285" s="114">
        <v>7.28</v>
      </c>
      <c r="X285" s="114">
        <f>ROUND(0.7*Table1[[#This Row],[E&amp;D Rate per unit]]*R285*Table1[[#This Row],[Quantity]],2)</f>
        <v>88.68</v>
      </c>
      <c r="Y285" s="114">
        <f t="shared" ref="Y285:Y302" si="38">ROUND(O285*U285*W285*S285,2)</f>
        <v>20.8</v>
      </c>
      <c r="Z285" s="114">
        <f>ROUND(0.3*T285*Table1[[#This Row],[E&amp;D Rate per unit]]*Table1[[#This Row],[Quantity]],2)</f>
        <v>38</v>
      </c>
      <c r="AA285" s="112">
        <v>1</v>
      </c>
      <c r="AB285" s="21">
        <f>ROUND(X285+Z285+Y285,2)*Table1[[#This Row],[Until WA Approved Only Approved this %]]</f>
        <v>147.47999999999999</v>
      </c>
      <c r="AC285" s="136">
        <v>147.47999999999999</v>
      </c>
      <c r="AD285" s="136">
        <f>Table1[[#This Row],[Total Amount]]-Table1[[#This Row],[Previous Amount]]</f>
        <v>0</v>
      </c>
      <c r="AE285" s="115"/>
      <c r="AG285" s="174">
        <v>147.47999999999999</v>
      </c>
      <c r="AH285" s="178">
        <f>AG285-Table1[[#This Row],[Total Amount]]</f>
        <v>0</v>
      </c>
      <c r="AI285" s="171">
        <f t="shared" si="36"/>
        <v>0</v>
      </c>
    </row>
    <row r="286" spans="1:35" ht="30" customHeight="1" x14ac:dyDescent="0.3">
      <c r="A286" s="91" t="s">
        <v>91</v>
      </c>
      <c r="B286" s="91" t="s">
        <v>98</v>
      </c>
      <c r="C286" s="109">
        <v>19</v>
      </c>
      <c r="D286" s="109">
        <v>74640</v>
      </c>
      <c r="E286" s="109">
        <v>76809</v>
      </c>
      <c r="F286" s="110" t="s">
        <v>386</v>
      </c>
      <c r="G286" s="17" t="s">
        <v>228</v>
      </c>
      <c r="H286" s="109" t="s">
        <v>222</v>
      </c>
      <c r="I286" s="109">
        <v>1</v>
      </c>
      <c r="J286" s="109">
        <v>1.8</v>
      </c>
      <c r="K286" s="109">
        <v>1.3</v>
      </c>
      <c r="L286" s="109">
        <v>2.2999999999999998</v>
      </c>
      <c r="M286" s="109">
        <v>1</v>
      </c>
      <c r="N286" s="92" t="s">
        <v>223</v>
      </c>
      <c r="O286" s="111">
        <f t="shared" si="37"/>
        <v>2.2999999999999998</v>
      </c>
      <c r="P286" s="125">
        <v>44861</v>
      </c>
      <c r="Q286" s="125">
        <v>44870</v>
      </c>
      <c r="R286" s="112">
        <v>1</v>
      </c>
      <c r="S286" s="112">
        <v>1</v>
      </c>
      <c r="T286" s="112">
        <v>1</v>
      </c>
      <c r="U286" s="113">
        <f>IF(ISBLANK(Table1[[#This Row],[OHC Date]]),$B$7-Table1[[#This Row],[HOC Date]]+1,Table1[[#This Row],[OHC Date]]-Table1[[#This Row],[HOC Date]]+1)/7</f>
        <v>1.4285714285714286</v>
      </c>
      <c r="V286" s="114">
        <v>63.34</v>
      </c>
      <c r="W286" s="114">
        <v>7.28</v>
      </c>
      <c r="X286" s="114">
        <f>ROUND(0.7*Table1[[#This Row],[E&amp;D Rate per unit]]*R286*Table1[[#This Row],[Quantity]],2)</f>
        <v>101.98</v>
      </c>
      <c r="Y286" s="114">
        <f t="shared" si="38"/>
        <v>23.92</v>
      </c>
      <c r="Z286" s="114">
        <f>ROUND(0.3*T286*Table1[[#This Row],[E&amp;D Rate per unit]]*Table1[[#This Row],[Quantity]],2)</f>
        <v>43.7</v>
      </c>
      <c r="AA286" s="112">
        <v>1</v>
      </c>
      <c r="AB286" s="21">
        <f>ROUND(X286+Z286+Y286,2)*Table1[[#This Row],[Until WA Approved Only Approved this %]]</f>
        <v>169.6</v>
      </c>
      <c r="AC286" s="136">
        <v>169.6</v>
      </c>
      <c r="AD286" s="136">
        <f>Table1[[#This Row],[Total Amount]]-Table1[[#This Row],[Previous Amount]]</f>
        <v>0</v>
      </c>
      <c r="AE286" s="115"/>
      <c r="AG286" s="174">
        <v>169.6</v>
      </c>
      <c r="AH286" s="178">
        <f>AG286-Table1[[#This Row],[Total Amount]]</f>
        <v>0</v>
      </c>
      <c r="AI286" s="171">
        <f t="shared" si="36"/>
        <v>0</v>
      </c>
    </row>
    <row r="287" spans="1:35" ht="30" customHeight="1" x14ac:dyDescent="0.3">
      <c r="A287" s="91" t="s">
        <v>91</v>
      </c>
      <c r="B287" s="91" t="s">
        <v>98</v>
      </c>
      <c r="C287" s="109">
        <v>20</v>
      </c>
      <c r="D287" s="109">
        <v>74641</v>
      </c>
      <c r="E287" s="109">
        <v>76817</v>
      </c>
      <c r="F287" s="17" t="s">
        <v>387</v>
      </c>
      <c r="G287" s="17" t="s">
        <v>202</v>
      </c>
      <c r="H287" s="109" t="s">
        <v>222</v>
      </c>
      <c r="I287" s="109">
        <v>1</v>
      </c>
      <c r="J287" s="109">
        <v>2.5</v>
      </c>
      <c r="K287" s="109">
        <v>2.5</v>
      </c>
      <c r="L287" s="109">
        <v>5.5</v>
      </c>
      <c r="M287" s="109">
        <v>1</v>
      </c>
      <c r="N287" s="111" t="s">
        <v>223</v>
      </c>
      <c r="O287" s="111">
        <f t="shared" si="37"/>
        <v>5.5</v>
      </c>
      <c r="P287" s="125">
        <v>44865</v>
      </c>
      <c r="Q287" s="125">
        <v>44876</v>
      </c>
      <c r="R287" s="112">
        <v>1</v>
      </c>
      <c r="S287" s="112">
        <v>1</v>
      </c>
      <c r="T287" s="112">
        <v>1</v>
      </c>
      <c r="U287" s="113">
        <f>IF(ISBLANK(Table1[[#This Row],[OHC Date]]),$B$7-Table1[[#This Row],[HOC Date]]+1,Table1[[#This Row],[OHC Date]]-Table1[[#This Row],[HOC Date]]+1)/7</f>
        <v>1.7142857142857142</v>
      </c>
      <c r="V287" s="114">
        <v>63.34</v>
      </c>
      <c r="W287" s="114">
        <v>7.28</v>
      </c>
      <c r="X287" s="114">
        <f>ROUND(0.7*Table1[[#This Row],[E&amp;D Rate per unit]]*R287*Table1[[#This Row],[Quantity]],2)</f>
        <v>243.86</v>
      </c>
      <c r="Y287" s="114">
        <f t="shared" si="38"/>
        <v>68.64</v>
      </c>
      <c r="Z287" s="114">
        <f>ROUND(0.3*T287*Table1[[#This Row],[E&amp;D Rate per unit]]*Table1[[#This Row],[Quantity]],2)</f>
        <v>104.51</v>
      </c>
      <c r="AA287" s="112">
        <v>1</v>
      </c>
      <c r="AB287" s="21">
        <f>ROUND(X287+Z287+Y287,2)*Table1[[#This Row],[Until WA Approved Only Approved this %]]</f>
        <v>417.01</v>
      </c>
      <c r="AC287" s="136">
        <v>417.01</v>
      </c>
      <c r="AD287" s="136">
        <f>Table1[[#This Row],[Total Amount]]-Table1[[#This Row],[Previous Amount]]</f>
        <v>0</v>
      </c>
      <c r="AE287" s="115"/>
      <c r="AG287" s="174">
        <v>417.01</v>
      </c>
      <c r="AH287" s="178">
        <f>AG287-Table1[[#This Row],[Total Amount]]</f>
        <v>0</v>
      </c>
      <c r="AI287" s="171">
        <f t="shared" si="36"/>
        <v>0</v>
      </c>
    </row>
    <row r="288" spans="1:35" ht="30" customHeight="1" x14ac:dyDescent="0.3">
      <c r="A288" s="108" t="s">
        <v>97</v>
      </c>
      <c r="B288" s="91" t="s">
        <v>98</v>
      </c>
      <c r="C288" s="109">
        <v>21</v>
      </c>
      <c r="D288" s="109">
        <v>74644</v>
      </c>
      <c r="E288" s="109"/>
      <c r="F288" s="110" t="s">
        <v>283</v>
      </c>
      <c r="G288" s="17" t="s">
        <v>165</v>
      </c>
      <c r="H288" s="109" t="s">
        <v>301</v>
      </c>
      <c r="I288" s="109">
        <v>1</v>
      </c>
      <c r="J288" s="109">
        <v>23.5</v>
      </c>
      <c r="K288" s="109">
        <v>1.8</v>
      </c>
      <c r="L288" s="109">
        <v>4</v>
      </c>
      <c r="M288" s="109">
        <v>1</v>
      </c>
      <c r="N288" s="111" t="s">
        <v>285</v>
      </c>
      <c r="O288" s="111">
        <f t="shared" si="37"/>
        <v>23.5</v>
      </c>
      <c r="P288" s="125">
        <v>44865</v>
      </c>
      <c r="Q288" s="125"/>
      <c r="R288" s="112">
        <v>1</v>
      </c>
      <c r="S288" s="112">
        <v>1</v>
      </c>
      <c r="T288" s="112">
        <v>0</v>
      </c>
      <c r="U288" s="113">
        <f>IF(ISBLANK(Table1[[#This Row],[OHC Date]]),$B$7-Table1[[#This Row],[HOC Date]]+1,Table1[[#This Row],[OHC Date]]-Table1[[#This Row],[HOC Date]]+1)/7</f>
        <v>8</v>
      </c>
      <c r="V288" s="114">
        <v>1002.22</v>
      </c>
      <c r="W288" s="114">
        <v>98.12</v>
      </c>
      <c r="X288" s="114">
        <f>ROUND(0.7*Table1[[#This Row],[E&amp;D Rate per unit]]*R288*Table1[[#This Row],[Quantity]],2)</f>
        <v>16486.52</v>
      </c>
      <c r="Y288" s="114">
        <f>ROUND(O288*U288*W288*S288,2)</f>
        <v>18446.560000000001</v>
      </c>
      <c r="Z288" s="114">
        <f>ROUND(0.3*T288*Table1[[#This Row],[E&amp;D Rate per unit]]*Table1[[#This Row],[Quantity]],2)</f>
        <v>0</v>
      </c>
      <c r="AA288" s="112">
        <v>1</v>
      </c>
      <c r="AB288" s="21">
        <f>ROUND(X288+Z288+Y288,2)*Table1[[#This Row],[Until WA Approved Only Approved this %]]</f>
        <v>34933.08</v>
      </c>
      <c r="AC288" s="139">
        <v>25050.99</v>
      </c>
      <c r="AD288" s="136">
        <f>Table1[[#This Row],[Total Amount]]-Table1[[#This Row],[Previous Amount]]</f>
        <v>9882.09</v>
      </c>
      <c r="AE288" s="115" t="s">
        <v>284</v>
      </c>
      <c r="AG288" s="174">
        <v>34933.08</v>
      </c>
      <c r="AH288" s="178">
        <f>AG288-Table1[[#This Row],[Total Amount]]</f>
        <v>0</v>
      </c>
      <c r="AI288" s="171">
        <f t="shared" si="36"/>
        <v>0</v>
      </c>
    </row>
    <row r="289" spans="1:35" ht="30" customHeight="1" x14ac:dyDescent="0.3">
      <c r="A289" s="108" t="s">
        <v>97</v>
      </c>
      <c r="B289" s="91" t="s">
        <v>98</v>
      </c>
      <c r="C289" s="109">
        <v>21</v>
      </c>
      <c r="D289" s="109"/>
      <c r="E289" s="109"/>
      <c r="F289" s="110" t="s">
        <v>283</v>
      </c>
      <c r="G289" s="17" t="s">
        <v>165</v>
      </c>
      <c r="H289" s="109" t="s">
        <v>300</v>
      </c>
      <c r="I289" s="109">
        <v>1</v>
      </c>
      <c r="J289" s="109"/>
      <c r="K289" s="109"/>
      <c r="L289" s="109"/>
      <c r="M289" s="109"/>
      <c r="N289" s="111" t="s">
        <v>56</v>
      </c>
      <c r="O289" s="111">
        <f>ROUND(IF(N289="m3",I289*J289*K289*L289,IF(N289="m2-LxH",I289*J289*L289,IF(N289="m2-LxW",I289*J289*K289,IF(N289="rm",I289*L289,IF(N289="lm",I289*J289,IF(N289="unit",I289,"NA")))))),2)</f>
        <v>1</v>
      </c>
      <c r="P289" s="125">
        <v>44865</v>
      </c>
      <c r="Q289" s="125">
        <v>44865</v>
      </c>
      <c r="R289" s="112">
        <v>1</v>
      </c>
      <c r="S289" s="112">
        <v>1</v>
      </c>
      <c r="T289" s="112">
        <v>1</v>
      </c>
      <c r="U289" s="113">
        <f>IF(ISBLANK(Table1[[#This Row],[OHC Date]]),$B$7-Table1[[#This Row],[HOC Date]]+1,Table1[[#This Row],[OHC Date]]-Table1[[#This Row],[HOC Date]]+1)/7</f>
        <v>0.14285714285714285</v>
      </c>
      <c r="V289" s="114">
        <v>1230</v>
      </c>
      <c r="W289" s="114">
        <v>0</v>
      </c>
      <c r="X289" s="114">
        <v>1230</v>
      </c>
      <c r="Y289" s="114">
        <f>ROUND(O289*U289*W289*S289,2)</f>
        <v>0</v>
      </c>
      <c r="Z289" s="114">
        <v>0</v>
      </c>
      <c r="AA289" s="112">
        <v>1</v>
      </c>
      <c r="AB289" s="21">
        <f>ROUND(X289+Z289+Y289,2)*Table1[[#This Row],[Until WA Approved Only Approved this %]]</f>
        <v>1230</v>
      </c>
      <c r="AC289" s="139">
        <v>1230</v>
      </c>
      <c r="AD289" s="136">
        <f>Table1[[#This Row],[Total Amount]]-Table1[[#This Row],[Previous Amount]]</f>
        <v>0</v>
      </c>
      <c r="AE289" s="115" t="s">
        <v>299</v>
      </c>
      <c r="AG289" s="174">
        <v>1230</v>
      </c>
      <c r="AH289" s="178">
        <f>AG289-Table1[[#This Row],[Total Amount]]</f>
        <v>0</v>
      </c>
      <c r="AI289" s="171">
        <f t="shared" si="36"/>
        <v>0</v>
      </c>
    </row>
    <row r="290" spans="1:35" ht="30" customHeight="1" x14ac:dyDescent="0.3">
      <c r="A290" s="91" t="s">
        <v>91</v>
      </c>
      <c r="B290" s="91" t="s">
        <v>98</v>
      </c>
      <c r="C290" s="109">
        <v>22</v>
      </c>
      <c r="D290" s="109">
        <v>74642</v>
      </c>
      <c r="E290" s="109">
        <v>76818</v>
      </c>
      <c r="F290" s="110" t="s">
        <v>328</v>
      </c>
      <c r="G290" s="17" t="s">
        <v>202</v>
      </c>
      <c r="H290" s="109" t="s">
        <v>222</v>
      </c>
      <c r="I290" s="109">
        <v>1</v>
      </c>
      <c r="J290" s="109">
        <v>2.5</v>
      </c>
      <c r="K290" s="109">
        <v>2.5</v>
      </c>
      <c r="L290" s="109">
        <v>5.5</v>
      </c>
      <c r="M290" s="109">
        <v>1</v>
      </c>
      <c r="N290" s="111" t="s">
        <v>223</v>
      </c>
      <c r="O290" s="111">
        <f t="shared" ref="O290:O291" si="39">ROUND(IF(N290="m3",I290*J290*K290*L290,IF(N290="m2-LxH",I290*J290*L290,IF(N290="m2-LxW",I290*J290*K290,IF(N290="rm",I290*L290,IF(N290="lm",I290*J290,IF(N290="unit",I290,"NA")))))),2)</f>
        <v>5.5</v>
      </c>
      <c r="P290" s="125">
        <v>44865</v>
      </c>
      <c r="Q290" s="125">
        <v>44876</v>
      </c>
      <c r="R290" s="112">
        <v>1</v>
      </c>
      <c r="S290" s="112">
        <v>1</v>
      </c>
      <c r="T290" s="112">
        <v>1</v>
      </c>
      <c r="U290" s="113">
        <f>IF(ISBLANK(Table1[[#This Row],[OHC Date]]),$B$7-Table1[[#This Row],[HOC Date]]+1,Table1[[#This Row],[OHC Date]]-Table1[[#This Row],[HOC Date]]+1)/7</f>
        <v>1.7142857142857142</v>
      </c>
      <c r="V290" s="114">
        <v>63.34</v>
      </c>
      <c r="W290" s="114">
        <v>7.28</v>
      </c>
      <c r="X290" s="114">
        <f>ROUND(0.7*Table1[[#This Row],[E&amp;D Rate per unit]]*R290*Table1[[#This Row],[Quantity]],2)</f>
        <v>243.86</v>
      </c>
      <c r="Y290" s="114">
        <f t="shared" si="38"/>
        <v>68.64</v>
      </c>
      <c r="Z290" s="114">
        <f>ROUND(0.3*T290*Table1[[#This Row],[E&amp;D Rate per unit]]*Table1[[#This Row],[Quantity]],2)</f>
        <v>104.51</v>
      </c>
      <c r="AA290" s="112">
        <v>1</v>
      </c>
      <c r="AB290" s="21">
        <f>ROUND(X290+Z290+Y290,2)*Table1[[#This Row],[Until WA Approved Only Approved this %]]</f>
        <v>417.01</v>
      </c>
      <c r="AC290" s="136">
        <v>417.01</v>
      </c>
      <c r="AD290" s="136">
        <f>Table1[[#This Row],[Total Amount]]-Table1[[#This Row],[Previous Amount]]</f>
        <v>0</v>
      </c>
      <c r="AE290" s="115"/>
      <c r="AG290" s="174">
        <v>417.01</v>
      </c>
      <c r="AH290" s="178">
        <f>AG290-Table1[[#This Row],[Total Amount]]</f>
        <v>0</v>
      </c>
      <c r="AI290" s="171">
        <f t="shared" si="36"/>
        <v>0</v>
      </c>
    </row>
    <row r="291" spans="1:35" ht="30" customHeight="1" x14ac:dyDescent="0.3">
      <c r="A291" s="91" t="s">
        <v>91</v>
      </c>
      <c r="B291" s="91" t="s">
        <v>98</v>
      </c>
      <c r="C291" s="109">
        <v>23</v>
      </c>
      <c r="D291" s="109">
        <v>74643</v>
      </c>
      <c r="E291" s="109">
        <v>76819</v>
      </c>
      <c r="F291" s="110" t="s">
        <v>328</v>
      </c>
      <c r="G291" s="17" t="s">
        <v>202</v>
      </c>
      <c r="H291" s="109" t="s">
        <v>222</v>
      </c>
      <c r="I291" s="109">
        <v>1</v>
      </c>
      <c r="J291" s="109">
        <v>2.5</v>
      </c>
      <c r="K291" s="109">
        <v>2.5</v>
      </c>
      <c r="L291" s="109">
        <v>5.5</v>
      </c>
      <c r="M291" s="109">
        <v>1</v>
      </c>
      <c r="N291" s="111" t="s">
        <v>223</v>
      </c>
      <c r="O291" s="111">
        <f t="shared" si="39"/>
        <v>5.5</v>
      </c>
      <c r="P291" s="125">
        <v>44865</v>
      </c>
      <c r="Q291" s="125">
        <v>44877</v>
      </c>
      <c r="R291" s="112">
        <v>1</v>
      </c>
      <c r="S291" s="112">
        <v>1</v>
      </c>
      <c r="T291" s="112">
        <v>1</v>
      </c>
      <c r="U291" s="113">
        <f>IF(ISBLANK(Table1[[#This Row],[OHC Date]]),$B$7-Table1[[#This Row],[HOC Date]]+1,Table1[[#This Row],[OHC Date]]-Table1[[#This Row],[HOC Date]]+1)/7</f>
        <v>1.8571428571428572</v>
      </c>
      <c r="V291" s="114">
        <v>63.34</v>
      </c>
      <c r="W291" s="114">
        <v>7.28</v>
      </c>
      <c r="X291" s="114">
        <f>ROUND(0.7*Table1[[#This Row],[E&amp;D Rate per unit]]*R291*Table1[[#This Row],[Quantity]],2)</f>
        <v>243.86</v>
      </c>
      <c r="Y291" s="114">
        <f t="shared" si="38"/>
        <v>74.36</v>
      </c>
      <c r="Z291" s="114">
        <f>ROUND(0.3*T291*Table1[[#This Row],[E&amp;D Rate per unit]]*Table1[[#This Row],[Quantity]],2)</f>
        <v>104.51</v>
      </c>
      <c r="AA291" s="112">
        <v>1</v>
      </c>
      <c r="AB291" s="21">
        <f>ROUND(X291+Z291+Y291,2)*Table1[[#This Row],[Until WA Approved Only Approved this %]]</f>
        <v>422.73</v>
      </c>
      <c r="AC291" s="136">
        <v>422.73</v>
      </c>
      <c r="AD291" s="136">
        <f>Table1[[#This Row],[Total Amount]]-Table1[[#This Row],[Previous Amount]]</f>
        <v>0</v>
      </c>
      <c r="AE291" s="115"/>
      <c r="AG291" s="174">
        <v>422.73</v>
      </c>
      <c r="AH291" s="178">
        <f>AG291-Table1[[#This Row],[Total Amount]]</f>
        <v>0</v>
      </c>
      <c r="AI291" s="171">
        <f t="shared" si="36"/>
        <v>0</v>
      </c>
    </row>
    <row r="292" spans="1:35" ht="30" customHeight="1" x14ac:dyDescent="0.3">
      <c r="A292" s="91" t="s">
        <v>91</v>
      </c>
      <c r="B292" s="91" t="s">
        <v>98</v>
      </c>
      <c r="C292" s="109" t="s">
        <v>388</v>
      </c>
      <c r="D292" s="109">
        <v>74645</v>
      </c>
      <c r="E292" s="109">
        <v>76821</v>
      </c>
      <c r="F292" s="110" t="s">
        <v>389</v>
      </c>
      <c r="G292" s="17" t="s">
        <v>165</v>
      </c>
      <c r="H292" s="109" t="s">
        <v>178</v>
      </c>
      <c r="I292" s="109">
        <v>1</v>
      </c>
      <c r="J292" s="109">
        <v>23.5</v>
      </c>
      <c r="K292" s="109">
        <v>1</v>
      </c>
      <c r="L292" s="109">
        <v>1</v>
      </c>
      <c r="M292" s="109">
        <v>1</v>
      </c>
      <c r="N292" s="111" t="s">
        <v>162</v>
      </c>
      <c r="O292" s="111">
        <f t="shared" si="37"/>
        <v>23.5</v>
      </c>
      <c r="P292" s="125">
        <v>44865</v>
      </c>
      <c r="Q292" s="125">
        <v>44876</v>
      </c>
      <c r="R292" s="112">
        <v>1</v>
      </c>
      <c r="S292" s="112">
        <v>1</v>
      </c>
      <c r="T292" s="112">
        <v>1</v>
      </c>
      <c r="U292" s="113">
        <f>IF(ISBLANK(Table1[[#This Row],[OHC Date]]),$B$7-Table1[[#This Row],[HOC Date]]+1,Table1[[#This Row],[OHC Date]]-Table1[[#This Row],[HOC Date]]+1)/7</f>
        <v>1.7142857142857142</v>
      </c>
      <c r="V292" s="114">
        <v>6.63</v>
      </c>
      <c r="W292" s="114">
        <v>0.7</v>
      </c>
      <c r="X292" s="114">
        <f>ROUND(0.7*Table1[[#This Row],[E&amp;D Rate per unit]]*R292*Table1[[#This Row],[Quantity]],2)</f>
        <v>109.06</v>
      </c>
      <c r="Y292" s="114">
        <f t="shared" si="38"/>
        <v>28.2</v>
      </c>
      <c r="Z292" s="114">
        <f>ROUND(0.3*T292*Table1[[#This Row],[E&amp;D Rate per unit]]*Table1[[#This Row],[Quantity]],2)</f>
        <v>46.74</v>
      </c>
      <c r="AA292" s="112">
        <v>1</v>
      </c>
      <c r="AB292" s="21">
        <f>ROUND(X292+Z292+Y292,2)*Table1[[#This Row],[Until WA Approved Only Approved this %]]</f>
        <v>184</v>
      </c>
      <c r="AC292" s="136">
        <v>184</v>
      </c>
      <c r="AD292" s="136">
        <f>Table1[[#This Row],[Total Amount]]-Table1[[#This Row],[Previous Amount]]</f>
        <v>0</v>
      </c>
      <c r="AE292" s="115"/>
      <c r="AG292" s="174">
        <v>184</v>
      </c>
      <c r="AH292" s="178">
        <f>AG292-Table1[[#This Row],[Total Amount]]</f>
        <v>0</v>
      </c>
      <c r="AI292" s="171">
        <f t="shared" si="36"/>
        <v>0</v>
      </c>
    </row>
    <row r="293" spans="1:35" ht="30" customHeight="1" x14ac:dyDescent="0.3">
      <c r="A293" s="91" t="s">
        <v>91</v>
      </c>
      <c r="B293" s="91" t="s">
        <v>98</v>
      </c>
      <c r="C293" s="109">
        <v>24</v>
      </c>
      <c r="D293" s="109">
        <v>74646</v>
      </c>
      <c r="E293" s="109">
        <v>76820</v>
      </c>
      <c r="F293" s="110" t="s">
        <v>328</v>
      </c>
      <c r="G293" s="17" t="s">
        <v>202</v>
      </c>
      <c r="H293" s="109" t="s">
        <v>120</v>
      </c>
      <c r="I293" s="109">
        <v>1</v>
      </c>
      <c r="J293" s="109">
        <v>3.8</v>
      </c>
      <c r="K293" s="109">
        <v>2.5</v>
      </c>
      <c r="L293" s="109">
        <v>4.5</v>
      </c>
      <c r="M293" s="109">
        <v>1</v>
      </c>
      <c r="N293" s="92" t="s">
        <v>208</v>
      </c>
      <c r="O293" s="92">
        <f t="shared" si="37"/>
        <v>17.100000000000001</v>
      </c>
      <c r="P293" s="125">
        <v>44866</v>
      </c>
      <c r="Q293" s="125">
        <v>44876</v>
      </c>
      <c r="R293" s="112">
        <v>1</v>
      </c>
      <c r="S293" s="112">
        <v>1</v>
      </c>
      <c r="T293" s="112">
        <v>1</v>
      </c>
      <c r="U293" s="113">
        <f>IF(ISBLANK(Table1[[#This Row],[OHC Date]]),$B$7-Table1[[#This Row],[HOC Date]]+1,Table1[[#This Row],[OHC Date]]-Table1[[#This Row],[HOC Date]]+1)/7</f>
        <v>1.5714285714285714</v>
      </c>
      <c r="V293" s="114">
        <v>16.760000000000002</v>
      </c>
      <c r="W293" s="114">
        <v>0.77</v>
      </c>
      <c r="X293" s="114">
        <f>ROUND(0.7*Table1[[#This Row],[E&amp;D Rate per unit]]*R293*Table1[[#This Row],[Quantity]],2)</f>
        <v>200.62</v>
      </c>
      <c r="Y293" s="114">
        <f t="shared" si="38"/>
        <v>20.69</v>
      </c>
      <c r="Z293" s="114">
        <f>ROUND(0.3*T293*Table1[[#This Row],[E&amp;D Rate per unit]]*Table1[[#This Row],[Quantity]],2)</f>
        <v>85.98</v>
      </c>
      <c r="AA293" s="112">
        <v>1</v>
      </c>
      <c r="AB293" s="21">
        <f>ROUND(X293+Z293+Y293,2)*Table1[[#This Row],[Until WA Approved Only Approved this %]]</f>
        <v>307.29000000000002</v>
      </c>
      <c r="AC293" s="136">
        <v>307.29000000000002</v>
      </c>
      <c r="AD293" s="136">
        <f>Table1[[#This Row],[Total Amount]]-Table1[[#This Row],[Previous Amount]]</f>
        <v>0</v>
      </c>
      <c r="AE293" s="115"/>
      <c r="AG293" s="174">
        <v>307.29000000000002</v>
      </c>
      <c r="AH293" s="178">
        <f>AG293-Table1[[#This Row],[Total Amount]]</f>
        <v>0</v>
      </c>
      <c r="AI293" s="171">
        <f t="shared" si="36"/>
        <v>0</v>
      </c>
    </row>
    <row r="294" spans="1:35" ht="30" customHeight="1" x14ac:dyDescent="0.3">
      <c r="A294" s="91" t="s">
        <v>91</v>
      </c>
      <c r="B294" s="91" t="s">
        <v>98</v>
      </c>
      <c r="C294" s="109" t="s">
        <v>390</v>
      </c>
      <c r="D294" s="109">
        <v>74647</v>
      </c>
      <c r="E294" s="109">
        <v>80835</v>
      </c>
      <c r="F294" s="110" t="s">
        <v>391</v>
      </c>
      <c r="G294" s="17" t="s">
        <v>278</v>
      </c>
      <c r="H294" s="109" t="s">
        <v>128</v>
      </c>
      <c r="I294" s="109">
        <v>1</v>
      </c>
      <c r="J294" s="109">
        <v>1.5</v>
      </c>
      <c r="K294" s="109">
        <v>0.5</v>
      </c>
      <c r="L294" s="109">
        <v>1</v>
      </c>
      <c r="M294" s="109">
        <v>1</v>
      </c>
      <c r="N294" s="111" t="s">
        <v>162</v>
      </c>
      <c r="O294" s="111">
        <f t="shared" si="37"/>
        <v>0.75</v>
      </c>
      <c r="P294" s="125">
        <v>44866</v>
      </c>
      <c r="Q294" s="125">
        <v>44916</v>
      </c>
      <c r="R294" s="112">
        <v>1</v>
      </c>
      <c r="S294" s="112">
        <v>1</v>
      </c>
      <c r="T294" s="112">
        <v>1</v>
      </c>
      <c r="U294" s="113">
        <f>IF(ISBLANK(Table1[[#This Row],[OHC Date]]),$B$7-Table1[[#This Row],[HOC Date]]+1,Table1[[#This Row],[OHC Date]]-Table1[[#This Row],[HOC Date]]+1)/7</f>
        <v>7.2857142857142856</v>
      </c>
      <c r="V294" s="114">
        <v>32.75</v>
      </c>
      <c r="W294" s="114">
        <v>1.05</v>
      </c>
      <c r="X294" s="114">
        <f>ROUND(0.7*Table1[[#This Row],[E&amp;D Rate per unit]]*R294*Table1[[#This Row],[Quantity]],2)</f>
        <v>17.190000000000001</v>
      </c>
      <c r="Y294" s="114">
        <f t="shared" si="38"/>
        <v>5.74</v>
      </c>
      <c r="Z294" s="114">
        <f>ROUND(0.3*T294*Table1[[#This Row],[E&amp;D Rate per unit]]*Table1[[#This Row],[Quantity]],2)</f>
        <v>7.37</v>
      </c>
      <c r="AA294" s="112">
        <v>1</v>
      </c>
      <c r="AB294" s="21">
        <f>ROUND(X294+Z294+Y294,2)*Table1[[#This Row],[Until WA Approved Only Approved this %]]</f>
        <v>30.3</v>
      </c>
      <c r="AC294" s="136">
        <v>20</v>
      </c>
      <c r="AD294" s="136">
        <f>Table1[[#This Row],[Total Amount]]-Table1[[#This Row],[Previous Amount]]</f>
        <v>10.3</v>
      </c>
      <c r="AE294" s="115"/>
      <c r="AG294" s="174">
        <v>30.3</v>
      </c>
      <c r="AH294" s="178">
        <f>AG294-Table1[[#This Row],[Total Amount]]</f>
        <v>0</v>
      </c>
      <c r="AI294" s="171">
        <f t="shared" si="36"/>
        <v>0</v>
      </c>
    </row>
    <row r="295" spans="1:35" ht="30" customHeight="1" x14ac:dyDescent="0.3">
      <c r="A295" s="91" t="s">
        <v>91</v>
      </c>
      <c r="B295" s="91" t="s">
        <v>98</v>
      </c>
      <c r="C295" s="109" t="s">
        <v>392</v>
      </c>
      <c r="D295" s="109">
        <v>74648</v>
      </c>
      <c r="E295" s="109">
        <v>80805</v>
      </c>
      <c r="F295" s="110" t="s">
        <v>393</v>
      </c>
      <c r="G295" s="17" t="s">
        <v>276</v>
      </c>
      <c r="H295" s="109" t="s">
        <v>128</v>
      </c>
      <c r="I295" s="109">
        <v>1</v>
      </c>
      <c r="J295" s="109">
        <v>1.5</v>
      </c>
      <c r="K295" s="109">
        <v>0.5</v>
      </c>
      <c r="L295" s="109">
        <v>1</v>
      </c>
      <c r="M295" s="109">
        <v>1</v>
      </c>
      <c r="N295" s="111" t="s">
        <v>162</v>
      </c>
      <c r="O295" s="111">
        <f t="shared" si="37"/>
        <v>0.75</v>
      </c>
      <c r="P295" s="125">
        <v>44866</v>
      </c>
      <c r="Q295" s="125">
        <v>44910</v>
      </c>
      <c r="R295" s="112">
        <v>1</v>
      </c>
      <c r="S295" s="112">
        <v>1</v>
      </c>
      <c r="T295" s="112">
        <v>1</v>
      </c>
      <c r="U295" s="113">
        <f>IF(ISBLANK(Table1[[#This Row],[OHC Date]]),$B$7-Table1[[#This Row],[HOC Date]]+1,Table1[[#This Row],[OHC Date]]-Table1[[#This Row],[HOC Date]]+1)/7</f>
        <v>6.4285714285714288</v>
      </c>
      <c r="V295" s="114">
        <v>32.75</v>
      </c>
      <c r="W295" s="114">
        <v>1.05</v>
      </c>
      <c r="X295" s="114">
        <f>ROUND(0.7*Table1[[#This Row],[E&amp;D Rate per unit]]*R295*Table1[[#This Row],[Quantity]],2)</f>
        <v>17.190000000000001</v>
      </c>
      <c r="Y295" s="114">
        <f t="shared" si="38"/>
        <v>5.0599999999999996</v>
      </c>
      <c r="Z295" s="114">
        <f>ROUND(0.3*T295*Table1[[#This Row],[E&amp;D Rate per unit]]*Table1[[#This Row],[Quantity]],2)</f>
        <v>7.37</v>
      </c>
      <c r="AA295" s="112">
        <v>1</v>
      </c>
      <c r="AB295" s="21">
        <f>ROUND(X295+Z295+Y295,2)*Table1[[#This Row],[Until WA Approved Only Approved this %]]</f>
        <v>29.62</v>
      </c>
      <c r="AC295" s="136">
        <v>20</v>
      </c>
      <c r="AD295" s="136">
        <f>Table1[[#This Row],[Total Amount]]-Table1[[#This Row],[Previous Amount]]</f>
        <v>9.620000000000001</v>
      </c>
      <c r="AE295" s="115"/>
      <c r="AG295" s="174">
        <v>29.62</v>
      </c>
      <c r="AH295" s="178">
        <f>AG295-Table1[[#This Row],[Total Amount]]</f>
        <v>0</v>
      </c>
      <c r="AI295" s="171">
        <f t="shared" si="36"/>
        <v>0</v>
      </c>
    </row>
    <row r="296" spans="1:35" ht="30" customHeight="1" x14ac:dyDescent="0.3">
      <c r="A296" s="91" t="s">
        <v>91</v>
      </c>
      <c r="B296" s="91" t="s">
        <v>98</v>
      </c>
      <c r="C296" s="109" t="s">
        <v>394</v>
      </c>
      <c r="D296" s="109">
        <v>74649</v>
      </c>
      <c r="E296" s="109">
        <v>80806</v>
      </c>
      <c r="F296" s="110" t="s">
        <v>395</v>
      </c>
      <c r="G296" s="17" t="s">
        <v>280</v>
      </c>
      <c r="H296" s="109" t="s">
        <v>128</v>
      </c>
      <c r="I296" s="109">
        <v>1</v>
      </c>
      <c r="J296" s="109">
        <v>1.5</v>
      </c>
      <c r="K296" s="109">
        <v>0.5</v>
      </c>
      <c r="L296" s="109">
        <v>1</v>
      </c>
      <c r="M296" s="109">
        <v>1</v>
      </c>
      <c r="N296" s="111" t="s">
        <v>162</v>
      </c>
      <c r="O296" s="111">
        <f t="shared" si="37"/>
        <v>0.75</v>
      </c>
      <c r="P296" s="125">
        <v>44867</v>
      </c>
      <c r="Q296" s="125">
        <v>44910</v>
      </c>
      <c r="R296" s="112">
        <v>1</v>
      </c>
      <c r="S296" s="112">
        <v>1</v>
      </c>
      <c r="T296" s="112">
        <v>1</v>
      </c>
      <c r="U296" s="113">
        <f>IF(ISBLANK(Table1[[#This Row],[OHC Date]]),$B$7-Table1[[#This Row],[HOC Date]]+1,Table1[[#This Row],[OHC Date]]-Table1[[#This Row],[HOC Date]]+1)/7</f>
        <v>6.2857142857142856</v>
      </c>
      <c r="V296" s="114">
        <v>32.75</v>
      </c>
      <c r="W296" s="114">
        <v>1.05</v>
      </c>
      <c r="X296" s="114">
        <f>ROUND(0.7*Table1[[#This Row],[E&amp;D Rate per unit]]*R296*Table1[[#This Row],[Quantity]],2)</f>
        <v>17.190000000000001</v>
      </c>
      <c r="Y296" s="114">
        <f t="shared" si="38"/>
        <v>4.95</v>
      </c>
      <c r="Z296" s="114">
        <f>ROUND(0.3*T296*Table1[[#This Row],[E&amp;D Rate per unit]]*Table1[[#This Row],[Quantity]],2)</f>
        <v>7.37</v>
      </c>
      <c r="AA296" s="112">
        <v>1</v>
      </c>
      <c r="AB296" s="21">
        <f>ROUND(X296+Z296+Y296,2)*Table1[[#This Row],[Until WA Approved Only Approved this %]]</f>
        <v>29.51</v>
      </c>
      <c r="AC296" s="136">
        <v>19.89</v>
      </c>
      <c r="AD296" s="136">
        <f>Table1[[#This Row],[Total Amount]]-Table1[[#This Row],[Previous Amount]]</f>
        <v>9.620000000000001</v>
      </c>
      <c r="AE296" s="115"/>
      <c r="AG296" s="174">
        <v>29.51</v>
      </c>
      <c r="AH296" s="178">
        <f>AG296-Table1[[#This Row],[Total Amount]]</f>
        <v>0</v>
      </c>
      <c r="AI296" s="171">
        <f t="shared" si="36"/>
        <v>0</v>
      </c>
    </row>
    <row r="297" spans="1:35" ht="30" customHeight="1" x14ac:dyDescent="0.3">
      <c r="A297" s="91" t="s">
        <v>91</v>
      </c>
      <c r="B297" s="91" t="s">
        <v>98</v>
      </c>
      <c r="C297" s="109">
        <v>25</v>
      </c>
      <c r="D297" s="109">
        <v>77601</v>
      </c>
      <c r="E297" s="109">
        <v>80807</v>
      </c>
      <c r="F297" s="110" t="s">
        <v>396</v>
      </c>
      <c r="G297" s="17" t="s">
        <v>228</v>
      </c>
      <c r="H297" s="109" t="s">
        <v>207</v>
      </c>
      <c r="I297" s="109">
        <v>1</v>
      </c>
      <c r="J297" s="109">
        <v>9.3000000000000007</v>
      </c>
      <c r="K297" s="109">
        <v>1.3</v>
      </c>
      <c r="L297" s="109">
        <v>6</v>
      </c>
      <c r="M297" s="109">
        <v>1</v>
      </c>
      <c r="N297" s="111" t="s">
        <v>208</v>
      </c>
      <c r="O297" s="111">
        <f t="shared" si="37"/>
        <v>55.8</v>
      </c>
      <c r="P297" s="125">
        <v>44867</v>
      </c>
      <c r="Q297" s="125">
        <v>44910</v>
      </c>
      <c r="R297" s="112">
        <v>1</v>
      </c>
      <c r="S297" s="112">
        <v>1</v>
      </c>
      <c r="T297" s="112">
        <v>1</v>
      </c>
      <c r="U297" s="113">
        <f>IF(ISBLANK(Table1[[#This Row],[OHC Date]]),$B$7-Table1[[#This Row],[HOC Date]]+1,Table1[[#This Row],[OHC Date]]-Table1[[#This Row],[HOC Date]]+1)/7</f>
        <v>6.2857142857142856</v>
      </c>
      <c r="V297" s="114">
        <v>12.01</v>
      </c>
      <c r="W297" s="114">
        <v>0.49</v>
      </c>
      <c r="X297" s="114">
        <f>ROUND(0.7*Table1[[#This Row],[E&amp;D Rate per unit]]*R297*Table1[[#This Row],[Quantity]],2)</f>
        <v>469.11</v>
      </c>
      <c r="Y297" s="114">
        <f t="shared" si="38"/>
        <v>171.86</v>
      </c>
      <c r="Z297" s="114">
        <f>ROUND(0.3*T297*Table1[[#This Row],[E&amp;D Rate per unit]]*Table1[[#This Row],[Quantity]],2)</f>
        <v>201.05</v>
      </c>
      <c r="AA297" s="112">
        <v>1</v>
      </c>
      <c r="AB297" s="21">
        <f>ROUND(X297+Z297+Y297,2)*Table1[[#This Row],[Until WA Approved Only Approved this %]]</f>
        <v>842.02</v>
      </c>
      <c r="AC297" s="136">
        <v>562.85</v>
      </c>
      <c r="AD297" s="136">
        <f>Table1[[#This Row],[Total Amount]]-Table1[[#This Row],[Previous Amount]]</f>
        <v>279.16999999999996</v>
      </c>
      <c r="AE297" s="115"/>
      <c r="AG297" s="174">
        <v>842.02</v>
      </c>
      <c r="AH297" s="178">
        <f>AG297-Table1[[#This Row],[Total Amount]]</f>
        <v>0</v>
      </c>
      <c r="AI297" s="171">
        <f t="shared" si="36"/>
        <v>0</v>
      </c>
    </row>
    <row r="298" spans="1:35" ht="30" customHeight="1" x14ac:dyDescent="0.3">
      <c r="A298" s="91" t="s">
        <v>91</v>
      </c>
      <c r="B298" s="91" t="s">
        <v>98</v>
      </c>
      <c r="C298" s="109">
        <v>25</v>
      </c>
      <c r="D298" s="109">
        <v>77601</v>
      </c>
      <c r="E298" s="109">
        <v>80807</v>
      </c>
      <c r="F298" s="110" t="s">
        <v>396</v>
      </c>
      <c r="G298" s="17" t="s">
        <v>228</v>
      </c>
      <c r="H298" s="109" t="s">
        <v>178</v>
      </c>
      <c r="I298" s="109">
        <v>1</v>
      </c>
      <c r="J298" s="109">
        <v>9.3000000000000007</v>
      </c>
      <c r="K298" s="109">
        <v>1.3</v>
      </c>
      <c r="L298" s="109">
        <v>1</v>
      </c>
      <c r="M298" s="109">
        <v>1</v>
      </c>
      <c r="N298" s="111" t="s">
        <v>162</v>
      </c>
      <c r="O298" s="111">
        <f t="shared" ref="O298" si="40">ROUND(IF(N298="m3",I298*J298*K298*L298,IF(N298="m2-LxH",I298*J298*L298,IF(N298="m2-LxW",I298*J298*K298,IF(N298="rm",I298*L298,IF(N298="lm",I298*J298,IF(N298="unit",I298,"NA")))))),2)</f>
        <v>12.09</v>
      </c>
      <c r="P298" s="125">
        <v>44867</v>
      </c>
      <c r="Q298" s="125">
        <v>44910</v>
      </c>
      <c r="R298" s="112">
        <v>1</v>
      </c>
      <c r="S298" s="112">
        <v>1</v>
      </c>
      <c r="T298" s="112">
        <v>1</v>
      </c>
      <c r="U298" s="113">
        <f>IF(ISBLANK(Table1[[#This Row],[OHC Date]]),$B$7-Table1[[#This Row],[HOC Date]]+1,Table1[[#This Row],[OHC Date]]-Table1[[#This Row],[HOC Date]]+1)/7</f>
        <v>6.2857142857142856</v>
      </c>
      <c r="V298" s="114">
        <v>6.63</v>
      </c>
      <c r="W298" s="114">
        <v>0.7</v>
      </c>
      <c r="X298" s="114">
        <f>ROUND(0.7*Table1[[#This Row],[E&amp;D Rate per unit]]*R298*Table1[[#This Row],[Quantity]],2)</f>
        <v>56.11</v>
      </c>
      <c r="Y298" s="114">
        <f t="shared" ref="Y298" si="41">ROUND(O298*U298*W298*S298,2)</f>
        <v>53.2</v>
      </c>
      <c r="Z298" s="114">
        <f>ROUND(0.3*T298*Table1[[#This Row],[E&amp;D Rate per unit]]*Table1[[#This Row],[Quantity]],2)</f>
        <v>24.05</v>
      </c>
      <c r="AA298" s="112">
        <v>1</v>
      </c>
      <c r="AB298" s="21">
        <f>ROUND(X298+Z298+Y298,2)*Table1[[#This Row],[Until WA Approved Only Approved this %]]</f>
        <v>133.36000000000001</v>
      </c>
      <c r="AC298" s="136">
        <v>85.13</v>
      </c>
      <c r="AD298" s="136">
        <f>Table1[[#This Row],[Total Amount]]-Table1[[#This Row],[Previous Amount]]</f>
        <v>48.230000000000018</v>
      </c>
      <c r="AE298" s="115"/>
      <c r="AG298" s="174">
        <v>133.36000000000001</v>
      </c>
      <c r="AH298" s="178">
        <f>AG298-Table1[[#This Row],[Total Amount]]</f>
        <v>0</v>
      </c>
      <c r="AI298" s="171">
        <f t="shared" si="36"/>
        <v>0</v>
      </c>
    </row>
    <row r="299" spans="1:35" ht="30" customHeight="1" x14ac:dyDescent="0.3">
      <c r="A299" s="91" t="s">
        <v>91</v>
      </c>
      <c r="B299" s="91" t="s">
        <v>98</v>
      </c>
      <c r="C299" s="109" t="s">
        <v>397</v>
      </c>
      <c r="D299" s="109">
        <v>77602</v>
      </c>
      <c r="E299" s="109">
        <v>80808</v>
      </c>
      <c r="F299" s="110" t="s">
        <v>396</v>
      </c>
      <c r="G299" s="17" t="s">
        <v>228</v>
      </c>
      <c r="H299" s="109" t="s">
        <v>207</v>
      </c>
      <c r="I299" s="109">
        <v>1</v>
      </c>
      <c r="J299" s="109">
        <v>10.5</v>
      </c>
      <c r="K299" s="109">
        <v>1.3</v>
      </c>
      <c r="L299" s="109">
        <v>4</v>
      </c>
      <c r="M299" s="109">
        <v>1</v>
      </c>
      <c r="N299" s="111" t="s">
        <v>208</v>
      </c>
      <c r="O299" s="111">
        <f t="shared" si="37"/>
        <v>42</v>
      </c>
      <c r="P299" s="125">
        <v>44867</v>
      </c>
      <c r="Q299" s="125">
        <v>44910</v>
      </c>
      <c r="R299" s="112">
        <v>1</v>
      </c>
      <c r="S299" s="112">
        <v>1</v>
      </c>
      <c r="T299" s="112">
        <v>1</v>
      </c>
      <c r="U299" s="113">
        <f>IF(ISBLANK(Table1[[#This Row],[OHC Date]]),$B$7-Table1[[#This Row],[HOC Date]]+1,Table1[[#This Row],[OHC Date]]-Table1[[#This Row],[HOC Date]]+1)/7</f>
        <v>6.2857142857142856</v>
      </c>
      <c r="V299" s="114">
        <v>12.01</v>
      </c>
      <c r="W299" s="114">
        <v>0.49</v>
      </c>
      <c r="X299" s="114">
        <f>ROUND(0.7*Table1[[#This Row],[E&amp;D Rate per unit]]*R299*Table1[[#This Row],[Quantity]],2)</f>
        <v>353.09</v>
      </c>
      <c r="Y299" s="114">
        <f t="shared" si="38"/>
        <v>129.36000000000001</v>
      </c>
      <c r="Z299" s="114">
        <f>ROUND(0.3*T299*Table1[[#This Row],[E&amp;D Rate per unit]]*Table1[[#This Row],[Quantity]],2)</f>
        <v>151.33000000000001</v>
      </c>
      <c r="AA299" s="112">
        <v>1</v>
      </c>
      <c r="AB299" s="21">
        <f>ROUND(X299+Z299+Y299,2)*Table1[[#This Row],[Until WA Approved Only Approved this %]]</f>
        <v>633.78</v>
      </c>
      <c r="AC299" s="136">
        <v>423.65</v>
      </c>
      <c r="AD299" s="136">
        <f>Table1[[#This Row],[Total Amount]]-Table1[[#This Row],[Previous Amount]]</f>
        <v>210.13</v>
      </c>
      <c r="AE299" s="115"/>
      <c r="AG299" s="174">
        <v>633.78</v>
      </c>
      <c r="AH299" s="178">
        <f>AG299-Table1[[#This Row],[Total Amount]]</f>
        <v>0</v>
      </c>
      <c r="AI299" s="171">
        <f t="shared" si="36"/>
        <v>0</v>
      </c>
    </row>
    <row r="300" spans="1:35" ht="30" customHeight="1" x14ac:dyDescent="0.3">
      <c r="A300" s="91" t="s">
        <v>91</v>
      </c>
      <c r="B300" s="91" t="s">
        <v>98</v>
      </c>
      <c r="C300" s="109">
        <v>26</v>
      </c>
      <c r="D300" s="109">
        <v>77604</v>
      </c>
      <c r="E300" s="109">
        <v>80839</v>
      </c>
      <c r="F300" s="110" t="s">
        <v>398</v>
      </c>
      <c r="G300" s="17" t="s">
        <v>256</v>
      </c>
      <c r="H300" s="109" t="s">
        <v>207</v>
      </c>
      <c r="I300" s="109">
        <v>1</v>
      </c>
      <c r="J300" s="109">
        <v>6</v>
      </c>
      <c r="K300" s="109">
        <v>1.5</v>
      </c>
      <c r="L300" s="109">
        <v>2</v>
      </c>
      <c r="M300" s="109">
        <v>1</v>
      </c>
      <c r="N300" s="111" t="s">
        <v>208</v>
      </c>
      <c r="O300" s="111">
        <f t="shared" si="37"/>
        <v>12</v>
      </c>
      <c r="P300" s="125">
        <v>44869</v>
      </c>
      <c r="Q300" s="125">
        <v>44916</v>
      </c>
      <c r="R300" s="112">
        <v>1</v>
      </c>
      <c r="S300" s="112">
        <v>1</v>
      </c>
      <c r="T300" s="112">
        <v>1</v>
      </c>
      <c r="U300" s="113">
        <f>IF(ISBLANK(Table1[[#This Row],[OHC Date]]),$B$7-Table1[[#This Row],[HOC Date]]+1,Table1[[#This Row],[OHC Date]]-Table1[[#This Row],[HOC Date]]+1)/7</f>
        <v>6.8571428571428568</v>
      </c>
      <c r="V300" s="114">
        <v>12.01</v>
      </c>
      <c r="W300" s="114">
        <v>0.49</v>
      </c>
      <c r="X300" s="114">
        <f>ROUND(0.7*Table1[[#This Row],[E&amp;D Rate per unit]]*R300*Table1[[#This Row],[Quantity]],2)</f>
        <v>100.88</v>
      </c>
      <c r="Y300" s="114">
        <f t="shared" si="38"/>
        <v>40.32</v>
      </c>
      <c r="Z300" s="114">
        <f>ROUND(0.3*T300*Table1[[#This Row],[E&amp;D Rate per unit]]*Table1[[#This Row],[Quantity]],2)</f>
        <v>43.24</v>
      </c>
      <c r="AA300" s="112">
        <v>1</v>
      </c>
      <c r="AB300" s="21">
        <f>ROUND(X300+Z300+Y300,2)*Table1[[#This Row],[Until WA Approved Only Approved this %]]</f>
        <v>184.44</v>
      </c>
      <c r="AC300" s="136">
        <v>119.36</v>
      </c>
      <c r="AD300" s="136">
        <f>Table1[[#This Row],[Total Amount]]-Table1[[#This Row],[Previous Amount]]</f>
        <v>65.08</v>
      </c>
      <c r="AE300" s="115"/>
      <c r="AG300" s="174">
        <v>184.44</v>
      </c>
      <c r="AH300" s="178">
        <f>AG300-Table1[[#This Row],[Total Amount]]</f>
        <v>0</v>
      </c>
      <c r="AI300" s="171">
        <f t="shared" si="36"/>
        <v>0</v>
      </c>
    </row>
    <row r="301" spans="1:35" ht="30" customHeight="1" x14ac:dyDescent="0.3">
      <c r="A301" s="91" t="s">
        <v>91</v>
      </c>
      <c r="B301" s="91" t="s">
        <v>98</v>
      </c>
      <c r="C301" s="109" t="s">
        <v>399</v>
      </c>
      <c r="D301" s="109">
        <v>77605</v>
      </c>
      <c r="E301" s="109">
        <v>80840</v>
      </c>
      <c r="F301" s="110" t="s">
        <v>398</v>
      </c>
      <c r="G301" s="17" t="s">
        <v>256</v>
      </c>
      <c r="H301" s="109" t="s">
        <v>120</v>
      </c>
      <c r="I301" s="109">
        <v>1</v>
      </c>
      <c r="J301" s="109">
        <v>6</v>
      </c>
      <c r="K301" s="109">
        <v>2</v>
      </c>
      <c r="L301" s="109">
        <v>2.5</v>
      </c>
      <c r="M301" s="109">
        <v>1</v>
      </c>
      <c r="N301" s="111" t="s">
        <v>208</v>
      </c>
      <c r="O301" s="111">
        <f t="shared" si="37"/>
        <v>15</v>
      </c>
      <c r="P301" s="125">
        <v>44869</v>
      </c>
      <c r="Q301" s="125">
        <v>44916</v>
      </c>
      <c r="R301" s="112">
        <v>1</v>
      </c>
      <c r="S301" s="112">
        <v>1</v>
      </c>
      <c r="T301" s="112">
        <v>1</v>
      </c>
      <c r="U301" s="113">
        <f>IF(ISBLANK(Table1[[#This Row],[OHC Date]]),$B$7-Table1[[#This Row],[HOC Date]]+1,Table1[[#This Row],[OHC Date]]-Table1[[#This Row],[HOC Date]]+1)/7</f>
        <v>6.8571428571428568</v>
      </c>
      <c r="V301" s="114">
        <v>16.760000000000002</v>
      </c>
      <c r="W301" s="114">
        <v>0.77</v>
      </c>
      <c r="X301" s="114">
        <f>ROUND(0.7*Table1[[#This Row],[E&amp;D Rate per unit]]*R301*Table1[[#This Row],[Quantity]],2)</f>
        <v>175.98</v>
      </c>
      <c r="Y301" s="114">
        <f t="shared" si="38"/>
        <v>79.2</v>
      </c>
      <c r="Z301" s="114">
        <f>ROUND(0.3*T301*Table1[[#This Row],[E&amp;D Rate per unit]]*Table1[[#This Row],[Quantity]],2)</f>
        <v>75.42</v>
      </c>
      <c r="AA301" s="112">
        <v>1</v>
      </c>
      <c r="AB301" s="21">
        <f>ROUND(X301+Z301+Y301,2)*Table1[[#This Row],[Until WA Approved Only Approved this %]]</f>
        <v>330.6</v>
      </c>
      <c r="AC301" s="136">
        <v>212.28</v>
      </c>
      <c r="AD301" s="136">
        <f>Table1[[#This Row],[Total Amount]]-Table1[[#This Row],[Previous Amount]]</f>
        <v>118.32000000000002</v>
      </c>
      <c r="AE301" s="115"/>
      <c r="AG301" s="174">
        <v>330.6</v>
      </c>
      <c r="AH301" s="178">
        <f>AG301-Table1[[#This Row],[Total Amount]]</f>
        <v>0</v>
      </c>
      <c r="AI301" s="171">
        <f t="shared" si="36"/>
        <v>0</v>
      </c>
    </row>
    <row r="302" spans="1:35" ht="30" customHeight="1" x14ac:dyDescent="0.3">
      <c r="A302" s="91" t="s">
        <v>91</v>
      </c>
      <c r="B302" s="91" t="s">
        <v>98</v>
      </c>
      <c r="C302" s="109" t="s">
        <v>400</v>
      </c>
      <c r="D302" s="109">
        <v>77606</v>
      </c>
      <c r="E302" s="109">
        <v>80841</v>
      </c>
      <c r="F302" s="110" t="s">
        <v>398</v>
      </c>
      <c r="G302" s="17" t="s">
        <v>256</v>
      </c>
      <c r="H302" s="109" t="s">
        <v>222</v>
      </c>
      <c r="I302" s="109">
        <v>1</v>
      </c>
      <c r="J302" s="109">
        <v>1.8</v>
      </c>
      <c r="K302" s="109">
        <v>1.8</v>
      </c>
      <c r="L302" s="109">
        <v>1</v>
      </c>
      <c r="M302" s="109">
        <v>1</v>
      </c>
      <c r="N302" s="111" t="s">
        <v>223</v>
      </c>
      <c r="O302" s="111">
        <f t="shared" si="37"/>
        <v>1</v>
      </c>
      <c r="P302" s="125">
        <v>44869</v>
      </c>
      <c r="Q302" s="125">
        <v>44916</v>
      </c>
      <c r="R302" s="112">
        <v>1</v>
      </c>
      <c r="S302" s="112">
        <v>1</v>
      </c>
      <c r="T302" s="112">
        <v>1</v>
      </c>
      <c r="U302" s="113">
        <f>IF(ISBLANK(Table1[[#This Row],[OHC Date]]),$B$7-Table1[[#This Row],[HOC Date]]+1,Table1[[#This Row],[OHC Date]]-Table1[[#This Row],[HOC Date]]+1)/7</f>
        <v>6.8571428571428568</v>
      </c>
      <c r="V302" s="114">
        <v>63.34</v>
      </c>
      <c r="W302" s="114">
        <v>7.28</v>
      </c>
      <c r="X302" s="114">
        <f>ROUND(0.7*Table1[[#This Row],[E&amp;D Rate per unit]]*R302*Table1[[#This Row],[Quantity]],2)</f>
        <v>44.34</v>
      </c>
      <c r="Y302" s="114">
        <f t="shared" si="38"/>
        <v>49.92</v>
      </c>
      <c r="Z302" s="114">
        <f>ROUND(0.3*T302*Table1[[#This Row],[E&amp;D Rate per unit]]*Table1[[#This Row],[Quantity]],2)</f>
        <v>19</v>
      </c>
      <c r="AA302" s="112">
        <v>1</v>
      </c>
      <c r="AB302" s="21">
        <f>ROUND(X302+Z302+Y302,2)*Table1[[#This Row],[Until WA Approved Only Approved this %]]</f>
        <v>113.26</v>
      </c>
      <c r="AC302" s="136">
        <v>67.22</v>
      </c>
      <c r="AD302" s="136">
        <f>Table1[[#This Row],[Total Amount]]-Table1[[#This Row],[Previous Amount]]</f>
        <v>46.040000000000006</v>
      </c>
      <c r="AE302" s="115"/>
      <c r="AG302" s="174">
        <v>113.26</v>
      </c>
      <c r="AH302" s="178">
        <f>AG302-Table1[[#This Row],[Total Amount]]</f>
        <v>0</v>
      </c>
      <c r="AI302" s="171">
        <f t="shared" si="36"/>
        <v>0</v>
      </c>
    </row>
    <row r="303" spans="1:35" ht="30" customHeight="1" x14ac:dyDescent="0.3">
      <c r="A303" s="91" t="s">
        <v>91</v>
      </c>
      <c r="B303" s="91" t="s">
        <v>98</v>
      </c>
      <c r="C303" s="109">
        <v>27</v>
      </c>
      <c r="D303" s="109">
        <v>77607</v>
      </c>
      <c r="E303" s="109">
        <v>76816</v>
      </c>
      <c r="F303" s="110" t="s">
        <v>344</v>
      </c>
      <c r="G303" s="17" t="s">
        <v>228</v>
      </c>
      <c r="H303" s="109" t="s">
        <v>222</v>
      </c>
      <c r="I303" s="109">
        <v>1</v>
      </c>
      <c r="J303" s="109">
        <v>2.5</v>
      </c>
      <c r="K303" s="109">
        <v>1.3</v>
      </c>
      <c r="L303" s="109">
        <v>4</v>
      </c>
      <c r="M303" s="109">
        <v>1</v>
      </c>
      <c r="N303" s="111" t="s">
        <v>223</v>
      </c>
      <c r="O303" s="111">
        <f t="shared" ref="O303:O348" si="42">ROUND(IF(N303="m3",I303*J303*K303*L303,IF(N303="m2-LxH",I303*J303*L303,IF(N303="m2-LxW",I303*J303*K303,IF(N303="rm",I303*L303,IF(N303="lm",I303*J303,IF(N303="unit",I303,"NA")))))),2)</f>
        <v>4</v>
      </c>
      <c r="P303" s="125">
        <v>44869</v>
      </c>
      <c r="Q303" s="125">
        <v>44876</v>
      </c>
      <c r="R303" s="112">
        <v>1</v>
      </c>
      <c r="S303" s="112">
        <v>1</v>
      </c>
      <c r="T303" s="112">
        <v>1</v>
      </c>
      <c r="U303" s="113">
        <f>IF(ISBLANK(Table1[[#This Row],[OHC Date]]),$B$7-Table1[[#This Row],[HOC Date]]+1,Table1[[#This Row],[OHC Date]]-Table1[[#This Row],[HOC Date]]+1)/7</f>
        <v>1.1428571428571428</v>
      </c>
      <c r="V303" s="114">
        <v>63.34</v>
      </c>
      <c r="W303" s="114">
        <v>7.28</v>
      </c>
      <c r="X303" s="114">
        <f>ROUND(0.7*Table1[[#This Row],[E&amp;D Rate per unit]]*R303*Table1[[#This Row],[Quantity]],2)</f>
        <v>177.35</v>
      </c>
      <c r="Y303" s="114">
        <f t="shared" ref="Y303:Y348" si="43">ROUND(O303*U303*W303*S303,2)</f>
        <v>33.28</v>
      </c>
      <c r="Z303" s="114">
        <f>ROUND(0.3*T303*Table1[[#This Row],[E&amp;D Rate per unit]]*Table1[[#This Row],[Quantity]],2)</f>
        <v>76.010000000000005</v>
      </c>
      <c r="AA303" s="112">
        <v>1</v>
      </c>
      <c r="AB303" s="21">
        <f>ROUND(X303+Z303+Y303,2)*Table1[[#This Row],[Until WA Approved Only Approved this %]]</f>
        <v>286.64</v>
      </c>
      <c r="AC303" s="136">
        <v>286.64</v>
      </c>
      <c r="AD303" s="136">
        <f>Table1[[#This Row],[Total Amount]]-Table1[[#This Row],[Previous Amount]]</f>
        <v>0</v>
      </c>
      <c r="AE303" s="115"/>
      <c r="AG303" s="174">
        <v>286.64</v>
      </c>
      <c r="AH303" s="178">
        <f>AG303-Table1[[#This Row],[Total Amount]]</f>
        <v>0</v>
      </c>
      <c r="AI303" s="171">
        <f t="shared" si="36"/>
        <v>0</v>
      </c>
    </row>
    <row r="304" spans="1:35" ht="30" customHeight="1" x14ac:dyDescent="0.3">
      <c r="A304" s="91" t="s">
        <v>91</v>
      </c>
      <c r="B304" s="91" t="s">
        <v>98</v>
      </c>
      <c r="C304" s="109">
        <v>28</v>
      </c>
      <c r="D304" s="109">
        <v>77608</v>
      </c>
      <c r="E304" s="109">
        <v>76824</v>
      </c>
      <c r="F304" s="110" t="s">
        <v>401</v>
      </c>
      <c r="G304" s="17" t="s">
        <v>206</v>
      </c>
      <c r="H304" s="109" t="s">
        <v>222</v>
      </c>
      <c r="I304" s="109">
        <v>1</v>
      </c>
      <c r="J304" s="109">
        <v>2.5</v>
      </c>
      <c r="K304" s="109">
        <v>0.9</v>
      </c>
      <c r="L304" s="109">
        <v>1.2</v>
      </c>
      <c r="M304" s="109">
        <v>1</v>
      </c>
      <c r="N304" s="111" t="s">
        <v>223</v>
      </c>
      <c r="O304" s="111">
        <f t="shared" si="42"/>
        <v>1.2</v>
      </c>
      <c r="P304" s="125">
        <v>44869</v>
      </c>
      <c r="Q304" s="125">
        <v>44876</v>
      </c>
      <c r="R304" s="112">
        <v>1</v>
      </c>
      <c r="S304" s="112">
        <v>1</v>
      </c>
      <c r="T304" s="112">
        <v>1</v>
      </c>
      <c r="U304" s="113">
        <f>IF(ISBLANK(Table1[[#This Row],[OHC Date]]),$B$7-Table1[[#This Row],[HOC Date]]+1,Table1[[#This Row],[OHC Date]]-Table1[[#This Row],[HOC Date]]+1)/7</f>
        <v>1.1428571428571428</v>
      </c>
      <c r="V304" s="114">
        <v>63.34</v>
      </c>
      <c r="W304" s="114">
        <v>7.28</v>
      </c>
      <c r="X304" s="114">
        <f>ROUND(0.7*Table1[[#This Row],[E&amp;D Rate per unit]]*R304*Table1[[#This Row],[Quantity]],2)</f>
        <v>53.21</v>
      </c>
      <c r="Y304" s="114">
        <f t="shared" si="43"/>
        <v>9.98</v>
      </c>
      <c r="Z304" s="114">
        <f>ROUND(0.3*T304*Table1[[#This Row],[E&amp;D Rate per unit]]*Table1[[#This Row],[Quantity]],2)</f>
        <v>22.8</v>
      </c>
      <c r="AA304" s="112">
        <v>1</v>
      </c>
      <c r="AB304" s="21">
        <f>ROUND(X304+Z304+Y304,2)*Table1[[#This Row],[Until WA Approved Only Approved this %]]</f>
        <v>85.99</v>
      </c>
      <c r="AC304" s="136">
        <v>85.99</v>
      </c>
      <c r="AD304" s="136">
        <f>Table1[[#This Row],[Total Amount]]-Table1[[#This Row],[Previous Amount]]</f>
        <v>0</v>
      </c>
      <c r="AE304" s="115"/>
      <c r="AG304" s="174">
        <v>85.99</v>
      </c>
      <c r="AH304" s="178">
        <f>AG304-Table1[[#This Row],[Total Amount]]</f>
        <v>0</v>
      </c>
      <c r="AI304" s="171">
        <f t="shared" si="36"/>
        <v>0</v>
      </c>
    </row>
    <row r="305" spans="1:35" ht="30" customHeight="1" x14ac:dyDescent="0.3">
      <c r="A305" s="91" t="s">
        <v>91</v>
      </c>
      <c r="B305" s="91" t="s">
        <v>98</v>
      </c>
      <c r="C305" s="109">
        <v>29</v>
      </c>
      <c r="D305" s="109">
        <v>77609</v>
      </c>
      <c r="E305" s="109">
        <v>76825</v>
      </c>
      <c r="F305" s="110" t="s">
        <v>401</v>
      </c>
      <c r="G305" s="17" t="s">
        <v>206</v>
      </c>
      <c r="H305" s="109" t="s">
        <v>222</v>
      </c>
      <c r="I305" s="109">
        <v>1</v>
      </c>
      <c r="J305" s="109">
        <v>2.5</v>
      </c>
      <c r="K305" s="109">
        <v>0.9</v>
      </c>
      <c r="L305" s="109">
        <v>1.2</v>
      </c>
      <c r="M305" s="109">
        <v>1</v>
      </c>
      <c r="N305" s="111" t="s">
        <v>223</v>
      </c>
      <c r="O305" s="111">
        <f t="shared" si="42"/>
        <v>1.2</v>
      </c>
      <c r="P305" s="125">
        <v>44869</v>
      </c>
      <c r="Q305" s="125">
        <v>44876</v>
      </c>
      <c r="R305" s="112">
        <v>1</v>
      </c>
      <c r="S305" s="112">
        <v>1</v>
      </c>
      <c r="T305" s="112">
        <v>1</v>
      </c>
      <c r="U305" s="113">
        <f>IF(ISBLANK(Table1[[#This Row],[OHC Date]]),$B$7-Table1[[#This Row],[HOC Date]]+1,Table1[[#This Row],[OHC Date]]-Table1[[#This Row],[HOC Date]]+1)/7</f>
        <v>1.1428571428571428</v>
      </c>
      <c r="V305" s="114">
        <v>63.34</v>
      </c>
      <c r="W305" s="114">
        <v>7.28</v>
      </c>
      <c r="X305" s="114">
        <f>ROUND(0.7*Table1[[#This Row],[E&amp;D Rate per unit]]*R305*Table1[[#This Row],[Quantity]],2)</f>
        <v>53.21</v>
      </c>
      <c r="Y305" s="114">
        <f t="shared" si="43"/>
        <v>9.98</v>
      </c>
      <c r="Z305" s="114">
        <f>ROUND(0.3*T305*Table1[[#This Row],[E&amp;D Rate per unit]]*Table1[[#This Row],[Quantity]],2)</f>
        <v>22.8</v>
      </c>
      <c r="AA305" s="112">
        <v>1</v>
      </c>
      <c r="AB305" s="21">
        <f>ROUND(X305+Z305+Y305,2)*Table1[[#This Row],[Until WA Approved Only Approved this %]]</f>
        <v>85.99</v>
      </c>
      <c r="AC305" s="136">
        <v>85.99</v>
      </c>
      <c r="AD305" s="136">
        <f>Table1[[#This Row],[Total Amount]]-Table1[[#This Row],[Previous Amount]]</f>
        <v>0</v>
      </c>
      <c r="AE305" s="115"/>
      <c r="AG305" s="174">
        <v>85.99</v>
      </c>
      <c r="AH305" s="178">
        <f>AG305-Table1[[#This Row],[Total Amount]]</f>
        <v>0</v>
      </c>
      <c r="AI305" s="171">
        <f t="shared" si="36"/>
        <v>0</v>
      </c>
    </row>
    <row r="306" spans="1:35" ht="30" customHeight="1" x14ac:dyDescent="0.3">
      <c r="A306" s="91" t="s">
        <v>91</v>
      </c>
      <c r="B306" s="91" t="s">
        <v>98</v>
      </c>
      <c r="C306" s="109">
        <v>30</v>
      </c>
      <c r="D306" s="109">
        <v>77610</v>
      </c>
      <c r="E306" s="109">
        <v>76826</v>
      </c>
      <c r="F306" s="110" t="s">
        <v>401</v>
      </c>
      <c r="G306" s="17" t="s">
        <v>206</v>
      </c>
      <c r="H306" s="109" t="s">
        <v>222</v>
      </c>
      <c r="I306" s="109">
        <v>1</v>
      </c>
      <c r="J306" s="109">
        <v>2.5</v>
      </c>
      <c r="K306" s="109">
        <v>0.9</v>
      </c>
      <c r="L306" s="109">
        <v>1.2</v>
      </c>
      <c r="M306" s="109">
        <v>1</v>
      </c>
      <c r="N306" s="111" t="s">
        <v>223</v>
      </c>
      <c r="O306" s="111">
        <f t="shared" si="42"/>
        <v>1.2</v>
      </c>
      <c r="P306" s="125">
        <v>44869</v>
      </c>
      <c r="Q306" s="125">
        <v>44876</v>
      </c>
      <c r="R306" s="112">
        <v>1</v>
      </c>
      <c r="S306" s="112">
        <v>1</v>
      </c>
      <c r="T306" s="112">
        <v>1</v>
      </c>
      <c r="U306" s="113">
        <f>IF(ISBLANK(Table1[[#This Row],[OHC Date]]),$B$7-Table1[[#This Row],[HOC Date]]+1,Table1[[#This Row],[OHC Date]]-Table1[[#This Row],[HOC Date]]+1)/7</f>
        <v>1.1428571428571428</v>
      </c>
      <c r="V306" s="114">
        <v>63.34</v>
      </c>
      <c r="W306" s="114">
        <v>7.28</v>
      </c>
      <c r="X306" s="114">
        <f>ROUND(0.7*Table1[[#This Row],[E&amp;D Rate per unit]]*R306*Table1[[#This Row],[Quantity]],2)</f>
        <v>53.21</v>
      </c>
      <c r="Y306" s="114">
        <f t="shared" si="43"/>
        <v>9.98</v>
      </c>
      <c r="Z306" s="114">
        <f>ROUND(0.3*T306*Table1[[#This Row],[E&amp;D Rate per unit]]*Table1[[#This Row],[Quantity]],2)</f>
        <v>22.8</v>
      </c>
      <c r="AA306" s="112">
        <v>1</v>
      </c>
      <c r="AB306" s="21">
        <f>ROUND(X306+Z306+Y306,2)*Table1[[#This Row],[Until WA Approved Only Approved this %]]</f>
        <v>85.99</v>
      </c>
      <c r="AC306" s="136">
        <v>85.99</v>
      </c>
      <c r="AD306" s="136">
        <f>Table1[[#This Row],[Total Amount]]-Table1[[#This Row],[Previous Amount]]</f>
        <v>0</v>
      </c>
      <c r="AE306" s="115"/>
      <c r="AG306" s="174">
        <v>85.99</v>
      </c>
      <c r="AH306" s="178">
        <f>AG306-Table1[[#This Row],[Total Amount]]</f>
        <v>0</v>
      </c>
      <c r="AI306" s="171">
        <f t="shared" si="36"/>
        <v>0</v>
      </c>
    </row>
    <row r="307" spans="1:35" ht="30" customHeight="1" x14ac:dyDescent="0.3">
      <c r="A307" s="108" t="s">
        <v>97</v>
      </c>
      <c r="B307" s="91" t="s">
        <v>98</v>
      </c>
      <c r="C307" s="109">
        <v>31</v>
      </c>
      <c r="D307" s="109">
        <v>77611</v>
      </c>
      <c r="E307" s="109"/>
      <c r="F307" s="110" t="s">
        <v>283</v>
      </c>
      <c r="G307" s="17" t="s">
        <v>165</v>
      </c>
      <c r="H307" s="109" t="s">
        <v>301</v>
      </c>
      <c r="I307" s="109">
        <v>1</v>
      </c>
      <c r="J307" s="109">
        <v>22</v>
      </c>
      <c r="K307" s="109">
        <v>1.8</v>
      </c>
      <c r="L307" s="109">
        <v>4</v>
      </c>
      <c r="M307" s="109">
        <v>1</v>
      </c>
      <c r="N307" s="111" t="s">
        <v>285</v>
      </c>
      <c r="O307" s="111">
        <f t="shared" si="42"/>
        <v>22</v>
      </c>
      <c r="P307" s="125">
        <v>44869</v>
      </c>
      <c r="Q307" s="125"/>
      <c r="R307" s="112">
        <v>1</v>
      </c>
      <c r="S307" s="112">
        <v>1</v>
      </c>
      <c r="T307" s="112">
        <v>0</v>
      </c>
      <c r="U307" s="113">
        <f>IF(ISBLANK(Table1[[#This Row],[OHC Date]]),$B$7-Table1[[#This Row],[HOC Date]]+1,Table1[[#This Row],[OHC Date]]-Table1[[#This Row],[HOC Date]]+1)/7</f>
        <v>7.4285714285714288</v>
      </c>
      <c r="V307" s="114">
        <v>1002.22</v>
      </c>
      <c r="W307" s="114">
        <v>98.12</v>
      </c>
      <c r="X307" s="114">
        <f>ROUND(0.7*Table1[[#This Row],[E&amp;D Rate per unit]]*R307*Table1[[#This Row],[Quantity]],2)</f>
        <v>15434.19</v>
      </c>
      <c r="Y307" s="114">
        <f t="shared" si="43"/>
        <v>16035.61</v>
      </c>
      <c r="Z307" s="114">
        <f>ROUND(0.3*T307*Table1[[#This Row],[E&amp;D Rate per unit]]*Table1[[#This Row],[Quantity]],2)</f>
        <v>0</v>
      </c>
      <c r="AA307" s="112">
        <v>1</v>
      </c>
      <c r="AB307" s="21">
        <f>ROUND(X307+Z307+Y307,2)*Table1[[#This Row],[Until WA Approved Only Approved this %]]</f>
        <v>31469.8</v>
      </c>
      <c r="AC307" s="136">
        <v>22218.49</v>
      </c>
      <c r="AD307" s="136">
        <f>Table1[[#This Row],[Total Amount]]-Table1[[#This Row],[Previous Amount]]</f>
        <v>9251.3099999999977</v>
      </c>
      <c r="AE307" s="115" t="s">
        <v>284</v>
      </c>
      <c r="AG307" s="174">
        <v>31469.8</v>
      </c>
      <c r="AH307" s="178">
        <f>AG307-Table1[[#This Row],[Total Amount]]</f>
        <v>0</v>
      </c>
      <c r="AI307" s="171">
        <f t="shared" si="36"/>
        <v>0</v>
      </c>
    </row>
    <row r="308" spans="1:35" ht="30" customHeight="1" x14ac:dyDescent="0.3">
      <c r="A308" s="108" t="s">
        <v>97</v>
      </c>
      <c r="B308" s="91" t="s">
        <v>98</v>
      </c>
      <c r="C308" s="109">
        <v>31</v>
      </c>
      <c r="D308" s="109"/>
      <c r="E308" s="109"/>
      <c r="F308" s="110" t="s">
        <v>283</v>
      </c>
      <c r="G308" s="17" t="s">
        <v>165</v>
      </c>
      <c r="H308" s="109" t="s">
        <v>300</v>
      </c>
      <c r="I308" s="109">
        <v>1</v>
      </c>
      <c r="J308" s="109"/>
      <c r="K308" s="109"/>
      <c r="L308" s="109"/>
      <c r="M308" s="109"/>
      <c r="N308" s="111" t="s">
        <v>56</v>
      </c>
      <c r="O308" s="111">
        <f>ROUND(IF(N308="m3",I308*J308*K308*L308,IF(N308="m2-LxH",I308*J308*L308,IF(N308="m2-LxW",I308*J308*K308,IF(N308="rm",I308*L308,IF(N308="lm",I308*J308,IF(N308="unit",I308,"NA")))))),2)</f>
        <v>1</v>
      </c>
      <c r="P308" s="125">
        <v>44869</v>
      </c>
      <c r="Q308" s="125"/>
      <c r="R308" s="112">
        <v>1</v>
      </c>
      <c r="S308" s="112">
        <v>1</v>
      </c>
      <c r="T308" s="112">
        <v>0</v>
      </c>
      <c r="U308" s="113">
        <f>IF(ISBLANK(Table1[[#This Row],[OHC Date]]),$B$7-Table1[[#This Row],[HOC Date]]+1,Table1[[#This Row],[OHC Date]]-Table1[[#This Row],[HOC Date]]+1)/7</f>
        <v>7.4285714285714288</v>
      </c>
      <c r="V308" s="114">
        <v>1230</v>
      </c>
      <c r="W308" s="114">
        <v>0</v>
      </c>
      <c r="X308" s="114">
        <v>1230</v>
      </c>
      <c r="Y308" s="114">
        <f>ROUND(O308*U308*W308*S308,2)</f>
        <v>0</v>
      </c>
      <c r="Z308" s="114">
        <f>ROUND(0.3*T308*Table1[[#This Row],[E&amp;D Rate per unit]]*Table1[[#This Row],[Quantity]],2)</f>
        <v>0</v>
      </c>
      <c r="AA308" s="112">
        <v>1</v>
      </c>
      <c r="AB308" s="21">
        <f>ROUND(X308+Z308+Y308,2)*Table1[[#This Row],[Until WA Approved Only Approved this %]]</f>
        <v>1230</v>
      </c>
      <c r="AC308" s="136">
        <v>1230</v>
      </c>
      <c r="AD308" s="136">
        <f>Table1[[#This Row],[Total Amount]]-Table1[[#This Row],[Previous Amount]]</f>
        <v>0</v>
      </c>
      <c r="AE308" s="115" t="s">
        <v>299</v>
      </c>
      <c r="AG308" s="174">
        <v>1230</v>
      </c>
      <c r="AH308" s="178">
        <f>AG308-Table1[[#This Row],[Total Amount]]</f>
        <v>0</v>
      </c>
      <c r="AI308" s="171">
        <f t="shared" si="36"/>
        <v>0</v>
      </c>
    </row>
    <row r="309" spans="1:35" ht="30" customHeight="1" x14ac:dyDescent="0.3">
      <c r="A309" s="91" t="s">
        <v>91</v>
      </c>
      <c r="B309" s="91" t="s">
        <v>98</v>
      </c>
      <c r="C309" s="109" t="s">
        <v>402</v>
      </c>
      <c r="D309" s="109">
        <v>77612</v>
      </c>
      <c r="E309" s="109">
        <v>76822</v>
      </c>
      <c r="F309" s="110" t="s">
        <v>283</v>
      </c>
      <c r="G309" s="17" t="s">
        <v>165</v>
      </c>
      <c r="H309" s="109" t="s">
        <v>178</v>
      </c>
      <c r="I309" s="109">
        <v>1</v>
      </c>
      <c r="J309" s="109">
        <v>22</v>
      </c>
      <c r="K309" s="109">
        <v>1</v>
      </c>
      <c r="L309" s="109">
        <v>1</v>
      </c>
      <c r="M309" s="109">
        <v>1</v>
      </c>
      <c r="N309" s="111" t="s">
        <v>162</v>
      </c>
      <c r="O309" s="111">
        <f t="shared" si="42"/>
        <v>22</v>
      </c>
      <c r="P309" s="125">
        <v>44869</v>
      </c>
      <c r="Q309" s="125">
        <v>44876</v>
      </c>
      <c r="R309" s="112">
        <v>1</v>
      </c>
      <c r="S309" s="112">
        <v>1</v>
      </c>
      <c r="T309" s="112">
        <v>1</v>
      </c>
      <c r="U309" s="113">
        <f>IF(ISBLANK(Table1[[#This Row],[OHC Date]]),$B$7-Table1[[#This Row],[HOC Date]]+1,Table1[[#This Row],[OHC Date]]-Table1[[#This Row],[HOC Date]]+1)/7</f>
        <v>1.1428571428571428</v>
      </c>
      <c r="V309" s="114">
        <v>6.63</v>
      </c>
      <c r="W309" s="114">
        <v>0.7</v>
      </c>
      <c r="X309" s="114">
        <f>ROUND(0.7*Table1[[#This Row],[E&amp;D Rate per unit]]*R309*Table1[[#This Row],[Quantity]],2)</f>
        <v>102.1</v>
      </c>
      <c r="Y309" s="114">
        <f t="shared" si="43"/>
        <v>17.600000000000001</v>
      </c>
      <c r="Z309" s="114">
        <f>ROUND(0.3*T309*Table1[[#This Row],[E&amp;D Rate per unit]]*Table1[[#This Row],[Quantity]],2)</f>
        <v>43.76</v>
      </c>
      <c r="AA309" s="112">
        <v>1</v>
      </c>
      <c r="AB309" s="21">
        <f>ROUND(X309+Z309+Y309,2)*Table1[[#This Row],[Until WA Approved Only Approved this %]]</f>
        <v>163.46</v>
      </c>
      <c r="AC309" s="136">
        <v>163.46</v>
      </c>
      <c r="AD309" s="136">
        <f>Table1[[#This Row],[Total Amount]]-Table1[[#This Row],[Previous Amount]]</f>
        <v>0</v>
      </c>
      <c r="AE309" s="115"/>
      <c r="AG309" s="174">
        <v>163.46</v>
      </c>
      <c r="AH309" s="178">
        <f>AG309-Table1[[#This Row],[Total Amount]]</f>
        <v>0</v>
      </c>
      <c r="AI309" s="171">
        <f t="shared" si="36"/>
        <v>0</v>
      </c>
    </row>
    <row r="310" spans="1:35" ht="30" customHeight="1" x14ac:dyDescent="0.3">
      <c r="A310" s="91" t="s">
        <v>91</v>
      </c>
      <c r="B310" s="91" t="s">
        <v>98</v>
      </c>
      <c r="C310" s="109">
        <v>32</v>
      </c>
      <c r="D310" s="109">
        <v>77613</v>
      </c>
      <c r="E310" s="109">
        <v>76814</v>
      </c>
      <c r="F310" s="110" t="s">
        <v>344</v>
      </c>
      <c r="G310" s="17" t="s">
        <v>228</v>
      </c>
      <c r="H310" s="109" t="s">
        <v>207</v>
      </c>
      <c r="I310" s="109">
        <v>1</v>
      </c>
      <c r="J310" s="109">
        <v>3.8</v>
      </c>
      <c r="K310" s="109">
        <v>1.3</v>
      </c>
      <c r="L310" s="109">
        <v>2.5</v>
      </c>
      <c r="M310" s="109">
        <v>1</v>
      </c>
      <c r="N310" s="111" t="s">
        <v>208</v>
      </c>
      <c r="O310" s="111">
        <f t="shared" si="42"/>
        <v>9.5</v>
      </c>
      <c r="P310" s="125">
        <v>44869</v>
      </c>
      <c r="Q310" s="125">
        <v>44875</v>
      </c>
      <c r="R310" s="112">
        <v>1</v>
      </c>
      <c r="S310" s="112">
        <v>1</v>
      </c>
      <c r="T310" s="112">
        <v>1</v>
      </c>
      <c r="U310" s="113">
        <f>IF(ISBLANK(Table1[[#This Row],[OHC Date]]),$B$7-Table1[[#This Row],[HOC Date]]+1,Table1[[#This Row],[OHC Date]]-Table1[[#This Row],[HOC Date]]+1)/7</f>
        <v>1</v>
      </c>
      <c r="V310" s="114">
        <v>12.01</v>
      </c>
      <c r="W310" s="114">
        <v>0.49</v>
      </c>
      <c r="X310" s="114">
        <f>ROUND(0.7*Table1[[#This Row],[E&amp;D Rate per unit]]*R310*Table1[[#This Row],[Quantity]],2)</f>
        <v>79.87</v>
      </c>
      <c r="Y310" s="114">
        <f t="shared" si="43"/>
        <v>4.66</v>
      </c>
      <c r="Z310" s="114">
        <f>ROUND(0.3*T310*Table1[[#This Row],[E&amp;D Rate per unit]]*Table1[[#This Row],[Quantity]],2)</f>
        <v>34.229999999999997</v>
      </c>
      <c r="AA310" s="112">
        <v>1</v>
      </c>
      <c r="AB310" s="21">
        <f>ROUND(X310+Z310+Y310,2)*Table1[[#This Row],[Until WA Approved Only Approved this %]]</f>
        <v>118.76</v>
      </c>
      <c r="AC310" s="136">
        <v>118.76</v>
      </c>
      <c r="AD310" s="136">
        <f>Table1[[#This Row],[Total Amount]]-Table1[[#This Row],[Previous Amount]]</f>
        <v>0</v>
      </c>
      <c r="AE310" s="115"/>
      <c r="AG310" s="174">
        <v>118.76</v>
      </c>
      <c r="AH310" s="178">
        <f>AG310-Table1[[#This Row],[Total Amount]]</f>
        <v>0</v>
      </c>
      <c r="AI310" s="171">
        <f t="shared" si="36"/>
        <v>0</v>
      </c>
    </row>
    <row r="311" spans="1:35" ht="30" customHeight="1" x14ac:dyDescent="0.3">
      <c r="A311" s="91" t="s">
        <v>91</v>
      </c>
      <c r="B311" s="91" t="s">
        <v>98</v>
      </c>
      <c r="C311" s="109" t="s">
        <v>317</v>
      </c>
      <c r="D311" s="109">
        <v>77614</v>
      </c>
      <c r="E311" s="109">
        <v>76815</v>
      </c>
      <c r="F311" s="110" t="s">
        <v>344</v>
      </c>
      <c r="G311" s="17" t="s">
        <v>228</v>
      </c>
      <c r="H311" s="109" t="s">
        <v>222</v>
      </c>
      <c r="I311" s="109">
        <v>1</v>
      </c>
      <c r="J311" s="109">
        <v>2.5</v>
      </c>
      <c r="K311" s="109">
        <v>1.3</v>
      </c>
      <c r="L311" s="109">
        <v>2.2999999999999998</v>
      </c>
      <c r="M311" s="109">
        <v>1</v>
      </c>
      <c r="N311" s="111" t="s">
        <v>223</v>
      </c>
      <c r="O311" s="111">
        <f t="shared" si="42"/>
        <v>2.2999999999999998</v>
      </c>
      <c r="P311" s="125">
        <v>44869</v>
      </c>
      <c r="Q311" s="125">
        <v>44875</v>
      </c>
      <c r="R311" s="112">
        <v>1</v>
      </c>
      <c r="S311" s="112">
        <v>1</v>
      </c>
      <c r="T311" s="112">
        <v>1</v>
      </c>
      <c r="U311" s="113">
        <f>IF(ISBLANK(Table1[[#This Row],[OHC Date]]),$B$7-Table1[[#This Row],[HOC Date]]+1,Table1[[#This Row],[OHC Date]]-Table1[[#This Row],[HOC Date]]+1)/7</f>
        <v>1</v>
      </c>
      <c r="V311" s="114">
        <v>63.34</v>
      </c>
      <c r="W311" s="114">
        <v>7.28</v>
      </c>
      <c r="X311" s="114">
        <f>ROUND(0.7*Table1[[#This Row],[E&amp;D Rate per unit]]*R311*Table1[[#This Row],[Quantity]],2)</f>
        <v>101.98</v>
      </c>
      <c r="Y311" s="114">
        <f t="shared" si="43"/>
        <v>16.739999999999998</v>
      </c>
      <c r="Z311" s="114">
        <f>ROUND(0.3*T311*Table1[[#This Row],[E&amp;D Rate per unit]]*Table1[[#This Row],[Quantity]],2)</f>
        <v>43.7</v>
      </c>
      <c r="AA311" s="112">
        <v>1</v>
      </c>
      <c r="AB311" s="21">
        <f>ROUND(X311+Z311+Y311,2)*Table1[[#This Row],[Until WA Approved Only Approved this %]]</f>
        <v>162.41999999999999</v>
      </c>
      <c r="AC311" s="136">
        <v>162.41999999999999</v>
      </c>
      <c r="AD311" s="136">
        <f>Table1[[#This Row],[Total Amount]]-Table1[[#This Row],[Previous Amount]]</f>
        <v>0</v>
      </c>
      <c r="AE311" s="115"/>
      <c r="AG311" s="174">
        <v>162.41999999999999</v>
      </c>
      <c r="AH311" s="178">
        <f>AG311-Table1[[#This Row],[Total Amount]]</f>
        <v>0</v>
      </c>
      <c r="AI311" s="171">
        <f t="shared" si="36"/>
        <v>0</v>
      </c>
    </row>
    <row r="312" spans="1:35" ht="30" customHeight="1" x14ac:dyDescent="0.3">
      <c r="A312" s="91" t="s">
        <v>91</v>
      </c>
      <c r="B312" s="91" t="s">
        <v>98</v>
      </c>
      <c r="C312" s="109">
        <v>33</v>
      </c>
      <c r="D312" s="109">
        <v>77615</v>
      </c>
      <c r="E312" s="109">
        <v>76827</v>
      </c>
      <c r="F312" s="110" t="s">
        <v>401</v>
      </c>
      <c r="G312" s="17" t="s">
        <v>206</v>
      </c>
      <c r="H312" s="109" t="s">
        <v>207</v>
      </c>
      <c r="I312" s="109">
        <v>1</v>
      </c>
      <c r="J312" s="109">
        <v>3</v>
      </c>
      <c r="K312" s="109">
        <v>0.5</v>
      </c>
      <c r="L312" s="109">
        <v>1.5</v>
      </c>
      <c r="M312" s="109">
        <v>1</v>
      </c>
      <c r="N312" s="111" t="s">
        <v>208</v>
      </c>
      <c r="O312" s="111">
        <f t="shared" si="42"/>
        <v>4.5</v>
      </c>
      <c r="P312" s="125">
        <v>44869</v>
      </c>
      <c r="Q312" s="125">
        <v>44876</v>
      </c>
      <c r="R312" s="112">
        <v>1</v>
      </c>
      <c r="S312" s="112">
        <v>1</v>
      </c>
      <c r="T312" s="112">
        <v>1</v>
      </c>
      <c r="U312" s="113">
        <f>IF(ISBLANK(Table1[[#This Row],[OHC Date]]),$B$7-Table1[[#This Row],[HOC Date]]+1,Table1[[#This Row],[OHC Date]]-Table1[[#This Row],[HOC Date]]+1)/7</f>
        <v>1.1428571428571428</v>
      </c>
      <c r="V312" s="114">
        <v>12.01</v>
      </c>
      <c r="W312" s="114">
        <v>0.49</v>
      </c>
      <c r="X312" s="114">
        <f>ROUND(0.7*Table1[[#This Row],[E&amp;D Rate per unit]]*R312*Table1[[#This Row],[Quantity]],2)</f>
        <v>37.83</v>
      </c>
      <c r="Y312" s="114">
        <f t="shared" si="43"/>
        <v>2.52</v>
      </c>
      <c r="Z312" s="114">
        <f>ROUND(0.3*T312*Table1[[#This Row],[E&amp;D Rate per unit]]*Table1[[#This Row],[Quantity]],2)</f>
        <v>16.21</v>
      </c>
      <c r="AA312" s="112">
        <v>1</v>
      </c>
      <c r="AB312" s="21">
        <f>ROUND(X312+Z312+Y312,2)*Table1[[#This Row],[Until WA Approved Only Approved this %]]</f>
        <v>56.56</v>
      </c>
      <c r="AC312" s="136">
        <v>56.56</v>
      </c>
      <c r="AD312" s="136">
        <f>Table1[[#This Row],[Total Amount]]-Table1[[#This Row],[Previous Amount]]</f>
        <v>0</v>
      </c>
      <c r="AE312" s="115"/>
      <c r="AG312" s="174">
        <v>56.56</v>
      </c>
      <c r="AH312" s="178">
        <f>AG312-Table1[[#This Row],[Total Amount]]</f>
        <v>0</v>
      </c>
      <c r="AI312" s="171">
        <f t="shared" si="36"/>
        <v>0</v>
      </c>
    </row>
    <row r="313" spans="1:35" ht="30" customHeight="1" x14ac:dyDescent="0.3">
      <c r="A313" s="91" t="s">
        <v>91</v>
      </c>
      <c r="B313" s="91" t="s">
        <v>98</v>
      </c>
      <c r="C313" s="109">
        <v>34</v>
      </c>
      <c r="D313" s="109">
        <v>77616</v>
      </c>
      <c r="E313" s="109"/>
      <c r="F313" s="110" t="s">
        <v>344</v>
      </c>
      <c r="G313" s="17" t="s">
        <v>228</v>
      </c>
      <c r="H313" s="109" t="s">
        <v>120</v>
      </c>
      <c r="I313" s="109">
        <v>1</v>
      </c>
      <c r="J313" s="109">
        <v>3.8</v>
      </c>
      <c r="K313" s="109">
        <v>2.5</v>
      </c>
      <c r="L313" s="109">
        <v>3</v>
      </c>
      <c r="M313" s="109">
        <v>1</v>
      </c>
      <c r="N313" s="92" t="s">
        <v>208</v>
      </c>
      <c r="O313" s="92">
        <f t="shared" si="42"/>
        <v>11.4</v>
      </c>
      <c r="P313" s="125">
        <v>44872</v>
      </c>
      <c r="Q313" s="125"/>
      <c r="R313" s="112">
        <v>1</v>
      </c>
      <c r="S313" s="112">
        <v>1</v>
      </c>
      <c r="T313" s="112">
        <v>0</v>
      </c>
      <c r="U313" s="113">
        <f>IF(ISBLANK(Table1[[#This Row],[OHC Date]]),$B$7-Table1[[#This Row],[HOC Date]]+1,Table1[[#This Row],[OHC Date]]-Table1[[#This Row],[HOC Date]]+1)/7</f>
        <v>7</v>
      </c>
      <c r="V313" s="114">
        <v>16.760000000000002</v>
      </c>
      <c r="W313" s="114">
        <v>0.77</v>
      </c>
      <c r="X313" s="114">
        <f>ROUND(0.7*Table1[[#This Row],[E&amp;D Rate per unit]]*R313*Table1[[#This Row],[Quantity]],2)</f>
        <v>133.74</v>
      </c>
      <c r="Y313" s="114">
        <f t="shared" si="43"/>
        <v>61.45</v>
      </c>
      <c r="Z313" s="114">
        <f>ROUND(0.3*T313*Table1[[#This Row],[E&amp;D Rate per unit]]*Table1[[#This Row],[Quantity]],2)</f>
        <v>0</v>
      </c>
      <c r="AA313" s="112">
        <v>1</v>
      </c>
      <c r="AB313" s="21">
        <f>ROUND(X313+Z313+Y313,2)*Table1[[#This Row],[Until WA Approved Only Approved this %]]</f>
        <v>195.19</v>
      </c>
      <c r="AC313" s="136">
        <v>157.57</v>
      </c>
      <c r="AD313" s="136">
        <f>Table1[[#This Row],[Total Amount]]-Table1[[#This Row],[Previous Amount]]</f>
        <v>37.620000000000005</v>
      </c>
      <c r="AE313" s="115"/>
      <c r="AG313" s="174">
        <v>195.19</v>
      </c>
      <c r="AH313" s="178">
        <f>AG313-Table1[[#This Row],[Total Amount]]</f>
        <v>0</v>
      </c>
      <c r="AI313" s="171">
        <f t="shared" si="36"/>
        <v>0</v>
      </c>
    </row>
    <row r="314" spans="1:35" ht="30" customHeight="1" x14ac:dyDescent="0.3">
      <c r="A314" s="91" t="s">
        <v>91</v>
      </c>
      <c r="B314" s="91" t="s">
        <v>98</v>
      </c>
      <c r="C314" s="109">
        <v>35</v>
      </c>
      <c r="D314" s="109">
        <v>77617</v>
      </c>
      <c r="E314" s="109"/>
      <c r="F314" s="110" t="s">
        <v>344</v>
      </c>
      <c r="G314" s="17" t="s">
        <v>228</v>
      </c>
      <c r="H314" s="109" t="s">
        <v>222</v>
      </c>
      <c r="I314" s="109">
        <v>1</v>
      </c>
      <c r="J314" s="109">
        <v>2.5</v>
      </c>
      <c r="K314" s="109">
        <v>1.3</v>
      </c>
      <c r="L314" s="109">
        <v>3.2</v>
      </c>
      <c r="M314" s="109">
        <v>1</v>
      </c>
      <c r="N314" s="111" t="s">
        <v>223</v>
      </c>
      <c r="O314" s="111">
        <f t="shared" si="42"/>
        <v>3.2</v>
      </c>
      <c r="P314" s="125">
        <v>44873</v>
      </c>
      <c r="Q314" s="125"/>
      <c r="R314" s="112">
        <v>1</v>
      </c>
      <c r="S314" s="112">
        <v>1</v>
      </c>
      <c r="T314" s="112">
        <v>0</v>
      </c>
      <c r="U314" s="113">
        <f>IF(ISBLANK(Table1[[#This Row],[OHC Date]]),$B$7-Table1[[#This Row],[HOC Date]]+1,Table1[[#This Row],[OHC Date]]-Table1[[#This Row],[HOC Date]]+1)/7</f>
        <v>6.8571428571428568</v>
      </c>
      <c r="V314" s="114">
        <v>63.34</v>
      </c>
      <c r="W314" s="114">
        <v>7.28</v>
      </c>
      <c r="X314" s="114">
        <f>ROUND(0.7*Table1[[#This Row],[E&amp;D Rate per unit]]*R314*Table1[[#This Row],[Quantity]],2)</f>
        <v>141.88</v>
      </c>
      <c r="Y314" s="114">
        <f t="shared" si="43"/>
        <v>159.74</v>
      </c>
      <c r="Z314" s="114">
        <f>ROUND(0.3*T314*Table1[[#This Row],[E&amp;D Rate per unit]]*Table1[[#This Row],[Quantity]],2)</f>
        <v>0</v>
      </c>
      <c r="AA314" s="112">
        <v>1</v>
      </c>
      <c r="AB314" s="21">
        <f>ROUND(X314+Z314+Y314,2)*Table1[[#This Row],[Until WA Approved Only Approved this %]]</f>
        <v>301.62</v>
      </c>
      <c r="AC314" s="136">
        <v>201.78</v>
      </c>
      <c r="AD314" s="136">
        <f>Table1[[#This Row],[Total Amount]]-Table1[[#This Row],[Previous Amount]]</f>
        <v>99.84</v>
      </c>
      <c r="AE314" s="115"/>
      <c r="AG314" s="174">
        <v>301.62</v>
      </c>
      <c r="AH314" s="178">
        <f>AG314-Table1[[#This Row],[Total Amount]]</f>
        <v>0</v>
      </c>
      <c r="AI314" s="171">
        <f t="shared" si="36"/>
        <v>0</v>
      </c>
    </row>
    <row r="315" spans="1:35" ht="30" customHeight="1" x14ac:dyDescent="0.3">
      <c r="A315" s="108" t="s">
        <v>275</v>
      </c>
      <c r="B315" s="91" t="s">
        <v>98</v>
      </c>
      <c r="C315" s="109">
        <v>36</v>
      </c>
      <c r="D315" s="109">
        <v>77618</v>
      </c>
      <c r="E315" s="109">
        <v>76847</v>
      </c>
      <c r="F315" s="17" t="s">
        <v>277</v>
      </c>
      <c r="G315" s="17" t="s">
        <v>403</v>
      </c>
      <c r="H315" s="109" t="s">
        <v>120</v>
      </c>
      <c r="I315" s="109">
        <v>1</v>
      </c>
      <c r="J315" s="109">
        <v>6</v>
      </c>
      <c r="K315" s="109">
        <v>1.8</v>
      </c>
      <c r="L315" s="109">
        <v>7</v>
      </c>
      <c r="M315" s="109">
        <v>1</v>
      </c>
      <c r="N315" s="111" t="s">
        <v>56</v>
      </c>
      <c r="O315" s="111">
        <f t="shared" si="42"/>
        <v>1</v>
      </c>
      <c r="P315" s="125">
        <v>44874</v>
      </c>
      <c r="Q315" s="125">
        <v>44907</v>
      </c>
      <c r="R315" s="112">
        <v>1</v>
      </c>
      <c r="S315" s="112">
        <v>1</v>
      </c>
      <c r="T315" s="112">
        <v>1</v>
      </c>
      <c r="U315" s="113">
        <f>IF(ISBLANK(Table1[[#This Row],[OHC Date]]),$B$7-Table1[[#This Row],[HOC Date]]+1,Table1[[#This Row],[OHC Date]]-Table1[[#This Row],[HOC Date]]+1)/7</f>
        <v>4.8571428571428568</v>
      </c>
      <c r="V315" s="114">
        <v>5277.5</v>
      </c>
      <c r="W315" s="114">
        <v>48.26</v>
      </c>
      <c r="X315" s="114">
        <f>ROUND(0.7*Table1[[#This Row],[E&amp;D Rate per unit]]*R315*Table1[[#This Row],[Quantity]],2)</f>
        <v>3694.25</v>
      </c>
      <c r="Y315" s="114">
        <f t="shared" si="43"/>
        <v>234.41</v>
      </c>
      <c r="Z315" s="114">
        <f>ROUND(0.3*T315*Table1[[#This Row],[E&amp;D Rate per unit]]*Table1[[#This Row],[Quantity]],2)</f>
        <v>1583.25</v>
      </c>
      <c r="AA315" s="19">
        <v>1</v>
      </c>
      <c r="AB315" s="21">
        <f>ROUND(X315+Z315+Y315,2)*Table1[[#This Row],[Until WA Approved Only Approved this %]]</f>
        <v>5511.91</v>
      </c>
      <c r="AC315" s="136">
        <v>3811.45</v>
      </c>
      <c r="AD315" s="136">
        <f>Table1[[#This Row],[Total Amount]]-Table1[[#This Row],[Previous Amount]]</f>
        <v>1700.46</v>
      </c>
      <c r="AE315" s="142" t="s">
        <v>404</v>
      </c>
      <c r="AG315" s="174">
        <v>5511.91</v>
      </c>
      <c r="AH315" s="178">
        <f>AG315-Table1[[#This Row],[Total Amount]]</f>
        <v>0</v>
      </c>
      <c r="AI315" s="171">
        <f t="shared" si="36"/>
        <v>0</v>
      </c>
    </row>
    <row r="316" spans="1:35" ht="30" customHeight="1" x14ac:dyDescent="0.3">
      <c r="A316" s="91" t="s">
        <v>91</v>
      </c>
      <c r="B316" s="91" t="s">
        <v>98</v>
      </c>
      <c r="C316" s="109" t="s">
        <v>405</v>
      </c>
      <c r="D316" s="109">
        <v>77619</v>
      </c>
      <c r="E316" s="109">
        <v>80810</v>
      </c>
      <c r="F316" s="110" t="s">
        <v>406</v>
      </c>
      <c r="G316" s="17" t="s">
        <v>253</v>
      </c>
      <c r="H316" s="109" t="s">
        <v>128</v>
      </c>
      <c r="I316" s="109">
        <v>1</v>
      </c>
      <c r="J316" s="109">
        <v>1.5</v>
      </c>
      <c r="K316" s="109">
        <v>0.5</v>
      </c>
      <c r="L316" s="109">
        <v>1</v>
      </c>
      <c r="M316" s="109">
        <v>1</v>
      </c>
      <c r="N316" s="111" t="s">
        <v>162</v>
      </c>
      <c r="O316" s="111">
        <f t="shared" si="42"/>
        <v>0.75</v>
      </c>
      <c r="P316" s="125">
        <v>44874</v>
      </c>
      <c r="Q316" s="125">
        <v>44912</v>
      </c>
      <c r="R316" s="112">
        <v>1</v>
      </c>
      <c r="S316" s="112">
        <v>1</v>
      </c>
      <c r="T316" s="112">
        <v>1</v>
      </c>
      <c r="U316" s="113">
        <f>IF(ISBLANK(Table1[[#This Row],[OHC Date]]),$B$7-Table1[[#This Row],[HOC Date]]+1,Table1[[#This Row],[OHC Date]]-Table1[[#This Row],[HOC Date]]+1)/7</f>
        <v>5.5714285714285712</v>
      </c>
      <c r="V316" s="114">
        <v>32.75</v>
      </c>
      <c r="W316" s="114">
        <v>1.05</v>
      </c>
      <c r="X316" s="114">
        <f>ROUND(0.7*Table1[[#This Row],[E&amp;D Rate per unit]]*R316*Table1[[#This Row],[Quantity]],2)</f>
        <v>17.190000000000001</v>
      </c>
      <c r="Y316" s="114">
        <f t="shared" si="43"/>
        <v>4.3899999999999997</v>
      </c>
      <c r="Z316" s="114">
        <f>ROUND(0.3*T316*Table1[[#This Row],[E&amp;D Rate per unit]]*Table1[[#This Row],[Quantity]],2)</f>
        <v>7.37</v>
      </c>
      <c r="AA316" s="112">
        <v>1</v>
      </c>
      <c r="AB316" s="21">
        <f>ROUND(X316+Z316+Y316,2)*Table1[[#This Row],[Until WA Approved Only Approved this %]]</f>
        <v>28.95</v>
      </c>
      <c r="AC316" s="136">
        <v>19.100000000000001</v>
      </c>
      <c r="AD316" s="136">
        <f>Table1[[#This Row],[Total Amount]]-Table1[[#This Row],[Previous Amount]]</f>
        <v>9.8499999999999979</v>
      </c>
      <c r="AE316" s="115"/>
      <c r="AG316" s="174">
        <v>28.95</v>
      </c>
      <c r="AH316" s="178">
        <f>AG316-Table1[[#This Row],[Total Amount]]</f>
        <v>0</v>
      </c>
      <c r="AI316" s="171">
        <f t="shared" si="36"/>
        <v>0</v>
      </c>
    </row>
    <row r="317" spans="1:35" ht="30" customHeight="1" x14ac:dyDescent="0.3">
      <c r="A317" s="91" t="s">
        <v>91</v>
      </c>
      <c r="B317" s="91" t="s">
        <v>98</v>
      </c>
      <c r="C317" s="109" t="s">
        <v>407</v>
      </c>
      <c r="D317" s="109">
        <v>77620</v>
      </c>
      <c r="E317" s="109"/>
      <c r="F317" s="110" t="s">
        <v>283</v>
      </c>
      <c r="G317" s="17" t="s">
        <v>165</v>
      </c>
      <c r="H317" s="109" t="s">
        <v>409</v>
      </c>
      <c r="I317" s="109">
        <v>1</v>
      </c>
      <c r="J317" s="109">
        <v>3</v>
      </c>
      <c r="K317" s="109">
        <v>1.8</v>
      </c>
      <c r="L317" s="109">
        <v>1</v>
      </c>
      <c r="M317" s="109">
        <v>1</v>
      </c>
      <c r="N317" s="111" t="s">
        <v>162</v>
      </c>
      <c r="O317" s="111">
        <f t="shared" si="42"/>
        <v>5.4</v>
      </c>
      <c r="P317" s="125">
        <v>44874</v>
      </c>
      <c r="Q317" s="125"/>
      <c r="R317" s="112">
        <v>1</v>
      </c>
      <c r="S317" s="112">
        <v>1</v>
      </c>
      <c r="T317" s="112">
        <v>0</v>
      </c>
      <c r="U317" s="113">
        <f>IF(ISBLANK(Table1[[#This Row],[OHC Date]]),$B$7-Table1[[#This Row],[HOC Date]]+1,Table1[[#This Row],[OHC Date]]-Table1[[#This Row],[HOC Date]]+1)/7</f>
        <v>6.7142857142857144</v>
      </c>
      <c r="V317" s="114">
        <v>36.520000000000003</v>
      </c>
      <c r="W317" s="114">
        <v>2.94</v>
      </c>
      <c r="X317" s="114">
        <f>ROUND(0.7*Table1[[#This Row],[E&amp;D Rate per unit]]*R317*Table1[[#This Row],[Quantity]],2)</f>
        <v>138.05000000000001</v>
      </c>
      <c r="Y317" s="114">
        <f t="shared" si="43"/>
        <v>106.6</v>
      </c>
      <c r="Z317" s="114">
        <f>ROUND(0.3*T317*Table1[[#This Row],[E&amp;D Rate per unit]]*Table1[[#This Row],[Quantity]],2)</f>
        <v>0</v>
      </c>
      <c r="AA317" s="112">
        <v>1</v>
      </c>
      <c r="AB317" s="21">
        <f>ROUND(X317+Z317+Y317,2)*Table1[[#This Row],[Until WA Approved Only Approved this %]]</f>
        <v>244.65</v>
      </c>
      <c r="AC317" s="136">
        <v>176.61</v>
      </c>
      <c r="AD317" s="136">
        <f>Table1[[#This Row],[Total Amount]]-Table1[[#This Row],[Previous Amount]]</f>
        <v>68.039999999999992</v>
      </c>
      <c r="AE317" s="115"/>
      <c r="AG317" s="174">
        <v>244.65</v>
      </c>
      <c r="AH317" s="178">
        <f>AG317-Table1[[#This Row],[Total Amount]]</f>
        <v>0</v>
      </c>
      <c r="AI317" s="171">
        <f t="shared" si="36"/>
        <v>0</v>
      </c>
    </row>
    <row r="318" spans="1:35" ht="30" customHeight="1" x14ac:dyDescent="0.3">
      <c r="A318" s="91" t="s">
        <v>91</v>
      </c>
      <c r="B318" s="91" t="s">
        <v>98</v>
      </c>
      <c r="C318" s="109" t="s">
        <v>408</v>
      </c>
      <c r="D318" s="109">
        <v>77621</v>
      </c>
      <c r="E318" s="109"/>
      <c r="F318" s="110" t="s">
        <v>283</v>
      </c>
      <c r="G318" s="17" t="s">
        <v>165</v>
      </c>
      <c r="H318" s="109" t="s">
        <v>409</v>
      </c>
      <c r="I318" s="109">
        <v>1</v>
      </c>
      <c r="J318" s="109">
        <v>1.8</v>
      </c>
      <c r="K318" s="109">
        <v>1.5</v>
      </c>
      <c r="L318" s="109">
        <v>1</v>
      </c>
      <c r="M318" s="109">
        <v>1</v>
      </c>
      <c r="N318" s="111" t="s">
        <v>162</v>
      </c>
      <c r="O318" s="111">
        <f t="shared" si="42"/>
        <v>2.7</v>
      </c>
      <c r="P318" s="125">
        <v>44874</v>
      </c>
      <c r="Q318" s="125"/>
      <c r="R318" s="112">
        <v>1</v>
      </c>
      <c r="S318" s="112">
        <v>1</v>
      </c>
      <c r="T318" s="112">
        <v>0</v>
      </c>
      <c r="U318" s="113">
        <f>IF(ISBLANK(Table1[[#This Row],[OHC Date]]),$B$7-Table1[[#This Row],[HOC Date]]+1,Table1[[#This Row],[OHC Date]]-Table1[[#This Row],[HOC Date]]+1)/7</f>
        <v>6.7142857142857144</v>
      </c>
      <c r="V318" s="114">
        <v>36.520000000000003</v>
      </c>
      <c r="W318" s="114">
        <v>2.94</v>
      </c>
      <c r="X318" s="114">
        <f>ROUND(0.7*Table1[[#This Row],[E&amp;D Rate per unit]]*R318*Table1[[#This Row],[Quantity]],2)</f>
        <v>69.02</v>
      </c>
      <c r="Y318" s="114">
        <f t="shared" si="43"/>
        <v>53.3</v>
      </c>
      <c r="Z318" s="114">
        <f>ROUND(0.3*T318*Table1[[#This Row],[E&amp;D Rate per unit]]*Table1[[#This Row],[Quantity]],2)</f>
        <v>0</v>
      </c>
      <c r="AA318" s="112">
        <v>1</v>
      </c>
      <c r="AB318" s="21">
        <f>ROUND(X318+Z318+Y318,2)*Table1[[#This Row],[Until WA Approved Only Approved this %]]</f>
        <v>122.32</v>
      </c>
      <c r="AC318" s="136">
        <v>88.3</v>
      </c>
      <c r="AD318" s="136">
        <f>Table1[[#This Row],[Total Amount]]-Table1[[#This Row],[Previous Amount]]</f>
        <v>34.019999999999996</v>
      </c>
      <c r="AE318" s="115"/>
      <c r="AG318" s="174">
        <v>122.32</v>
      </c>
      <c r="AH318" s="178">
        <f>AG318-Table1[[#This Row],[Total Amount]]</f>
        <v>0</v>
      </c>
      <c r="AI318" s="171">
        <f t="shared" si="36"/>
        <v>0</v>
      </c>
    </row>
    <row r="319" spans="1:35" ht="30" customHeight="1" x14ac:dyDescent="0.3">
      <c r="A319" s="91" t="s">
        <v>91</v>
      </c>
      <c r="B319" s="91" t="s">
        <v>98</v>
      </c>
      <c r="C319" s="109" t="s">
        <v>410</v>
      </c>
      <c r="D319" s="109">
        <v>77622</v>
      </c>
      <c r="E319" s="109">
        <v>76823</v>
      </c>
      <c r="F319" s="110" t="s">
        <v>310</v>
      </c>
      <c r="G319" s="17" t="s">
        <v>165</v>
      </c>
      <c r="H319" s="109" t="s">
        <v>411</v>
      </c>
      <c r="I319" s="109">
        <v>1</v>
      </c>
      <c r="J319" s="109">
        <v>41</v>
      </c>
      <c r="K319" s="109">
        <v>1</v>
      </c>
      <c r="L319" s="109">
        <v>1</v>
      </c>
      <c r="M319" s="109"/>
      <c r="N319" s="111" t="s">
        <v>285</v>
      </c>
      <c r="O319" s="111">
        <f t="shared" si="42"/>
        <v>41</v>
      </c>
      <c r="P319" s="125">
        <v>44874</v>
      </c>
      <c r="Q319" s="125">
        <v>44876</v>
      </c>
      <c r="R319" s="112">
        <v>1</v>
      </c>
      <c r="S319" s="112">
        <v>1</v>
      </c>
      <c r="T319" s="112">
        <v>1</v>
      </c>
      <c r="U319" s="113">
        <f>IF(ISBLANK(Table1[[#This Row],[OHC Date]]),$B$7-Table1[[#This Row],[HOC Date]]+1,Table1[[#This Row],[OHC Date]]-Table1[[#This Row],[HOC Date]]+1)/7</f>
        <v>0.42857142857142855</v>
      </c>
      <c r="V319" s="114">
        <v>7</v>
      </c>
      <c r="W319" s="114">
        <v>0.42</v>
      </c>
      <c r="X319" s="114">
        <f>ROUND(0.7*Table1[[#This Row],[E&amp;D Rate per unit]]*R319*Table1[[#This Row],[Quantity]],2)</f>
        <v>200.9</v>
      </c>
      <c r="Y319" s="114">
        <f t="shared" si="43"/>
        <v>7.38</v>
      </c>
      <c r="Z319" s="114">
        <f>ROUND(0.3*T319*Table1[[#This Row],[E&amp;D Rate per unit]]*Table1[[#This Row],[Quantity]],2)</f>
        <v>86.1</v>
      </c>
      <c r="AA319" s="112">
        <v>1</v>
      </c>
      <c r="AB319" s="21">
        <f>ROUND(X319+Z319+Y319,2)*Table1[[#This Row],[Until WA Approved Only Approved this %]]</f>
        <v>294.38</v>
      </c>
      <c r="AC319" s="136">
        <v>294.38</v>
      </c>
      <c r="AD319" s="136">
        <f>Table1[[#This Row],[Total Amount]]-Table1[[#This Row],[Previous Amount]]</f>
        <v>0</v>
      </c>
      <c r="AE319" s="115"/>
      <c r="AG319" s="174">
        <v>294.38</v>
      </c>
      <c r="AH319" s="178">
        <f>AG319-Table1[[#This Row],[Total Amount]]</f>
        <v>0</v>
      </c>
      <c r="AI319" s="171">
        <f t="shared" si="36"/>
        <v>0</v>
      </c>
    </row>
    <row r="320" spans="1:35" ht="30" customHeight="1" x14ac:dyDescent="0.3">
      <c r="A320" s="91" t="s">
        <v>91</v>
      </c>
      <c r="B320" s="91" t="s">
        <v>98</v>
      </c>
      <c r="C320" s="109">
        <v>37</v>
      </c>
      <c r="D320" s="109">
        <v>77623</v>
      </c>
      <c r="E320" s="109">
        <v>76813</v>
      </c>
      <c r="F320" s="110" t="s">
        <v>412</v>
      </c>
      <c r="G320" s="17" t="s">
        <v>202</v>
      </c>
      <c r="H320" s="109" t="s">
        <v>207</v>
      </c>
      <c r="I320" s="109">
        <v>1</v>
      </c>
      <c r="J320" s="109">
        <v>3</v>
      </c>
      <c r="K320" s="109">
        <v>1.5</v>
      </c>
      <c r="L320" s="109">
        <v>1</v>
      </c>
      <c r="M320" s="109">
        <v>1</v>
      </c>
      <c r="N320" s="111" t="s">
        <v>208</v>
      </c>
      <c r="O320" s="111">
        <f t="shared" si="42"/>
        <v>3</v>
      </c>
      <c r="P320" s="125">
        <v>44874</v>
      </c>
      <c r="Q320" s="125">
        <v>44875</v>
      </c>
      <c r="R320" s="112">
        <v>1</v>
      </c>
      <c r="S320" s="112">
        <v>1</v>
      </c>
      <c r="T320" s="112">
        <v>1</v>
      </c>
      <c r="U320" s="113">
        <f>IF(ISBLANK(Table1[[#This Row],[OHC Date]]),$B$7-Table1[[#This Row],[HOC Date]]+1,Table1[[#This Row],[OHC Date]]-Table1[[#This Row],[HOC Date]]+1)/7</f>
        <v>0.2857142857142857</v>
      </c>
      <c r="V320" s="114">
        <v>12.01</v>
      </c>
      <c r="W320" s="114">
        <v>0.49</v>
      </c>
      <c r="X320" s="114">
        <f>ROUND(0.7*Table1[[#This Row],[E&amp;D Rate per unit]]*R320*Table1[[#This Row],[Quantity]],2)</f>
        <v>25.22</v>
      </c>
      <c r="Y320" s="114">
        <f t="shared" si="43"/>
        <v>0.42</v>
      </c>
      <c r="Z320" s="114">
        <f>ROUND(0.3*T320*Table1[[#This Row],[E&amp;D Rate per unit]]*Table1[[#This Row],[Quantity]],2)</f>
        <v>10.81</v>
      </c>
      <c r="AA320" s="112">
        <v>1</v>
      </c>
      <c r="AB320" s="21">
        <f>ROUND(X320+Z320+Y320,2)*Table1[[#This Row],[Until WA Approved Only Approved this %]]</f>
        <v>36.450000000000003</v>
      </c>
      <c r="AC320" s="136">
        <v>36.450000000000003</v>
      </c>
      <c r="AD320" s="136">
        <f>Table1[[#This Row],[Total Amount]]-Table1[[#This Row],[Previous Amount]]</f>
        <v>0</v>
      </c>
      <c r="AE320" s="115"/>
      <c r="AG320" s="174">
        <v>36.450000000000003</v>
      </c>
      <c r="AH320" s="178">
        <f>AG320-Table1[[#This Row],[Total Amount]]</f>
        <v>0</v>
      </c>
      <c r="AI320" s="171">
        <f t="shared" si="36"/>
        <v>0</v>
      </c>
    </row>
    <row r="321" spans="1:35" ht="30" customHeight="1" x14ac:dyDescent="0.3">
      <c r="A321" s="91" t="s">
        <v>91</v>
      </c>
      <c r="B321" s="91" t="s">
        <v>98</v>
      </c>
      <c r="C321" s="109" t="s">
        <v>413</v>
      </c>
      <c r="D321" s="109">
        <v>77624</v>
      </c>
      <c r="E321" s="109"/>
      <c r="F321" s="110" t="s">
        <v>396</v>
      </c>
      <c r="G321" s="17" t="s">
        <v>228</v>
      </c>
      <c r="H321" s="109" t="s">
        <v>207</v>
      </c>
      <c r="I321" s="109">
        <v>1</v>
      </c>
      <c r="J321" s="109">
        <v>5</v>
      </c>
      <c r="K321" s="109">
        <v>1.3</v>
      </c>
      <c r="L321" s="109">
        <v>2.2000000000000002</v>
      </c>
      <c r="M321" s="109">
        <v>1</v>
      </c>
      <c r="N321" s="111" t="s">
        <v>208</v>
      </c>
      <c r="O321" s="111">
        <f t="shared" si="42"/>
        <v>11</v>
      </c>
      <c r="P321" s="125">
        <v>44875</v>
      </c>
      <c r="Q321" s="125"/>
      <c r="R321" s="112">
        <v>1</v>
      </c>
      <c r="S321" s="112">
        <v>1</v>
      </c>
      <c r="T321" s="112">
        <v>0</v>
      </c>
      <c r="U321" s="113">
        <f>IF(ISBLANK(Table1[[#This Row],[OHC Date]]),$B$7-Table1[[#This Row],[HOC Date]]+1,Table1[[#This Row],[OHC Date]]-Table1[[#This Row],[HOC Date]]+1)/7</f>
        <v>6.5714285714285712</v>
      </c>
      <c r="V321" s="114">
        <v>12.01</v>
      </c>
      <c r="W321" s="114">
        <v>0.49</v>
      </c>
      <c r="X321" s="114">
        <f>ROUND(0.7*Table1[[#This Row],[E&amp;D Rate per unit]]*R321*Table1[[#This Row],[Quantity]],2)</f>
        <v>92.48</v>
      </c>
      <c r="Y321" s="114">
        <f t="shared" si="43"/>
        <v>35.42</v>
      </c>
      <c r="Z321" s="114">
        <f>ROUND(0.3*T321*Table1[[#This Row],[E&amp;D Rate per unit]]*Table1[[#This Row],[Quantity]],2)</f>
        <v>0</v>
      </c>
      <c r="AA321" s="112">
        <v>1</v>
      </c>
      <c r="AB321" s="21">
        <f>ROUND(X321+Z321+Y321,2)*Table1[[#This Row],[Until WA Approved Only Approved this %]]</f>
        <v>127.9</v>
      </c>
      <c r="AC321" s="136">
        <v>104.8</v>
      </c>
      <c r="AD321" s="136">
        <f>Table1[[#This Row],[Total Amount]]-Table1[[#This Row],[Previous Amount]]</f>
        <v>23.100000000000009</v>
      </c>
      <c r="AE321" s="115"/>
      <c r="AG321" s="174">
        <v>127.9</v>
      </c>
      <c r="AH321" s="178">
        <f>AG321-Table1[[#This Row],[Total Amount]]</f>
        <v>0</v>
      </c>
      <c r="AI321" s="171">
        <f t="shared" si="36"/>
        <v>0</v>
      </c>
    </row>
    <row r="322" spans="1:35" ht="30" customHeight="1" x14ac:dyDescent="0.3">
      <c r="A322" s="91" t="s">
        <v>91</v>
      </c>
      <c r="B322" s="91" t="s">
        <v>98</v>
      </c>
      <c r="C322" s="109" t="s">
        <v>414</v>
      </c>
      <c r="D322" s="109">
        <v>77625</v>
      </c>
      <c r="E322" s="109"/>
      <c r="F322" s="110" t="s">
        <v>396</v>
      </c>
      <c r="G322" s="17" t="s">
        <v>228</v>
      </c>
      <c r="H322" s="109" t="s">
        <v>207</v>
      </c>
      <c r="I322" s="109">
        <v>1</v>
      </c>
      <c r="J322" s="109">
        <v>8.3000000000000007</v>
      </c>
      <c r="K322" s="109">
        <v>1.3</v>
      </c>
      <c r="L322" s="109">
        <v>2.2000000000000002</v>
      </c>
      <c r="M322" s="109">
        <v>1</v>
      </c>
      <c r="N322" s="111" t="s">
        <v>208</v>
      </c>
      <c r="O322" s="111">
        <f t="shared" si="42"/>
        <v>18.260000000000002</v>
      </c>
      <c r="P322" s="125">
        <v>44875</v>
      </c>
      <c r="Q322" s="125"/>
      <c r="R322" s="112">
        <v>1</v>
      </c>
      <c r="S322" s="112">
        <v>1</v>
      </c>
      <c r="T322" s="112">
        <v>0</v>
      </c>
      <c r="U322" s="113">
        <f>IF(ISBLANK(Table1[[#This Row],[OHC Date]]),$B$7-Table1[[#This Row],[HOC Date]]+1,Table1[[#This Row],[OHC Date]]-Table1[[#This Row],[HOC Date]]+1)/7</f>
        <v>6.5714285714285712</v>
      </c>
      <c r="V322" s="114">
        <v>12.01</v>
      </c>
      <c r="W322" s="114">
        <v>0.49</v>
      </c>
      <c r="X322" s="114">
        <f>ROUND(0.7*Table1[[#This Row],[E&amp;D Rate per unit]]*R322*Table1[[#This Row],[Quantity]],2)</f>
        <v>153.51</v>
      </c>
      <c r="Y322" s="114">
        <f t="shared" si="43"/>
        <v>58.8</v>
      </c>
      <c r="Z322" s="114">
        <f>ROUND(0.3*T322*Table1[[#This Row],[E&amp;D Rate per unit]]*Table1[[#This Row],[Quantity]],2)</f>
        <v>0</v>
      </c>
      <c r="AA322" s="112">
        <v>1</v>
      </c>
      <c r="AB322" s="21">
        <f>ROUND(X322+Z322+Y322,2)*Table1[[#This Row],[Until WA Approved Only Approved this %]]</f>
        <v>212.31</v>
      </c>
      <c r="AC322" s="136">
        <v>173.96</v>
      </c>
      <c r="AD322" s="136">
        <f>Table1[[#This Row],[Total Amount]]-Table1[[#This Row],[Previous Amount]]</f>
        <v>38.349999999999994</v>
      </c>
      <c r="AE322" s="115"/>
      <c r="AG322" s="174">
        <v>212.31</v>
      </c>
      <c r="AH322" s="178">
        <f>AG322-Table1[[#This Row],[Total Amount]]</f>
        <v>0</v>
      </c>
      <c r="AI322" s="171">
        <f t="shared" si="36"/>
        <v>0</v>
      </c>
    </row>
    <row r="323" spans="1:35" ht="30" customHeight="1" x14ac:dyDescent="0.3">
      <c r="A323" s="91" t="s">
        <v>91</v>
      </c>
      <c r="B323" s="91" t="s">
        <v>98</v>
      </c>
      <c r="C323" s="109">
        <v>38</v>
      </c>
      <c r="D323" s="109">
        <v>77626</v>
      </c>
      <c r="E323" s="109">
        <v>76839</v>
      </c>
      <c r="F323" s="110" t="s">
        <v>344</v>
      </c>
      <c r="G323" s="17" t="s">
        <v>228</v>
      </c>
      <c r="H323" s="109" t="s">
        <v>207</v>
      </c>
      <c r="I323" s="109">
        <v>1</v>
      </c>
      <c r="J323" s="109">
        <v>3.8</v>
      </c>
      <c r="K323" s="109">
        <v>1.3</v>
      </c>
      <c r="L323" s="109">
        <v>2.8</v>
      </c>
      <c r="M323" s="109">
        <v>1</v>
      </c>
      <c r="N323" s="111" t="s">
        <v>208</v>
      </c>
      <c r="O323" s="111">
        <f t="shared" si="42"/>
        <v>10.64</v>
      </c>
      <c r="P323" s="125">
        <v>44876</v>
      </c>
      <c r="Q323" s="125">
        <v>44900</v>
      </c>
      <c r="R323" s="112">
        <v>1</v>
      </c>
      <c r="S323" s="112">
        <v>1</v>
      </c>
      <c r="T323" s="112">
        <v>1</v>
      </c>
      <c r="U323" s="113">
        <f>IF(ISBLANK(Table1[[#This Row],[OHC Date]]),$B$7-Table1[[#This Row],[HOC Date]]+1,Table1[[#This Row],[OHC Date]]-Table1[[#This Row],[HOC Date]]+1)/7</f>
        <v>3.5714285714285716</v>
      </c>
      <c r="V323" s="114">
        <v>12.01</v>
      </c>
      <c r="W323" s="114">
        <v>0.49</v>
      </c>
      <c r="X323" s="114">
        <f>ROUND(0.7*Table1[[#This Row],[E&amp;D Rate per unit]]*R323*Table1[[#This Row],[Quantity]],2)</f>
        <v>89.45</v>
      </c>
      <c r="Y323" s="114">
        <f t="shared" si="43"/>
        <v>18.62</v>
      </c>
      <c r="Z323" s="114">
        <f>ROUND(0.3*T323*Table1[[#This Row],[E&amp;D Rate per unit]]*Table1[[#This Row],[Quantity]],2)</f>
        <v>38.340000000000003</v>
      </c>
      <c r="AA323" s="112">
        <v>1</v>
      </c>
      <c r="AB323" s="21">
        <f>ROUND(X323+Z323+Y323,2)*Table1[[#This Row],[Until WA Approved Only Approved this %]]</f>
        <v>146.41</v>
      </c>
      <c r="AC323" s="136">
        <v>100.62</v>
      </c>
      <c r="AD323" s="136">
        <f>Table1[[#This Row],[Total Amount]]-Table1[[#This Row],[Previous Amount]]</f>
        <v>45.789999999999992</v>
      </c>
      <c r="AE323" s="115"/>
      <c r="AG323" s="174">
        <v>146.41</v>
      </c>
      <c r="AH323" s="178">
        <f>AG323-Table1[[#This Row],[Total Amount]]</f>
        <v>0</v>
      </c>
      <c r="AI323" s="171">
        <f t="shared" si="36"/>
        <v>0</v>
      </c>
    </row>
    <row r="324" spans="1:35" ht="30" customHeight="1" x14ac:dyDescent="0.3">
      <c r="A324" s="91" t="s">
        <v>91</v>
      </c>
      <c r="B324" s="91" t="s">
        <v>98</v>
      </c>
      <c r="C324" s="109">
        <v>39</v>
      </c>
      <c r="D324" s="109">
        <v>77627</v>
      </c>
      <c r="E324" s="109">
        <v>80801</v>
      </c>
      <c r="F324" s="110" t="s">
        <v>328</v>
      </c>
      <c r="G324" s="17" t="s">
        <v>202</v>
      </c>
      <c r="H324" s="109" t="s">
        <v>120</v>
      </c>
      <c r="I324" s="109">
        <v>1</v>
      </c>
      <c r="J324" s="109">
        <v>3.8</v>
      </c>
      <c r="K324" s="109">
        <v>2.5</v>
      </c>
      <c r="L324" s="109">
        <v>4</v>
      </c>
      <c r="M324" s="109">
        <v>1</v>
      </c>
      <c r="N324" s="92" t="s">
        <v>208</v>
      </c>
      <c r="O324" s="92">
        <f t="shared" si="42"/>
        <v>15.2</v>
      </c>
      <c r="P324" s="125">
        <v>44876</v>
      </c>
      <c r="Q324" s="125">
        <v>44882</v>
      </c>
      <c r="R324" s="112">
        <v>1</v>
      </c>
      <c r="S324" s="112">
        <v>1</v>
      </c>
      <c r="T324" s="112">
        <v>1</v>
      </c>
      <c r="U324" s="113">
        <f>IF(ISBLANK(Table1[[#This Row],[OHC Date]]),$B$7-Table1[[#This Row],[HOC Date]]+1,Table1[[#This Row],[OHC Date]]-Table1[[#This Row],[HOC Date]]+1)/7</f>
        <v>1</v>
      </c>
      <c r="V324" s="114">
        <v>16.760000000000002</v>
      </c>
      <c r="W324" s="114">
        <v>0.77</v>
      </c>
      <c r="X324" s="114">
        <f>ROUND(0.7*Table1[[#This Row],[E&amp;D Rate per unit]]*R324*Table1[[#This Row],[Quantity]],2)</f>
        <v>178.33</v>
      </c>
      <c r="Y324" s="114">
        <f t="shared" si="43"/>
        <v>11.7</v>
      </c>
      <c r="Z324" s="114">
        <f>ROUND(0.3*T324*Table1[[#This Row],[E&amp;D Rate per unit]]*Table1[[#This Row],[Quantity]],2)</f>
        <v>76.430000000000007</v>
      </c>
      <c r="AA324" s="112">
        <v>1</v>
      </c>
      <c r="AB324" s="21">
        <f>ROUND(X324+Z324+Y324,2)*Table1[[#This Row],[Until WA Approved Only Approved this %]]</f>
        <v>266.45999999999998</v>
      </c>
      <c r="AC324" s="136">
        <v>266.45999999999998</v>
      </c>
      <c r="AD324" s="136">
        <f>Table1[[#This Row],[Total Amount]]-Table1[[#This Row],[Previous Amount]]</f>
        <v>0</v>
      </c>
      <c r="AE324" s="115"/>
      <c r="AG324" s="174">
        <v>266.45999999999998</v>
      </c>
      <c r="AH324" s="178">
        <f>AG324-Table1[[#This Row],[Total Amount]]</f>
        <v>0</v>
      </c>
      <c r="AI324" s="171">
        <f t="shared" si="36"/>
        <v>0</v>
      </c>
    </row>
    <row r="325" spans="1:35" ht="30" customHeight="1" x14ac:dyDescent="0.3">
      <c r="A325" s="91" t="s">
        <v>91</v>
      </c>
      <c r="B325" s="91" t="s">
        <v>98</v>
      </c>
      <c r="C325" s="109">
        <v>40</v>
      </c>
      <c r="D325" s="109">
        <v>77628</v>
      </c>
      <c r="E325" s="109">
        <v>76833</v>
      </c>
      <c r="F325" s="110" t="s">
        <v>373</v>
      </c>
      <c r="G325" s="17" t="s">
        <v>228</v>
      </c>
      <c r="H325" s="109" t="s">
        <v>222</v>
      </c>
      <c r="I325" s="109">
        <v>1</v>
      </c>
      <c r="J325" s="109">
        <v>2.5</v>
      </c>
      <c r="K325" s="109">
        <v>1.3</v>
      </c>
      <c r="L325" s="109">
        <v>3.5</v>
      </c>
      <c r="M325" s="109">
        <v>1</v>
      </c>
      <c r="N325" s="111" t="s">
        <v>223</v>
      </c>
      <c r="O325" s="111">
        <f t="shared" si="42"/>
        <v>3.5</v>
      </c>
      <c r="P325" s="125">
        <v>44877</v>
      </c>
      <c r="Q325" s="125">
        <v>44894</v>
      </c>
      <c r="R325" s="112">
        <v>1</v>
      </c>
      <c r="S325" s="112">
        <v>1</v>
      </c>
      <c r="T325" s="112">
        <v>1</v>
      </c>
      <c r="U325" s="113">
        <f>IF(ISBLANK(Table1[[#This Row],[OHC Date]]),$B$7-Table1[[#This Row],[HOC Date]]+1,Table1[[#This Row],[OHC Date]]-Table1[[#This Row],[HOC Date]]+1)/7</f>
        <v>2.5714285714285716</v>
      </c>
      <c r="V325" s="114">
        <v>63.34</v>
      </c>
      <c r="W325" s="114">
        <v>7.28</v>
      </c>
      <c r="X325" s="114">
        <f>ROUND(0.7*Table1[[#This Row],[E&amp;D Rate per unit]]*R325*Table1[[#This Row],[Quantity]],2)</f>
        <v>155.18</v>
      </c>
      <c r="Y325" s="114">
        <f t="shared" si="43"/>
        <v>65.52</v>
      </c>
      <c r="Z325" s="114">
        <f>ROUND(0.3*T325*Table1[[#This Row],[E&amp;D Rate per unit]]*Table1[[#This Row],[Quantity]],2)</f>
        <v>66.510000000000005</v>
      </c>
      <c r="AA325" s="112">
        <v>1</v>
      </c>
      <c r="AB325" s="21">
        <f>ROUND(X325+Z325+Y325,2)*Table1[[#This Row],[Until WA Approved Only Approved this %]]</f>
        <v>287.20999999999998</v>
      </c>
      <c r="AC325" s="136">
        <v>206.14</v>
      </c>
      <c r="AD325" s="136">
        <f>Table1[[#This Row],[Total Amount]]-Table1[[#This Row],[Previous Amount]]</f>
        <v>81.069999999999993</v>
      </c>
      <c r="AE325" s="115"/>
      <c r="AG325" s="174">
        <v>287.20999999999998</v>
      </c>
      <c r="AH325" s="178">
        <f>AG325-Table1[[#This Row],[Total Amount]]</f>
        <v>0</v>
      </c>
      <c r="AI325" s="171">
        <f t="shared" si="36"/>
        <v>0</v>
      </c>
    </row>
    <row r="326" spans="1:35" ht="30" customHeight="1" x14ac:dyDescent="0.3">
      <c r="A326" s="91" t="s">
        <v>91</v>
      </c>
      <c r="B326" s="91" t="s">
        <v>98</v>
      </c>
      <c r="C326" s="109">
        <v>41</v>
      </c>
      <c r="D326" s="109">
        <v>77629</v>
      </c>
      <c r="E326" s="109">
        <v>76834</v>
      </c>
      <c r="F326" s="110" t="s">
        <v>373</v>
      </c>
      <c r="G326" s="17" t="s">
        <v>228</v>
      </c>
      <c r="H326" s="109" t="s">
        <v>222</v>
      </c>
      <c r="I326" s="109">
        <v>1</v>
      </c>
      <c r="J326" s="109">
        <v>2.5</v>
      </c>
      <c r="K326" s="109">
        <v>1.3</v>
      </c>
      <c r="L326" s="109">
        <v>3</v>
      </c>
      <c r="M326" s="109">
        <v>1</v>
      </c>
      <c r="N326" s="111" t="s">
        <v>223</v>
      </c>
      <c r="O326" s="111">
        <f t="shared" si="42"/>
        <v>3</v>
      </c>
      <c r="P326" s="125">
        <v>44877</v>
      </c>
      <c r="Q326" s="125">
        <v>44894</v>
      </c>
      <c r="R326" s="112">
        <v>1</v>
      </c>
      <c r="S326" s="112">
        <v>1</v>
      </c>
      <c r="T326" s="112">
        <v>1</v>
      </c>
      <c r="U326" s="113">
        <f>IF(ISBLANK(Table1[[#This Row],[OHC Date]]),$B$7-Table1[[#This Row],[HOC Date]]+1,Table1[[#This Row],[OHC Date]]-Table1[[#This Row],[HOC Date]]+1)/7</f>
        <v>2.5714285714285716</v>
      </c>
      <c r="V326" s="114">
        <v>63.34</v>
      </c>
      <c r="W326" s="114">
        <v>7.28</v>
      </c>
      <c r="X326" s="114">
        <f>ROUND(0.7*Table1[[#This Row],[E&amp;D Rate per unit]]*R326*Table1[[#This Row],[Quantity]],2)</f>
        <v>133.01</v>
      </c>
      <c r="Y326" s="114">
        <f t="shared" si="43"/>
        <v>56.16</v>
      </c>
      <c r="Z326" s="114">
        <f>ROUND(0.3*T326*Table1[[#This Row],[E&amp;D Rate per unit]]*Table1[[#This Row],[Quantity]],2)</f>
        <v>57.01</v>
      </c>
      <c r="AA326" s="112">
        <v>1</v>
      </c>
      <c r="AB326" s="21">
        <f>ROUND(X326+Z326+Y326,2)*Table1[[#This Row],[Until WA Approved Only Approved this %]]</f>
        <v>246.18</v>
      </c>
      <c r="AC326" s="136">
        <v>176.69</v>
      </c>
      <c r="AD326" s="136">
        <f>Table1[[#This Row],[Total Amount]]-Table1[[#This Row],[Previous Amount]]</f>
        <v>69.490000000000009</v>
      </c>
      <c r="AE326" s="115"/>
      <c r="AG326" s="174">
        <v>246.18</v>
      </c>
      <c r="AH326" s="178">
        <f>AG326-Table1[[#This Row],[Total Amount]]</f>
        <v>0</v>
      </c>
      <c r="AI326" s="171">
        <f t="shared" si="36"/>
        <v>0</v>
      </c>
    </row>
    <row r="327" spans="1:35" ht="30" customHeight="1" x14ac:dyDescent="0.3">
      <c r="A327" s="91" t="s">
        <v>91</v>
      </c>
      <c r="B327" s="91" t="s">
        <v>98</v>
      </c>
      <c r="C327" s="109">
        <v>42</v>
      </c>
      <c r="D327" s="109">
        <v>77630</v>
      </c>
      <c r="E327" s="109">
        <v>76829</v>
      </c>
      <c r="F327" s="110" t="s">
        <v>373</v>
      </c>
      <c r="G327" s="17" t="s">
        <v>228</v>
      </c>
      <c r="H327" s="109" t="s">
        <v>222</v>
      </c>
      <c r="I327" s="109">
        <v>1</v>
      </c>
      <c r="J327" s="109">
        <v>1.8</v>
      </c>
      <c r="K327" s="109">
        <v>1.3</v>
      </c>
      <c r="L327" s="109">
        <v>2.5</v>
      </c>
      <c r="M327" s="109">
        <v>1</v>
      </c>
      <c r="N327" s="111" t="s">
        <v>223</v>
      </c>
      <c r="O327" s="111">
        <f t="shared" si="42"/>
        <v>2.5</v>
      </c>
      <c r="P327" s="125">
        <v>44877</v>
      </c>
      <c r="Q327" s="125">
        <v>44894</v>
      </c>
      <c r="R327" s="112">
        <v>1</v>
      </c>
      <c r="S327" s="112">
        <v>1</v>
      </c>
      <c r="T327" s="112">
        <v>1</v>
      </c>
      <c r="U327" s="113">
        <f>IF(ISBLANK(Table1[[#This Row],[OHC Date]]),$B$7-Table1[[#This Row],[HOC Date]]+1,Table1[[#This Row],[OHC Date]]-Table1[[#This Row],[HOC Date]]+1)/7</f>
        <v>2.5714285714285716</v>
      </c>
      <c r="V327" s="114">
        <v>63.34</v>
      </c>
      <c r="W327" s="114">
        <v>7.28</v>
      </c>
      <c r="X327" s="114">
        <f>ROUND(0.7*Table1[[#This Row],[E&amp;D Rate per unit]]*R327*Table1[[#This Row],[Quantity]],2)</f>
        <v>110.85</v>
      </c>
      <c r="Y327" s="114">
        <f t="shared" si="43"/>
        <v>46.8</v>
      </c>
      <c r="Z327" s="114">
        <f>ROUND(0.3*T327*Table1[[#This Row],[E&amp;D Rate per unit]]*Table1[[#This Row],[Quantity]],2)</f>
        <v>47.51</v>
      </c>
      <c r="AA327" s="112">
        <v>1</v>
      </c>
      <c r="AB327" s="21">
        <f>ROUND(X327+Z327+Y327,2)*Table1[[#This Row],[Until WA Approved Only Approved this %]]</f>
        <v>205.16</v>
      </c>
      <c r="AC327" s="136">
        <v>147.25</v>
      </c>
      <c r="AD327" s="136">
        <f>Table1[[#This Row],[Total Amount]]-Table1[[#This Row],[Previous Amount]]</f>
        <v>57.91</v>
      </c>
      <c r="AE327" s="115"/>
      <c r="AG327" s="174">
        <v>205.16</v>
      </c>
      <c r="AH327" s="178">
        <f>AG327-Table1[[#This Row],[Total Amount]]</f>
        <v>0</v>
      </c>
      <c r="AI327" s="171">
        <f t="shared" si="36"/>
        <v>0</v>
      </c>
    </row>
    <row r="328" spans="1:35" ht="30" customHeight="1" x14ac:dyDescent="0.3">
      <c r="A328" s="141" t="s">
        <v>418</v>
      </c>
      <c r="B328" s="91" t="s">
        <v>98</v>
      </c>
      <c r="C328" s="109" t="s">
        <v>417</v>
      </c>
      <c r="D328" s="109">
        <v>77633</v>
      </c>
      <c r="E328" s="109"/>
      <c r="F328" s="110" t="s">
        <v>415</v>
      </c>
      <c r="G328" s="17" t="s">
        <v>202</v>
      </c>
      <c r="H328" s="109" t="s">
        <v>416</v>
      </c>
      <c r="I328" s="109">
        <v>1</v>
      </c>
      <c r="J328" s="109">
        <v>9.1</v>
      </c>
      <c r="K328" s="109">
        <v>1.3</v>
      </c>
      <c r="L328" s="109">
        <v>5</v>
      </c>
      <c r="M328" s="109">
        <v>1</v>
      </c>
      <c r="N328" s="111" t="s">
        <v>208</v>
      </c>
      <c r="O328" s="111">
        <f t="shared" si="42"/>
        <v>45.5</v>
      </c>
      <c r="P328" s="125">
        <v>44879</v>
      </c>
      <c r="Q328" s="125"/>
      <c r="R328" s="112">
        <v>1</v>
      </c>
      <c r="S328" s="112">
        <v>1</v>
      </c>
      <c r="T328" s="112">
        <v>0</v>
      </c>
      <c r="U328" s="113">
        <f>IF(ISBLANK(Table1[[#This Row],[OHC Date]]),$B$7-Table1[[#This Row],[HOC Date]]+1,Table1[[#This Row],[OHC Date]]-Table1[[#This Row],[HOC Date]]+1)/7</f>
        <v>6</v>
      </c>
      <c r="V328" s="114">
        <v>95.9</v>
      </c>
      <c r="W328" s="114">
        <v>13.9</v>
      </c>
      <c r="X328" s="114">
        <f>ROUND(0.7*Table1[[#This Row],[E&amp;D Rate per unit]]*R328*Table1[[#This Row],[Quantity]],2)</f>
        <v>3054.42</v>
      </c>
      <c r="Y328" s="114">
        <f t="shared" si="43"/>
        <v>3794.7</v>
      </c>
      <c r="Z328" s="114">
        <f>ROUND(0.3*T328*Table1[[#This Row],[E&amp;D Rate per unit]]*Table1[[#This Row],[Quantity]],2)</f>
        <v>0</v>
      </c>
      <c r="AA328" s="19">
        <v>1</v>
      </c>
      <c r="AB328" s="21">
        <f>ROUND(X328+Z328+Y328,2)*Table1[[#This Row],[Until WA Approved Only Approved this %]]</f>
        <v>6849.12</v>
      </c>
      <c r="AC328" s="136">
        <v>4138.62</v>
      </c>
      <c r="AD328" s="136">
        <f>Table1[[#This Row],[Total Amount]]-Table1[[#This Row],[Previous Amount]]</f>
        <v>2710.5</v>
      </c>
      <c r="AE328" s="142" t="s">
        <v>440</v>
      </c>
      <c r="AG328" s="174">
        <v>6849.12</v>
      </c>
      <c r="AH328" s="178">
        <f>AG328-Table1[[#This Row],[Total Amount]]</f>
        <v>0</v>
      </c>
      <c r="AI328" s="171">
        <f t="shared" si="36"/>
        <v>0</v>
      </c>
    </row>
    <row r="329" spans="1:35" ht="30" customHeight="1" x14ac:dyDescent="0.3">
      <c r="A329" s="91" t="s">
        <v>91</v>
      </c>
      <c r="B329" s="91" t="s">
        <v>98</v>
      </c>
      <c r="C329" s="109">
        <v>44</v>
      </c>
      <c r="D329" s="109">
        <v>77631</v>
      </c>
      <c r="E329" s="109">
        <v>76835</v>
      </c>
      <c r="F329" s="17" t="s">
        <v>373</v>
      </c>
      <c r="G329" s="17" t="s">
        <v>228</v>
      </c>
      <c r="H329" s="16" t="s">
        <v>222</v>
      </c>
      <c r="I329" s="109">
        <v>1</v>
      </c>
      <c r="J329" s="109">
        <v>2.5</v>
      </c>
      <c r="K329" s="109">
        <v>1.3</v>
      </c>
      <c r="L329" s="109">
        <v>4</v>
      </c>
      <c r="M329" s="109">
        <v>1</v>
      </c>
      <c r="N329" s="92" t="s">
        <v>223</v>
      </c>
      <c r="O329" s="111">
        <f t="shared" si="42"/>
        <v>4</v>
      </c>
      <c r="P329" s="125">
        <v>44880</v>
      </c>
      <c r="Q329" s="125">
        <v>44894</v>
      </c>
      <c r="R329" s="112">
        <v>1</v>
      </c>
      <c r="S329" s="112">
        <v>1</v>
      </c>
      <c r="T329" s="112">
        <v>1</v>
      </c>
      <c r="U329" s="113">
        <f>IF(ISBLANK(Table1[[#This Row],[OHC Date]]),$B$7-Table1[[#This Row],[HOC Date]]+1,Table1[[#This Row],[OHC Date]]-Table1[[#This Row],[HOC Date]]+1)/7</f>
        <v>2.1428571428571428</v>
      </c>
      <c r="V329" s="114">
        <v>63.34</v>
      </c>
      <c r="W329" s="114">
        <v>7.28</v>
      </c>
      <c r="X329" s="114">
        <f>ROUND(0.7*Table1[[#This Row],[E&amp;D Rate per unit]]*R329*Table1[[#This Row],[Quantity]],2)</f>
        <v>177.35</v>
      </c>
      <c r="Y329" s="114">
        <f t="shared" si="43"/>
        <v>62.4</v>
      </c>
      <c r="Z329" s="114">
        <f>ROUND(0.3*T329*Table1[[#This Row],[E&amp;D Rate per unit]]*Table1[[#This Row],[Quantity]],2)</f>
        <v>76.010000000000005</v>
      </c>
      <c r="AA329" s="112">
        <v>1</v>
      </c>
      <c r="AB329" s="21">
        <f>ROUND(X329+Z329+Y329,2)*Table1[[#This Row],[Until WA Approved Only Approved this %]]</f>
        <v>315.76</v>
      </c>
      <c r="AC329" s="136">
        <v>223.11</v>
      </c>
      <c r="AD329" s="136">
        <f>Table1[[#This Row],[Total Amount]]-Table1[[#This Row],[Previous Amount]]</f>
        <v>92.649999999999977</v>
      </c>
      <c r="AE329" s="115"/>
      <c r="AG329" s="174">
        <v>315.76</v>
      </c>
      <c r="AH329" s="178">
        <f>AG329-Table1[[#This Row],[Total Amount]]</f>
        <v>0</v>
      </c>
      <c r="AI329" s="171">
        <f t="shared" si="36"/>
        <v>0</v>
      </c>
    </row>
    <row r="330" spans="1:35" ht="30" customHeight="1" x14ac:dyDescent="0.3">
      <c r="A330" s="91" t="s">
        <v>91</v>
      </c>
      <c r="B330" s="91" t="s">
        <v>98</v>
      </c>
      <c r="C330" s="109">
        <v>45</v>
      </c>
      <c r="D330" s="109">
        <v>77632</v>
      </c>
      <c r="E330" s="109">
        <v>76830</v>
      </c>
      <c r="F330" s="17" t="s">
        <v>373</v>
      </c>
      <c r="G330" s="17" t="s">
        <v>228</v>
      </c>
      <c r="H330" s="109" t="s">
        <v>120</v>
      </c>
      <c r="I330" s="109">
        <v>1</v>
      </c>
      <c r="J330" s="109">
        <v>5</v>
      </c>
      <c r="K330" s="109">
        <v>2.5</v>
      </c>
      <c r="L330" s="109">
        <v>3.25</v>
      </c>
      <c r="M330" s="109">
        <v>1</v>
      </c>
      <c r="N330" s="92" t="s">
        <v>208</v>
      </c>
      <c r="O330" s="92">
        <f t="shared" si="42"/>
        <v>16.25</v>
      </c>
      <c r="P330" s="125">
        <v>44880</v>
      </c>
      <c r="Q330" s="125">
        <v>44894</v>
      </c>
      <c r="R330" s="112">
        <v>1</v>
      </c>
      <c r="S330" s="112">
        <v>1</v>
      </c>
      <c r="T330" s="112">
        <v>1</v>
      </c>
      <c r="U330" s="113">
        <f>IF(ISBLANK(Table1[[#This Row],[OHC Date]]),$B$7-Table1[[#This Row],[HOC Date]]+1,Table1[[#This Row],[OHC Date]]-Table1[[#This Row],[HOC Date]]+1)/7</f>
        <v>2.1428571428571428</v>
      </c>
      <c r="V330" s="114">
        <v>16.760000000000002</v>
      </c>
      <c r="W330" s="114">
        <v>0.77</v>
      </c>
      <c r="X330" s="114">
        <f>ROUND(0.7*Table1[[#This Row],[E&amp;D Rate per unit]]*R330*Table1[[#This Row],[Quantity]],2)</f>
        <v>190.65</v>
      </c>
      <c r="Y330" s="114">
        <f t="shared" si="43"/>
        <v>26.81</v>
      </c>
      <c r="Z330" s="114">
        <f>ROUND(0.3*T330*Table1[[#This Row],[E&amp;D Rate per unit]]*Table1[[#This Row],[Quantity]],2)</f>
        <v>81.709999999999994</v>
      </c>
      <c r="AA330" s="112">
        <v>1</v>
      </c>
      <c r="AB330" s="21">
        <f>ROUND(X330+Z330+Y330,2)*Table1[[#This Row],[Until WA Approved Only Approved this %]]</f>
        <v>299.17</v>
      </c>
      <c r="AC330" s="136">
        <v>210.31</v>
      </c>
      <c r="AD330" s="136">
        <f>Table1[[#This Row],[Total Amount]]-Table1[[#This Row],[Previous Amount]]</f>
        <v>88.860000000000014</v>
      </c>
      <c r="AE330" s="115"/>
      <c r="AG330" s="174">
        <v>299.17</v>
      </c>
      <c r="AH330" s="178">
        <f>AG330-Table1[[#This Row],[Total Amount]]</f>
        <v>0</v>
      </c>
      <c r="AI330" s="171">
        <f t="shared" si="36"/>
        <v>0</v>
      </c>
    </row>
    <row r="331" spans="1:35" ht="30" customHeight="1" x14ac:dyDescent="0.3">
      <c r="A331" s="91" t="s">
        <v>91</v>
      </c>
      <c r="B331" s="91" t="s">
        <v>98</v>
      </c>
      <c r="C331" s="16" t="s">
        <v>197</v>
      </c>
      <c r="D331" s="109">
        <v>77634</v>
      </c>
      <c r="E331" s="109">
        <v>80830</v>
      </c>
      <c r="F331" s="17" t="s">
        <v>420</v>
      </c>
      <c r="G331" s="17" t="s">
        <v>256</v>
      </c>
      <c r="H331" s="16" t="s">
        <v>178</v>
      </c>
      <c r="I331" s="109">
        <v>1</v>
      </c>
      <c r="J331" s="109">
        <v>3</v>
      </c>
      <c r="K331" s="109">
        <v>1</v>
      </c>
      <c r="L331" s="109">
        <v>1</v>
      </c>
      <c r="M331" s="109">
        <v>1</v>
      </c>
      <c r="N331" s="111" t="s">
        <v>162</v>
      </c>
      <c r="O331" s="111">
        <f t="shared" si="42"/>
        <v>3</v>
      </c>
      <c r="P331" s="125">
        <v>44881</v>
      </c>
      <c r="Q331" s="125">
        <v>44915</v>
      </c>
      <c r="R331" s="112">
        <v>1</v>
      </c>
      <c r="S331" s="112">
        <v>1</v>
      </c>
      <c r="T331" s="112">
        <v>1</v>
      </c>
      <c r="U331" s="113">
        <f>IF(ISBLANK(Table1[[#This Row],[OHC Date]]),$B$7-Table1[[#This Row],[HOC Date]]+1,Table1[[#This Row],[OHC Date]]-Table1[[#This Row],[HOC Date]]+1)/7</f>
        <v>5</v>
      </c>
      <c r="V331" s="114">
        <v>6.63</v>
      </c>
      <c r="W331" s="114">
        <v>0.7</v>
      </c>
      <c r="X331" s="114">
        <f>ROUND(0.7*Table1[[#This Row],[E&amp;D Rate per unit]]*R331*Table1[[#This Row],[Quantity]],2)</f>
        <v>13.92</v>
      </c>
      <c r="Y331" s="114">
        <f t="shared" si="43"/>
        <v>10.5</v>
      </c>
      <c r="Z331" s="114">
        <f>ROUND(0.3*T331*Table1[[#This Row],[E&amp;D Rate per unit]]*Table1[[#This Row],[Quantity]],2)</f>
        <v>5.97</v>
      </c>
      <c r="AA331" s="112">
        <v>1</v>
      </c>
      <c r="AB331" s="21">
        <f>ROUND(X331+Z331+Y331,2)*Table1[[#This Row],[Until WA Approved Only Approved this %]]</f>
        <v>30.39</v>
      </c>
      <c r="AC331" s="136">
        <v>16.920000000000002</v>
      </c>
      <c r="AD331" s="136">
        <f>Table1[[#This Row],[Total Amount]]-Table1[[#This Row],[Previous Amount]]</f>
        <v>13.469999999999999</v>
      </c>
      <c r="AE331" s="115"/>
      <c r="AG331" s="174">
        <v>30.39</v>
      </c>
      <c r="AH331" s="178">
        <f>AG331-Table1[[#This Row],[Total Amount]]</f>
        <v>0</v>
      </c>
      <c r="AI331" s="171">
        <f t="shared" ref="AI331:AI394" si="44">AH331/AG331</f>
        <v>0</v>
      </c>
    </row>
    <row r="332" spans="1:35" ht="30" customHeight="1" x14ac:dyDescent="0.3">
      <c r="A332" s="91" t="s">
        <v>91</v>
      </c>
      <c r="B332" s="91" t="s">
        <v>98</v>
      </c>
      <c r="C332" s="16">
        <v>46</v>
      </c>
      <c r="D332" s="16">
        <v>77635</v>
      </c>
      <c r="E332" s="16">
        <v>76831</v>
      </c>
      <c r="F332" s="17" t="s">
        <v>373</v>
      </c>
      <c r="G332" s="17" t="s">
        <v>228</v>
      </c>
      <c r="H332" s="109" t="s">
        <v>222</v>
      </c>
      <c r="I332" s="16">
        <v>1</v>
      </c>
      <c r="J332" s="16">
        <v>2.5</v>
      </c>
      <c r="K332" s="16">
        <v>2.5</v>
      </c>
      <c r="L332" s="16">
        <v>3</v>
      </c>
      <c r="M332" s="16">
        <v>1</v>
      </c>
      <c r="N332" s="111" t="s">
        <v>223</v>
      </c>
      <c r="O332" s="111">
        <f t="shared" si="42"/>
        <v>3</v>
      </c>
      <c r="P332" s="125">
        <v>44882</v>
      </c>
      <c r="Q332" s="18">
        <v>44894</v>
      </c>
      <c r="R332" s="112">
        <v>1</v>
      </c>
      <c r="S332" s="112">
        <v>1</v>
      </c>
      <c r="T332" s="112">
        <v>1</v>
      </c>
      <c r="U332" s="20">
        <f>IF(ISBLANK(Table1[[#This Row],[OHC Date]]),$B$7-Table1[[#This Row],[HOC Date]]+1,Table1[[#This Row],[OHC Date]]-Table1[[#This Row],[HOC Date]]+1)/7</f>
        <v>1.8571428571428572</v>
      </c>
      <c r="V332" s="114">
        <v>63.34</v>
      </c>
      <c r="W332" s="114">
        <v>7.28</v>
      </c>
      <c r="X332" s="21">
        <f>ROUND(0.7*Table1[[#This Row],[E&amp;D Rate per unit]]*R332*Table1[[#This Row],[Quantity]],2)</f>
        <v>133.01</v>
      </c>
      <c r="Y332" s="21">
        <f t="shared" si="43"/>
        <v>40.56</v>
      </c>
      <c r="Z332" s="21">
        <f>ROUND(0.3*T332*Table1[[#This Row],[E&amp;D Rate per unit]]*Table1[[#This Row],[Quantity]],2)</f>
        <v>57.01</v>
      </c>
      <c r="AA332" s="112">
        <v>1</v>
      </c>
      <c r="AB332" s="21">
        <f>ROUND(X332+Z332+Y332,2)*Table1[[#This Row],[Until WA Approved Only Approved this %]]</f>
        <v>230.58</v>
      </c>
      <c r="AC332" s="139">
        <v>161.09</v>
      </c>
      <c r="AD332" s="139">
        <f>Table1[[#This Row],[Total Amount]]-Table1[[#This Row],[Previous Amount]]</f>
        <v>69.490000000000009</v>
      </c>
      <c r="AE332" s="137"/>
      <c r="AG332" s="174">
        <v>230.58</v>
      </c>
      <c r="AH332" s="178">
        <f>AG332-Table1[[#This Row],[Total Amount]]</f>
        <v>0</v>
      </c>
      <c r="AI332" s="171">
        <f t="shared" si="44"/>
        <v>0</v>
      </c>
    </row>
    <row r="333" spans="1:35" ht="30" customHeight="1" x14ac:dyDescent="0.3">
      <c r="A333" s="91" t="s">
        <v>91</v>
      </c>
      <c r="B333" s="91" t="s">
        <v>98</v>
      </c>
      <c r="C333" s="16" t="s">
        <v>343</v>
      </c>
      <c r="D333" s="16">
        <v>77636</v>
      </c>
      <c r="E333" s="16">
        <v>76832</v>
      </c>
      <c r="F333" s="17" t="s">
        <v>373</v>
      </c>
      <c r="G333" s="17" t="s">
        <v>228</v>
      </c>
      <c r="H333" s="16" t="s">
        <v>290</v>
      </c>
      <c r="I333" s="16">
        <v>1</v>
      </c>
      <c r="J333" s="16">
        <v>2.5</v>
      </c>
      <c r="K333" s="16">
        <v>2.5</v>
      </c>
      <c r="L333" s="16">
        <v>3</v>
      </c>
      <c r="M333" s="16"/>
      <c r="N333" s="92" t="s">
        <v>226</v>
      </c>
      <c r="O333" s="92">
        <f t="shared" si="42"/>
        <v>18.75</v>
      </c>
      <c r="P333" s="125">
        <v>44882</v>
      </c>
      <c r="Q333" s="18">
        <v>44894</v>
      </c>
      <c r="R333" s="112">
        <v>1</v>
      </c>
      <c r="S333" s="112">
        <v>1</v>
      </c>
      <c r="T333" s="112">
        <v>1</v>
      </c>
      <c r="U333" s="20">
        <f>IF(ISBLANK(Table1[[#This Row],[OHC Date]]),$B$7-Table1[[#This Row],[HOC Date]]+1,Table1[[#This Row],[OHC Date]]-Table1[[#This Row],[HOC Date]]+1)/7</f>
        <v>1.8571428571428572</v>
      </c>
      <c r="V333" s="21">
        <v>5.29</v>
      </c>
      <c r="W333" s="21">
        <v>0.35</v>
      </c>
      <c r="X333" s="21">
        <f>ROUND(0.7*Table1[[#This Row],[E&amp;D Rate per unit]]*R333*Table1[[#This Row],[Quantity]],2)</f>
        <v>69.430000000000007</v>
      </c>
      <c r="Y333" s="21">
        <f t="shared" si="43"/>
        <v>12.19</v>
      </c>
      <c r="Z333" s="21">
        <f>ROUND(0.3*T333*Table1[[#This Row],[E&amp;D Rate per unit]]*Table1[[#This Row],[Quantity]],2)</f>
        <v>29.76</v>
      </c>
      <c r="AA333" s="112">
        <v>1</v>
      </c>
      <c r="AB333" s="21">
        <f>ROUND(X333+Z333+Y333,2)*Table1[[#This Row],[Until WA Approved Only Approved this %]]</f>
        <v>111.38</v>
      </c>
      <c r="AC333" s="139">
        <v>77.87</v>
      </c>
      <c r="AD333" s="139">
        <f>Table1[[#This Row],[Total Amount]]-Table1[[#This Row],[Previous Amount]]</f>
        <v>33.509999999999991</v>
      </c>
      <c r="AE333" s="137"/>
      <c r="AG333" s="174">
        <v>111.38</v>
      </c>
      <c r="AH333" s="178">
        <f>AG333-Table1[[#This Row],[Total Amount]]</f>
        <v>0</v>
      </c>
      <c r="AI333" s="171">
        <f t="shared" si="44"/>
        <v>0</v>
      </c>
    </row>
    <row r="334" spans="1:35" ht="30" customHeight="1" x14ac:dyDescent="0.3">
      <c r="A334" s="91" t="s">
        <v>91</v>
      </c>
      <c r="B334" s="91" t="s">
        <v>98</v>
      </c>
      <c r="C334" s="16">
        <v>47</v>
      </c>
      <c r="D334" s="16">
        <v>77637</v>
      </c>
      <c r="E334" s="16">
        <v>76836</v>
      </c>
      <c r="F334" s="17" t="s">
        <v>373</v>
      </c>
      <c r="G334" s="17" t="s">
        <v>228</v>
      </c>
      <c r="H334" s="109" t="s">
        <v>222</v>
      </c>
      <c r="I334" s="16">
        <v>1</v>
      </c>
      <c r="J334" s="16">
        <v>2.5</v>
      </c>
      <c r="K334" s="16">
        <v>2.5</v>
      </c>
      <c r="L334" s="16">
        <v>4.2</v>
      </c>
      <c r="M334" s="16">
        <v>1</v>
      </c>
      <c r="N334" s="111" t="s">
        <v>223</v>
      </c>
      <c r="O334" s="111">
        <f t="shared" si="42"/>
        <v>4.2</v>
      </c>
      <c r="P334" s="125">
        <v>44882</v>
      </c>
      <c r="Q334" s="18">
        <v>44894</v>
      </c>
      <c r="R334" s="112">
        <v>1</v>
      </c>
      <c r="S334" s="112">
        <v>1</v>
      </c>
      <c r="T334" s="112">
        <v>1</v>
      </c>
      <c r="U334" s="20">
        <f>IF(ISBLANK(Table1[[#This Row],[OHC Date]]),$B$7-Table1[[#This Row],[HOC Date]]+1,Table1[[#This Row],[OHC Date]]-Table1[[#This Row],[HOC Date]]+1)/7</f>
        <v>1.8571428571428572</v>
      </c>
      <c r="V334" s="114">
        <v>63.34</v>
      </c>
      <c r="W334" s="114">
        <v>7.28</v>
      </c>
      <c r="X334" s="21">
        <f>ROUND(0.7*Table1[[#This Row],[E&amp;D Rate per unit]]*R334*Table1[[#This Row],[Quantity]],2)</f>
        <v>186.22</v>
      </c>
      <c r="Y334" s="21">
        <f t="shared" si="43"/>
        <v>56.78</v>
      </c>
      <c r="Z334" s="21">
        <f>ROUND(0.3*T334*Table1[[#This Row],[E&amp;D Rate per unit]]*Table1[[#This Row],[Quantity]],2)</f>
        <v>79.81</v>
      </c>
      <c r="AA334" s="112">
        <v>1</v>
      </c>
      <c r="AB334" s="21">
        <f>ROUND(X334+Z334+Y334,2)*Table1[[#This Row],[Until WA Approved Only Approved this %]]</f>
        <v>322.81</v>
      </c>
      <c r="AC334" s="139">
        <v>225.53</v>
      </c>
      <c r="AD334" s="139">
        <f>Table1[[#This Row],[Total Amount]]-Table1[[#This Row],[Previous Amount]]</f>
        <v>97.28</v>
      </c>
      <c r="AE334" s="137"/>
      <c r="AG334" s="174">
        <v>322.81</v>
      </c>
      <c r="AH334" s="178">
        <f>AG334-Table1[[#This Row],[Total Amount]]</f>
        <v>0</v>
      </c>
      <c r="AI334" s="171">
        <f t="shared" si="44"/>
        <v>0</v>
      </c>
    </row>
    <row r="335" spans="1:35" ht="30" customHeight="1" x14ac:dyDescent="0.3">
      <c r="A335" s="91" t="s">
        <v>91</v>
      </c>
      <c r="B335" s="91" t="s">
        <v>98</v>
      </c>
      <c r="C335" s="16">
        <v>48</v>
      </c>
      <c r="D335" s="16">
        <v>77638</v>
      </c>
      <c r="E335" s="16">
        <v>80837</v>
      </c>
      <c r="F335" s="17" t="s">
        <v>421</v>
      </c>
      <c r="G335" s="17" t="s">
        <v>278</v>
      </c>
      <c r="H335" s="16" t="s">
        <v>222</v>
      </c>
      <c r="I335" s="16">
        <v>1</v>
      </c>
      <c r="J335" s="16">
        <v>1.8</v>
      </c>
      <c r="K335" s="16">
        <v>1.8</v>
      </c>
      <c r="L335" s="16">
        <v>1.5</v>
      </c>
      <c r="M335" s="16">
        <v>1</v>
      </c>
      <c r="N335" s="92" t="s">
        <v>223</v>
      </c>
      <c r="O335" s="92">
        <f t="shared" si="42"/>
        <v>1.5</v>
      </c>
      <c r="P335" s="125">
        <v>44882</v>
      </c>
      <c r="Q335" s="18">
        <v>44916</v>
      </c>
      <c r="R335" s="112">
        <v>1</v>
      </c>
      <c r="S335" s="112">
        <v>1</v>
      </c>
      <c r="T335" s="112">
        <v>1</v>
      </c>
      <c r="U335" s="20">
        <f>IF(ISBLANK(Table1[[#This Row],[OHC Date]]),$B$7-Table1[[#This Row],[HOC Date]]+1,Table1[[#This Row],[OHC Date]]-Table1[[#This Row],[HOC Date]]+1)/7</f>
        <v>5</v>
      </c>
      <c r="V335" s="21">
        <v>63.34</v>
      </c>
      <c r="W335" s="21">
        <v>7.28</v>
      </c>
      <c r="X335" s="21">
        <f>ROUND(0.7*Table1[[#This Row],[E&amp;D Rate per unit]]*R335*Table1[[#This Row],[Quantity]],2)</f>
        <v>66.510000000000005</v>
      </c>
      <c r="Y335" s="21">
        <f t="shared" si="43"/>
        <v>54.6</v>
      </c>
      <c r="Z335" s="21">
        <f>ROUND(0.3*T335*Table1[[#This Row],[E&amp;D Rate per unit]]*Table1[[#This Row],[Quantity]],2)</f>
        <v>28.5</v>
      </c>
      <c r="AA335" s="112">
        <v>1</v>
      </c>
      <c r="AB335" s="21">
        <f>ROUND(X335+Z335+Y335,2)*Table1[[#This Row],[Until WA Approved Only Approved this %]]</f>
        <v>149.61000000000001</v>
      </c>
      <c r="AC335" s="139">
        <v>80.55</v>
      </c>
      <c r="AD335" s="139">
        <f>Table1[[#This Row],[Total Amount]]-Table1[[#This Row],[Previous Amount]]</f>
        <v>69.060000000000016</v>
      </c>
      <c r="AE335" s="137"/>
      <c r="AG335" s="174">
        <v>149.61000000000001</v>
      </c>
      <c r="AH335" s="178">
        <f>AG335-Table1[[#This Row],[Total Amount]]</f>
        <v>0</v>
      </c>
      <c r="AI335" s="171">
        <f t="shared" si="44"/>
        <v>0</v>
      </c>
    </row>
    <row r="336" spans="1:35" ht="30" customHeight="1" x14ac:dyDescent="0.3">
      <c r="A336" s="91" t="s">
        <v>91</v>
      </c>
      <c r="B336" s="91" t="s">
        <v>98</v>
      </c>
      <c r="C336" s="16" t="s">
        <v>422</v>
      </c>
      <c r="D336" s="16">
        <v>77638</v>
      </c>
      <c r="E336" s="16">
        <v>80837</v>
      </c>
      <c r="F336" s="17" t="s">
        <v>421</v>
      </c>
      <c r="G336" s="17" t="s">
        <v>278</v>
      </c>
      <c r="H336" s="109" t="s">
        <v>128</v>
      </c>
      <c r="I336" s="16">
        <v>1</v>
      </c>
      <c r="J336" s="16">
        <v>3.5</v>
      </c>
      <c r="K336" s="16">
        <v>0.5</v>
      </c>
      <c r="L336" s="16">
        <v>1</v>
      </c>
      <c r="M336" s="16">
        <v>1</v>
      </c>
      <c r="N336" s="92" t="s">
        <v>162</v>
      </c>
      <c r="O336" s="92">
        <f t="shared" si="42"/>
        <v>1.75</v>
      </c>
      <c r="P336" s="125">
        <v>44882</v>
      </c>
      <c r="Q336" s="18">
        <v>44916</v>
      </c>
      <c r="R336" s="112">
        <v>1</v>
      </c>
      <c r="S336" s="112">
        <v>1</v>
      </c>
      <c r="T336" s="112">
        <v>1</v>
      </c>
      <c r="U336" s="20">
        <f>IF(ISBLANK(Table1[[#This Row],[OHC Date]]),$B$7-Table1[[#This Row],[HOC Date]]+1,Table1[[#This Row],[OHC Date]]-Table1[[#This Row],[HOC Date]]+1)/7</f>
        <v>5</v>
      </c>
      <c r="V336" s="21">
        <v>32.75</v>
      </c>
      <c r="W336" s="21">
        <v>1.05</v>
      </c>
      <c r="X336" s="21">
        <f>ROUND(0.7*Table1[[#This Row],[E&amp;D Rate per unit]]*R336*Table1[[#This Row],[Quantity]],2)</f>
        <v>40.119999999999997</v>
      </c>
      <c r="Y336" s="21">
        <f t="shared" si="43"/>
        <v>9.19</v>
      </c>
      <c r="Z336" s="21">
        <f>ROUND(0.3*T336*Table1[[#This Row],[E&amp;D Rate per unit]]*Table1[[#This Row],[Quantity]],2)</f>
        <v>17.190000000000001</v>
      </c>
      <c r="AA336" s="112">
        <v>1</v>
      </c>
      <c r="AB336" s="21">
        <f>ROUND(X336+Z336+Y336,2)*Table1[[#This Row],[Until WA Approved Only Approved this %]]</f>
        <v>66.5</v>
      </c>
      <c r="AC336" s="139">
        <v>42.48</v>
      </c>
      <c r="AD336" s="139">
        <f>Table1[[#This Row],[Total Amount]]-Table1[[#This Row],[Previous Amount]]</f>
        <v>24.020000000000003</v>
      </c>
      <c r="AE336" s="137"/>
      <c r="AG336" s="174">
        <v>66.5</v>
      </c>
      <c r="AH336" s="178">
        <f>AG336-Table1[[#This Row],[Total Amount]]</f>
        <v>0</v>
      </c>
      <c r="AI336" s="171">
        <f t="shared" si="44"/>
        <v>0</v>
      </c>
    </row>
    <row r="337" spans="1:35" ht="30" customHeight="1" x14ac:dyDescent="0.3">
      <c r="A337" s="91" t="s">
        <v>91</v>
      </c>
      <c r="B337" s="91" t="s">
        <v>98</v>
      </c>
      <c r="C337" s="16" t="s">
        <v>422</v>
      </c>
      <c r="D337" s="16">
        <v>77638</v>
      </c>
      <c r="E337" s="16">
        <v>80837</v>
      </c>
      <c r="F337" s="17" t="s">
        <v>421</v>
      </c>
      <c r="G337" s="17" t="s">
        <v>278</v>
      </c>
      <c r="H337" s="16" t="s">
        <v>423</v>
      </c>
      <c r="I337" s="16">
        <v>1</v>
      </c>
      <c r="J337" s="16">
        <v>9</v>
      </c>
      <c r="K337" s="16">
        <v>1</v>
      </c>
      <c r="L337" s="16">
        <v>1</v>
      </c>
      <c r="M337" s="16">
        <v>1</v>
      </c>
      <c r="N337" s="92" t="s">
        <v>208</v>
      </c>
      <c r="O337" s="92">
        <f t="shared" si="42"/>
        <v>9</v>
      </c>
      <c r="P337" s="125">
        <v>44882</v>
      </c>
      <c r="Q337" s="18">
        <v>44916</v>
      </c>
      <c r="R337" s="112">
        <v>1</v>
      </c>
      <c r="S337" s="112">
        <v>1</v>
      </c>
      <c r="T337" s="112">
        <v>1</v>
      </c>
      <c r="U337" s="20">
        <f>IF(ISBLANK(Table1[[#This Row],[OHC Date]]),$B$7-Table1[[#This Row],[HOC Date]]+1,Table1[[#This Row],[OHC Date]]-Table1[[#This Row],[HOC Date]]+1)/7</f>
        <v>5</v>
      </c>
      <c r="V337" s="21">
        <v>8.52</v>
      </c>
      <c r="W337" s="21">
        <v>0</v>
      </c>
      <c r="X337" s="21">
        <f>ROUND(0.7*Table1[[#This Row],[E&amp;D Rate per unit]]*R337*Table1[[#This Row],[Quantity]],2)</f>
        <v>53.68</v>
      </c>
      <c r="Y337" s="21">
        <f t="shared" si="43"/>
        <v>0</v>
      </c>
      <c r="Z337" s="21">
        <f>ROUND(0.3*T337*Table1[[#This Row],[E&amp;D Rate per unit]]*Table1[[#This Row],[Quantity]],2)</f>
        <v>23</v>
      </c>
      <c r="AA337" s="112">
        <v>1</v>
      </c>
      <c r="AB337" s="21">
        <f>ROUND(X337+Z337+Y337,2)*Table1[[#This Row],[Until WA Approved Only Approved this %]]</f>
        <v>76.680000000000007</v>
      </c>
      <c r="AC337" s="139">
        <v>53.68</v>
      </c>
      <c r="AD337" s="139">
        <f>Table1[[#This Row],[Total Amount]]-Table1[[#This Row],[Previous Amount]]</f>
        <v>23.000000000000007</v>
      </c>
      <c r="AE337" s="137"/>
      <c r="AG337" s="174">
        <v>76.680000000000007</v>
      </c>
      <c r="AH337" s="178">
        <f>AG337-Table1[[#This Row],[Total Amount]]</f>
        <v>0</v>
      </c>
      <c r="AI337" s="171">
        <f t="shared" si="44"/>
        <v>0</v>
      </c>
    </row>
    <row r="338" spans="1:35" ht="30" customHeight="1" x14ac:dyDescent="0.3">
      <c r="A338" s="91" t="s">
        <v>91</v>
      </c>
      <c r="B338" s="91" t="s">
        <v>98</v>
      </c>
      <c r="C338" s="16" t="s">
        <v>424</v>
      </c>
      <c r="D338" s="16">
        <v>77639</v>
      </c>
      <c r="E338" s="16">
        <v>76848</v>
      </c>
      <c r="F338" s="17" t="s">
        <v>421</v>
      </c>
      <c r="G338" s="17" t="s">
        <v>403</v>
      </c>
      <c r="H338" s="16" t="s">
        <v>222</v>
      </c>
      <c r="I338" s="16">
        <v>1</v>
      </c>
      <c r="J338" s="16">
        <v>1.8</v>
      </c>
      <c r="K338" s="16">
        <v>1.8</v>
      </c>
      <c r="L338" s="16">
        <v>7</v>
      </c>
      <c r="M338" s="16">
        <v>1</v>
      </c>
      <c r="N338" s="92" t="s">
        <v>223</v>
      </c>
      <c r="O338" s="92">
        <f t="shared" si="42"/>
        <v>7</v>
      </c>
      <c r="P338" s="125">
        <v>44882</v>
      </c>
      <c r="Q338" s="18">
        <v>44907</v>
      </c>
      <c r="R338" s="112">
        <v>1</v>
      </c>
      <c r="S338" s="112">
        <v>1</v>
      </c>
      <c r="T338" s="112">
        <v>1</v>
      </c>
      <c r="U338" s="20">
        <f>IF(ISBLANK(Table1[[#This Row],[OHC Date]]),$B$7-Table1[[#This Row],[HOC Date]]+1,Table1[[#This Row],[OHC Date]]-Table1[[#This Row],[HOC Date]]+1)/7</f>
        <v>3.7142857142857144</v>
      </c>
      <c r="V338" s="21">
        <v>63.34</v>
      </c>
      <c r="W338" s="21">
        <v>7.28</v>
      </c>
      <c r="X338" s="21">
        <f>ROUND(0.7*Table1[[#This Row],[E&amp;D Rate per unit]]*R338*Table1[[#This Row],[Quantity]],2)</f>
        <v>310.37</v>
      </c>
      <c r="Y338" s="21">
        <f t="shared" si="43"/>
        <v>189.28</v>
      </c>
      <c r="Z338" s="21">
        <f>ROUND(0.3*T338*Table1[[#This Row],[E&amp;D Rate per unit]]*Table1[[#This Row],[Quantity]],2)</f>
        <v>133.01</v>
      </c>
      <c r="AA338" s="112">
        <v>1</v>
      </c>
      <c r="AB338" s="21">
        <f>ROUND(X338+Z338+Y338,2)*Table1[[#This Row],[Until WA Approved Only Approved this %]]</f>
        <v>632.66</v>
      </c>
      <c r="AC338" s="139">
        <v>375.89</v>
      </c>
      <c r="AD338" s="139">
        <f>Table1[[#This Row],[Total Amount]]-Table1[[#This Row],[Previous Amount]]</f>
        <v>256.77</v>
      </c>
      <c r="AE338" s="137"/>
      <c r="AG338" s="174">
        <v>632.66</v>
      </c>
      <c r="AH338" s="178">
        <f>AG338-Table1[[#This Row],[Total Amount]]</f>
        <v>0</v>
      </c>
      <c r="AI338" s="171">
        <f t="shared" si="44"/>
        <v>0</v>
      </c>
    </row>
    <row r="339" spans="1:35" ht="30" customHeight="1" x14ac:dyDescent="0.3">
      <c r="A339" s="91" t="s">
        <v>91</v>
      </c>
      <c r="B339" s="91" t="s">
        <v>98</v>
      </c>
      <c r="C339" s="16" t="s">
        <v>425</v>
      </c>
      <c r="D339" s="16">
        <v>77639</v>
      </c>
      <c r="E339" s="16">
        <v>76849</v>
      </c>
      <c r="F339" s="17" t="s">
        <v>421</v>
      </c>
      <c r="G339" s="17" t="s">
        <v>403</v>
      </c>
      <c r="H339" s="109" t="s">
        <v>128</v>
      </c>
      <c r="I339" s="16">
        <v>1</v>
      </c>
      <c r="J339" s="16">
        <v>3</v>
      </c>
      <c r="K339" s="16">
        <v>0.5</v>
      </c>
      <c r="L339" s="16">
        <v>1</v>
      </c>
      <c r="M339" s="16">
        <v>1</v>
      </c>
      <c r="N339" s="92" t="s">
        <v>162</v>
      </c>
      <c r="O339" s="92">
        <f t="shared" si="42"/>
        <v>1.5</v>
      </c>
      <c r="P339" s="125">
        <v>44882</v>
      </c>
      <c r="Q339" s="18">
        <v>44907</v>
      </c>
      <c r="R339" s="112">
        <v>1</v>
      </c>
      <c r="S339" s="112">
        <v>1</v>
      </c>
      <c r="T339" s="112">
        <v>1</v>
      </c>
      <c r="U339" s="20">
        <f>IF(ISBLANK(Table1[[#This Row],[OHC Date]]),$B$7-Table1[[#This Row],[HOC Date]]+1,Table1[[#This Row],[OHC Date]]-Table1[[#This Row],[HOC Date]]+1)/7</f>
        <v>3.7142857142857144</v>
      </c>
      <c r="V339" s="21">
        <v>32.75</v>
      </c>
      <c r="W339" s="21">
        <v>1.05</v>
      </c>
      <c r="X339" s="21">
        <f>ROUND(0.7*Table1[[#This Row],[E&amp;D Rate per unit]]*R339*Table1[[#This Row],[Quantity]],2)</f>
        <v>34.39</v>
      </c>
      <c r="Y339" s="21">
        <f t="shared" si="43"/>
        <v>5.85</v>
      </c>
      <c r="Z339" s="21">
        <f>ROUND(0.3*T339*Table1[[#This Row],[E&amp;D Rate per unit]]*Table1[[#This Row],[Quantity]],2)</f>
        <v>14.74</v>
      </c>
      <c r="AA339" s="112">
        <v>1</v>
      </c>
      <c r="AB339" s="21">
        <f>ROUND(X339+Z339+Y339,2)*Table1[[#This Row],[Until WA Approved Only Approved this %]]</f>
        <v>54.98</v>
      </c>
      <c r="AC339" s="139">
        <v>36.42</v>
      </c>
      <c r="AD339" s="139">
        <f>Table1[[#This Row],[Total Amount]]-Table1[[#This Row],[Previous Amount]]</f>
        <v>18.559999999999995</v>
      </c>
      <c r="AE339" s="137"/>
      <c r="AG339" s="174">
        <v>54.98</v>
      </c>
      <c r="AH339" s="178">
        <f>AG339-Table1[[#This Row],[Total Amount]]</f>
        <v>0</v>
      </c>
      <c r="AI339" s="171">
        <f t="shared" si="44"/>
        <v>0</v>
      </c>
    </row>
    <row r="340" spans="1:35" ht="30" customHeight="1" x14ac:dyDescent="0.3">
      <c r="A340" s="91" t="s">
        <v>91</v>
      </c>
      <c r="B340" s="91" t="s">
        <v>98</v>
      </c>
      <c r="C340" s="16" t="s">
        <v>425</v>
      </c>
      <c r="D340" s="16">
        <v>77639</v>
      </c>
      <c r="E340" s="16">
        <v>76849</v>
      </c>
      <c r="F340" s="17" t="s">
        <v>421</v>
      </c>
      <c r="G340" s="17" t="s">
        <v>403</v>
      </c>
      <c r="H340" s="16" t="s">
        <v>423</v>
      </c>
      <c r="I340" s="16">
        <v>1</v>
      </c>
      <c r="J340" s="16">
        <v>37.799999999999997</v>
      </c>
      <c r="K340" s="16">
        <v>1</v>
      </c>
      <c r="L340" s="16">
        <v>1</v>
      </c>
      <c r="M340" s="16"/>
      <c r="N340" s="92" t="s">
        <v>208</v>
      </c>
      <c r="O340" s="92">
        <f t="shared" si="42"/>
        <v>37.799999999999997</v>
      </c>
      <c r="P340" s="125">
        <v>44882</v>
      </c>
      <c r="Q340" s="18">
        <v>44907</v>
      </c>
      <c r="R340" s="112">
        <v>1</v>
      </c>
      <c r="S340" s="112">
        <v>1</v>
      </c>
      <c r="T340" s="112">
        <v>1</v>
      </c>
      <c r="U340" s="20">
        <f>IF(ISBLANK(Table1[[#This Row],[OHC Date]]),$B$7-Table1[[#This Row],[HOC Date]]+1,Table1[[#This Row],[OHC Date]]-Table1[[#This Row],[HOC Date]]+1)/7</f>
        <v>3.7142857142857144</v>
      </c>
      <c r="V340" s="21">
        <v>8.52</v>
      </c>
      <c r="W340" s="21"/>
      <c r="X340" s="21">
        <f>ROUND(0.7*Table1[[#This Row],[E&amp;D Rate per unit]]*R340*Table1[[#This Row],[Quantity]],2)</f>
        <v>225.44</v>
      </c>
      <c r="Y340" s="21">
        <f t="shared" si="43"/>
        <v>0</v>
      </c>
      <c r="Z340" s="21">
        <f>ROUND(0.3*T340*Table1[[#This Row],[E&amp;D Rate per unit]]*Table1[[#This Row],[Quantity]],2)</f>
        <v>96.62</v>
      </c>
      <c r="AA340" s="112">
        <v>1</v>
      </c>
      <c r="AB340" s="21">
        <f>ROUND(X340+Z340+Y340,2)*Table1[[#This Row],[Until WA Approved Only Approved this %]]</f>
        <v>322.06</v>
      </c>
      <c r="AC340" s="139">
        <v>225.44</v>
      </c>
      <c r="AD340" s="139">
        <f>Table1[[#This Row],[Total Amount]]-Table1[[#This Row],[Previous Amount]]</f>
        <v>96.62</v>
      </c>
      <c r="AE340" s="137"/>
      <c r="AG340" s="174">
        <v>322.06</v>
      </c>
      <c r="AH340" s="178">
        <f>AG340-Table1[[#This Row],[Total Amount]]</f>
        <v>0</v>
      </c>
      <c r="AI340" s="171">
        <f t="shared" si="44"/>
        <v>0</v>
      </c>
    </row>
    <row r="341" spans="1:35" ht="30" customHeight="1" x14ac:dyDescent="0.3">
      <c r="A341" s="108" t="s">
        <v>97</v>
      </c>
      <c r="B341" s="91" t="s">
        <v>98</v>
      </c>
      <c r="C341" s="16">
        <v>49</v>
      </c>
      <c r="D341" s="16">
        <v>77640</v>
      </c>
      <c r="E341" s="16"/>
      <c r="F341" s="17" t="s">
        <v>283</v>
      </c>
      <c r="G341" s="17" t="s">
        <v>165</v>
      </c>
      <c r="H341" s="16" t="s">
        <v>427</v>
      </c>
      <c r="I341" s="16">
        <v>1</v>
      </c>
      <c r="J341" s="16">
        <v>21</v>
      </c>
      <c r="K341" s="16">
        <v>1.8</v>
      </c>
      <c r="L341" s="16">
        <v>4</v>
      </c>
      <c r="M341" s="16">
        <v>1</v>
      </c>
      <c r="N341" s="92" t="s">
        <v>285</v>
      </c>
      <c r="O341" s="92">
        <f t="shared" si="42"/>
        <v>21</v>
      </c>
      <c r="P341" s="125">
        <v>44882</v>
      </c>
      <c r="Q341" s="18"/>
      <c r="R341" s="19">
        <v>1</v>
      </c>
      <c r="S341" s="19">
        <v>1</v>
      </c>
      <c r="T341" s="19">
        <v>0</v>
      </c>
      <c r="U341" s="20">
        <f>IF(ISBLANK(Table1[[#This Row],[OHC Date]]),$B$7-Table1[[#This Row],[HOC Date]]+1,Table1[[#This Row],[OHC Date]]-Table1[[#This Row],[HOC Date]]+1)/7</f>
        <v>5.5714285714285712</v>
      </c>
      <c r="V341" s="114">
        <v>1002.22</v>
      </c>
      <c r="W341" s="114">
        <v>98.12</v>
      </c>
      <c r="X341" s="21">
        <f>ROUND(0.7*Table1[[#This Row],[E&amp;D Rate per unit]]*R341*Table1[[#This Row],[Quantity]],2)</f>
        <v>14732.63</v>
      </c>
      <c r="Y341" s="21">
        <f t="shared" si="43"/>
        <v>11480.04</v>
      </c>
      <c r="Z341" s="21">
        <f>ROUND(0.3*T341*Table1[[#This Row],[E&amp;D Rate per unit]]*Table1[[#This Row],[Quantity]],2)</f>
        <v>0</v>
      </c>
      <c r="AA341" s="112">
        <v>1</v>
      </c>
      <c r="AB341" s="21">
        <f>ROUND(X341+Z341+Y341,2)*Table1[[#This Row],[Until WA Approved Only Approved this %]]</f>
        <v>26212.67</v>
      </c>
      <c r="AC341" s="139">
        <v>17381.87</v>
      </c>
      <c r="AD341" s="139">
        <f>Table1[[#This Row],[Total Amount]]-Table1[[#This Row],[Previous Amount]]</f>
        <v>8830.7999999999993</v>
      </c>
      <c r="AE341" s="115" t="s">
        <v>284</v>
      </c>
      <c r="AG341" s="174">
        <v>26212.67</v>
      </c>
      <c r="AH341" s="178">
        <f>AG341-Table1[[#This Row],[Total Amount]]</f>
        <v>0</v>
      </c>
      <c r="AI341" s="171">
        <f t="shared" si="44"/>
        <v>0</v>
      </c>
    </row>
    <row r="342" spans="1:35" ht="30" customHeight="1" x14ac:dyDescent="0.3">
      <c r="A342" s="91" t="s">
        <v>91</v>
      </c>
      <c r="B342" s="91" t="s">
        <v>98</v>
      </c>
      <c r="C342" s="16" t="s">
        <v>428</v>
      </c>
      <c r="D342" s="16">
        <v>77641</v>
      </c>
      <c r="E342" s="16"/>
      <c r="F342" s="17" t="s">
        <v>426</v>
      </c>
      <c r="G342" s="17" t="s">
        <v>165</v>
      </c>
      <c r="H342" s="16" t="s">
        <v>178</v>
      </c>
      <c r="I342" s="16">
        <v>1</v>
      </c>
      <c r="J342" s="16">
        <v>15</v>
      </c>
      <c r="K342" s="16">
        <v>1</v>
      </c>
      <c r="L342" s="16">
        <v>1</v>
      </c>
      <c r="M342" s="16">
        <v>1</v>
      </c>
      <c r="N342" s="92" t="s">
        <v>162</v>
      </c>
      <c r="O342" s="92">
        <f t="shared" si="42"/>
        <v>15</v>
      </c>
      <c r="P342" s="125">
        <v>44882</v>
      </c>
      <c r="Q342" s="18"/>
      <c r="R342" s="19">
        <v>1</v>
      </c>
      <c r="S342" s="19">
        <v>1</v>
      </c>
      <c r="T342" s="19">
        <v>0</v>
      </c>
      <c r="U342" s="20">
        <f>IF(ISBLANK(Table1[[#This Row],[OHC Date]]),$B$7-Table1[[#This Row],[HOC Date]]+1,Table1[[#This Row],[OHC Date]]-Table1[[#This Row],[HOC Date]]+1)/7</f>
        <v>5.5714285714285712</v>
      </c>
      <c r="V342" s="21">
        <v>6.63</v>
      </c>
      <c r="W342" s="21">
        <v>0.7</v>
      </c>
      <c r="X342" s="21">
        <f>ROUND(0.7*Table1[[#This Row],[E&amp;D Rate per unit]]*R342*Table1[[#This Row],[Quantity]],2)</f>
        <v>69.62</v>
      </c>
      <c r="Y342" s="21">
        <f t="shared" si="43"/>
        <v>58.5</v>
      </c>
      <c r="Z342" s="21">
        <f>ROUND(0.3*T342*Table1[[#This Row],[E&amp;D Rate per unit]]*Table1[[#This Row],[Quantity]],2)</f>
        <v>0</v>
      </c>
      <c r="AA342" s="112">
        <v>1</v>
      </c>
      <c r="AB342" s="21">
        <f>ROUND(X342+Z342+Y342,2)*Table1[[#This Row],[Until WA Approved Only Approved this %]]</f>
        <v>128.12</v>
      </c>
      <c r="AC342" s="139">
        <v>83.12</v>
      </c>
      <c r="AD342" s="139">
        <f>Table1[[#This Row],[Total Amount]]-Table1[[#This Row],[Previous Amount]]</f>
        <v>45</v>
      </c>
      <c r="AE342" s="137"/>
      <c r="AG342" s="174">
        <v>128.12</v>
      </c>
      <c r="AH342" s="178">
        <f>AG342-Table1[[#This Row],[Total Amount]]</f>
        <v>0</v>
      </c>
      <c r="AI342" s="171">
        <f t="shared" si="44"/>
        <v>0</v>
      </c>
    </row>
    <row r="343" spans="1:35" ht="30" customHeight="1" x14ac:dyDescent="0.3">
      <c r="A343" s="91" t="s">
        <v>91</v>
      </c>
      <c r="B343" s="91" t="s">
        <v>98</v>
      </c>
      <c r="C343" s="16">
        <v>50</v>
      </c>
      <c r="D343" s="16">
        <v>77642</v>
      </c>
      <c r="E343" s="16">
        <v>76837</v>
      </c>
      <c r="F343" s="17" t="s">
        <v>373</v>
      </c>
      <c r="G343" s="17" t="s">
        <v>228</v>
      </c>
      <c r="H343" s="109" t="s">
        <v>222</v>
      </c>
      <c r="I343" s="16">
        <v>1</v>
      </c>
      <c r="J343" s="16">
        <v>2.5</v>
      </c>
      <c r="K343" s="16">
        <v>2.5</v>
      </c>
      <c r="L343" s="16">
        <v>4</v>
      </c>
      <c r="M343" s="16">
        <v>1</v>
      </c>
      <c r="N343" s="111" t="s">
        <v>223</v>
      </c>
      <c r="O343" s="111">
        <f t="shared" si="42"/>
        <v>4</v>
      </c>
      <c r="P343" s="125">
        <v>44883</v>
      </c>
      <c r="Q343" s="18">
        <v>44894</v>
      </c>
      <c r="R343" s="19">
        <v>1</v>
      </c>
      <c r="S343" s="19">
        <v>1</v>
      </c>
      <c r="T343" s="19">
        <v>1</v>
      </c>
      <c r="U343" s="20">
        <f>IF(ISBLANK(Table1[[#This Row],[OHC Date]]),$B$7-Table1[[#This Row],[HOC Date]]+1,Table1[[#This Row],[OHC Date]]-Table1[[#This Row],[HOC Date]]+1)/7</f>
        <v>1.7142857142857142</v>
      </c>
      <c r="V343" s="114">
        <v>63.34</v>
      </c>
      <c r="W343" s="114">
        <v>7.28</v>
      </c>
      <c r="X343" s="21">
        <f>ROUND(0.7*Table1[[#This Row],[E&amp;D Rate per unit]]*R343*Table1[[#This Row],[Quantity]],2)</f>
        <v>177.35</v>
      </c>
      <c r="Y343" s="21">
        <f t="shared" si="43"/>
        <v>49.92</v>
      </c>
      <c r="Z343" s="21">
        <f>ROUND(0.3*T343*Table1[[#This Row],[E&amp;D Rate per unit]]*Table1[[#This Row],[Quantity]],2)</f>
        <v>76.010000000000005</v>
      </c>
      <c r="AA343" s="112">
        <v>1</v>
      </c>
      <c r="AB343" s="21">
        <f>ROUND(X343+Z343+Y343,2)*Table1[[#This Row],[Until WA Approved Only Approved this %]]</f>
        <v>303.27999999999997</v>
      </c>
      <c r="AC343" s="139">
        <v>210.63</v>
      </c>
      <c r="AD343" s="139">
        <f>Table1[[#This Row],[Total Amount]]-Table1[[#This Row],[Previous Amount]]</f>
        <v>92.649999999999977</v>
      </c>
      <c r="AE343" s="137"/>
      <c r="AG343" s="174">
        <v>303.27999999999997</v>
      </c>
      <c r="AH343" s="178">
        <f>AG343-Table1[[#This Row],[Total Amount]]</f>
        <v>0</v>
      </c>
      <c r="AI343" s="171">
        <f t="shared" si="44"/>
        <v>0</v>
      </c>
    </row>
    <row r="344" spans="1:35" ht="30" customHeight="1" x14ac:dyDescent="0.3">
      <c r="A344" s="91" t="s">
        <v>91</v>
      </c>
      <c r="B344" s="91" t="s">
        <v>98</v>
      </c>
      <c r="C344" s="16">
        <v>51</v>
      </c>
      <c r="D344" s="16">
        <v>77643</v>
      </c>
      <c r="E344" s="16"/>
      <c r="F344" s="17" t="s">
        <v>386</v>
      </c>
      <c r="G344" s="17" t="s">
        <v>202</v>
      </c>
      <c r="H344" s="109" t="s">
        <v>120</v>
      </c>
      <c r="I344" s="16">
        <v>1</v>
      </c>
      <c r="J344" s="16">
        <v>3.8</v>
      </c>
      <c r="K344" s="16">
        <v>2.5</v>
      </c>
      <c r="L344" s="16">
        <v>2.8</v>
      </c>
      <c r="M344" s="16">
        <v>1</v>
      </c>
      <c r="N344" s="92" t="s">
        <v>208</v>
      </c>
      <c r="O344" s="92">
        <f t="shared" si="42"/>
        <v>10.64</v>
      </c>
      <c r="P344" s="125">
        <v>44883</v>
      </c>
      <c r="Q344" s="18"/>
      <c r="R344" s="19">
        <v>1</v>
      </c>
      <c r="S344" s="19">
        <v>1</v>
      </c>
      <c r="T344" s="19">
        <v>0</v>
      </c>
      <c r="U344" s="20">
        <f>IF(ISBLANK(Table1[[#This Row],[OHC Date]]),$B$7-Table1[[#This Row],[HOC Date]]+1,Table1[[#This Row],[OHC Date]]-Table1[[#This Row],[HOC Date]]+1)/7</f>
        <v>5.4285714285714288</v>
      </c>
      <c r="V344" s="114">
        <v>16.760000000000002</v>
      </c>
      <c r="W344" s="114">
        <v>0.77</v>
      </c>
      <c r="X344" s="21">
        <f>ROUND(0.7*Table1[[#This Row],[E&amp;D Rate per unit]]*R344*Table1[[#This Row],[Quantity]],2)</f>
        <v>124.83</v>
      </c>
      <c r="Y344" s="21">
        <f>ROUND(O344*U344*W344*S344,2)</f>
        <v>44.48</v>
      </c>
      <c r="Z344" s="21">
        <f>ROUND(0.3*T344*Table1[[#This Row],[E&amp;D Rate per unit]]*Table1[[#This Row],[Quantity]],2)</f>
        <v>0</v>
      </c>
      <c r="AA344" s="112">
        <v>1</v>
      </c>
      <c r="AB344" s="21">
        <f>ROUND(X344+Z344+Y344,2)*Table1[[#This Row],[Until WA Approved Only Approved this %]]</f>
        <v>169.31</v>
      </c>
      <c r="AC344" s="139">
        <v>134.19</v>
      </c>
      <c r="AD344" s="139">
        <f>Table1[[#This Row],[Total Amount]]-Table1[[#This Row],[Previous Amount]]</f>
        <v>35.120000000000005</v>
      </c>
      <c r="AE344" s="137"/>
      <c r="AG344" s="174">
        <v>169.31</v>
      </c>
      <c r="AH344" s="178">
        <f>AG344-Table1[[#This Row],[Total Amount]]</f>
        <v>0</v>
      </c>
      <c r="AI344" s="171">
        <f t="shared" si="44"/>
        <v>0</v>
      </c>
    </row>
    <row r="345" spans="1:35" ht="30" customHeight="1" x14ac:dyDescent="0.3">
      <c r="A345" s="141" t="s">
        <v>429</v>
      </c>
      <c r="B345" s="91" t="s">
        <v>98</v>
      </c>
      <c r="C345" s="16">
        <v>52</v>
      </c>
      <c r="D345" s="16">
        <v>77645</v>
      </c>
      <c r="E345" s="16"/>
      <c r="F345" s="17" t="s">
        <v>430</v>
      </c>
      <c r="G345" s="17" t="s">
        <v>431</v>
      </c>
      <c r="H345" s="109" t="s">
        <v>222</v>
      </c>
      <c r="I345" s="16">
        <v>1</v>
      </c>
      <c r="J345" s="16">
        <v>2.5</v>
      </c>
      <c r="K345" s="16">
        <v>1.3</v>
      </c>
      <c r="L345" s="16">
        <v>3.5</v>
      </c>
      <c r="M345" s="16">
        <v>1</v>
      </c>
      <c r="N345" s="92" t="s">
        <v>56</v>
      </c>
      <c r="O345" s="92">
        <f t="shared" si="42"/>
        <v>1</v>
      </c>
      <c r="P345" s="125">
        <v>44883</v>
      </c>
      <c r="Q345" s="18"/>
      <c r="R345" s="19">
        <v>1</v>
      </c>
      <c r="S345" s="19">
        <v>1</v>
      </c>
      <c r="T345" s="19">
        <v>0</v>
      </c>
      <c r="U345" s="20">
        <f>IF(ISBLANK(Table1[[#This Row],[OHC Date]]),$B$7-Table1[[#This Row],[HOC Date]]+1,Table1[[#This Row],[OHC Date]]-Table1[[#This Row],[HOC Date]]+1)/7</f>
        <v>5.4285714285714288</v>
      </c>
      <c r="V345" s="21">
        <v>1278.3599999999999</v>
      </c>
      <c r="W345" s="21">
        <v>29.12</v>
      </c>
      <c r="X345" s="21">
        <f>ROUND(0.7*Table1[[#This Row],[E&amp;D Rate per unit]]*R345*Table1[[#This Row],[Quantity]],2)</f>
        <v>894.85</v>
      </c>
      <c r="Y345" s="21">
        <f t="shared" si="43"/>
        <v>158.08000000000001</v>
      </c>
      <c r="Z345" s="21">
        <f>ROUND(0.3*T345*Table1[[#This Row],[E&amp;D Rate per unit]]*Table1[[#This Row],[Quantity]],2)</f>
        <v>0</v>
      </c>
      <c r="AA345" s="19">
        <v>1</v>
      </c>
      <c r="AB345" s="163">
        <f>ROUND(X345+Z345+Y345,2)*Table1[[#This Row],[Until WA Approved Only Approved this %]]/4*3.5</f>
        <v>921.31375000000003</v>
      </c>
      <c r="AC345" s="139">
        <v>928.13</v>
      </c>
      <c r="AD345" s="139">
        <f>Table1[[#This Row],[Total Amount]]-Table1[[#This Row],[Previous Amount]]</f>
        <v>-6.8162499999999682</v>
      </c>
      <c r="AE345" s="142" t="s">
        <v>432</v>
      </c>
      <c r="AG345" s="174">
        <v>1052.93</v>
      </c>
      <c r="AH345" s="178">
        <f>AG345-Table1[[#This Row],[Total Amount]]</f>
        <v>131.61625000000004</v>
      </c>
      <c r="AI345" s="171">
        <f t="shared" si="44"/>
        <v>0.12500000000000003</v>
      </c>
    </row>
    <row r="346" spans="1:35" ht="30" customHeight="1" x14ac:dyDescent="0.3">
      <c r="A346" s="91" t="s">
        <v>91</v>
      </c>
      <c r="B346" s="91" t="s">
        <v>98</v>
      </c>
      <c r="C346" s="16" t="s">
        <v>433</v>
      </c>
      <c r="D346" s="16">
        <v>77645</v>
      </c>
      <c r="E346" s="16"/>
      <c r="F346" s="17" t="s">
        <v>430</v>
      </c>
      <c r="G346" s="17" t="s">
        <v>434</v>
      </c>
      <c r="H346" s="109" t="s">
        <v>129</v>
      </c>
      <c r="I346" s="16">
        <v>1</v>
      </c>
      <c r="J346" s="16">
        <v>1.3</v>
      </c>
      <c r="K346" s="16">
        <v>0.75</v>
      </c>
      <c r="L346" s="16">
        <v>1</v>
      </c>
      <c r="M346" s="16">
        <v>1</v>
      </c>
      <c r="N346" s="92" t="s">
        <v>162</v>
      </c>
      <c r="O346" s="92">
        <f t="shared" si="42"/>
        <v>0.98</v>
      </c>
      <c r="P346" s="125">
        <v>44883</v>
      </c>
      <c r="Q346" s="18"/>
      <c r="R346" s="19">
        <v>1</v>
      </c>
      <c r="S346" s="19">
        <v>1</v>
      </c>
      <c r="T346" s="19">
        <v>0</v>
      </c>
      <c r="U346" s="20">
        <f>IF(ISBLANK(Table1[[#This Row],[OHC Date]]),$B$7-Table1[[#This Row],[HOC Date]]+1,Table1[[#This Row],[OHC Date]]-Table1[[#This Row],[HOC Date]]+1)/7</f>
        <v>5.4285714285714288</v>
      </c>
      <c r="V346" s="21">
        <v>36.520000000000003</v>
      </c>
      <c r="W346" s="21">
        <v>2.94</v>
      </c>
      <c r="X346" s="21">
        <f>ROUND(0.7*Table1[[#This Row],[E&amp;D Rate per unit]]*R346*Table1[[#This Row],[Quantity]],2)</f>
        <v>25.05</v>
      </c>
      <c r="Y346" s="21">
        <f t="shared" si="43"/>
        <v>15.64</v>
      </c>
      <c r="Z346" s="21">
        <f>ROUND(0.3*T346*Table1[[#This Row],[E&amp;D Rate per unit]]*Table1[[#This Row],[Quantity]],2)</f>
        <v>0</v>
      </c>
      <c r="AA346" s="112">
        <v>1</v>
      </c>
      <c r="AB346" s="21">
        <f>ROUND(X346+Z346+Y346,2)*Table1[[#This Row],[Until WA Approved Only Approved this %]]</f>
        <v>40.69</v>
      </c>
      <c r="AC346" s="139">
        <v>28.34</v>
      </c>
      <c r="AD346" s="139">
        <f>Table1[[#This Row],[Total Amount]]-Table1[[#This Row],[Previous Amount]]</f>
        <v>12.349999999999998</v>
      </c>
      <c r="AE346" s="137"/>
      <c r="AG346" s="174">
        <v>40.69</v>
      </c>
      <c r="AH346" s="178">
        <f>AG346-Table1[[#This Row],[Total Amount]]</f>
        <v>0</v>
      </c>
      <c r="AI346" s="171">
        <f t="shared" si="44"/>
        <v>0</v>
      </c>
    </row>
    <row r="347" spans="1:35" ht="30" customHeight="1" x14ac:dyDescent="0.3">
      <c r="A347" s="91" t="s">
        <v>91</v>
      </c>
      <c r="B347" s="91" t="s">
        <v>98</v>
      </c>
      <c r="C347" s="16" t="s">
        <v>435</v>
      </c>
      <c r="D347" s="16">
        <v>77646</v>
      </c>
      <c r="E347" s="16">
        <v>80811</v>
      </c>
      <c r="F347" s="17" t="s">
        <v>421</v>
      </c>
      <c r="G347" s="17" t="s">
        <v>253</v>
      </c>
      <c r="H347" s="16" t="s">
        <v>222</v>
      </c>
      <c r="I347" s="16">
        <v>1</v>
      </c>
      <c r="J347" s="16">
        <v>1.5</v>
      </c>
      <c r="K347" s="16">
        <v>0.5</v>
      </c>
      <c r="L347" s="16">
        <v>1.5</v>
      </c>
      <c r="M347" s="16">
        <v>1</v>
      </c>
      <c r="N347" s="92" t="s">
        <v>223</v>
      </c>
      <c r="O347" s="92">
        <f t="shared" si="42"/>
        <v>1.5</v>
      </c>
      <c r="P347" s="125">
        <v>44883</v>
      </c>
      <c r="Q347" s="18">
        <v>44912</v>
      </c>
      <c r="R347" s="19">
        <v>1</v>
      </c>
      <c r="S347" s="19">
        <v>1</v>
      </c>
      <c r="T347" s="19">
        <v>1</v>
      </c>
      <c r="U347" s="20">
        <f>IF(ISBLANK(Table1[[#This Row],[OHC Date]]),$B$7-Table1[[#This Row],[HOC Date]]+1,Table1[[#This Row],[OHC Date]]-Table1[[#This Row],[HOC Date]]+1)/7</f>
        <v>4.2857142857142856</v>
      </c>
      <c r="V347" s="21">
        <v>63.34</v>
      </c>
      <c r="W347" s="21">
        <v>7.28</v>
      </c>
      <c r="X347" s="21">
        <f>ROUND(0.7*Table1[[#This Row],[E&amp;D Rate per unit]]*R347*Table1[[#This Row],[Quantity]],2)</f>
        <v>66.510000000000005</v>
      </c>
      <c r="Y347" s="21">
        <f t="shared" si="43"/>
        <v>46.8</v>
      </c>
      <c r="Z347" s="21">
        <f>ROUND(0.3*T347*Table1[[#This Row],[E&amp;D Rate per unit]]*Table1[[#This Row],[Quantity]],2)</f>
        <v>28.5</v>
      </c>
      <c r="AA347" s="112">
        <v>1</v>
      </c>
      <c r="AB347" s="21">
        <f>ROUND(X347+Z347+Y347,2)*Table1[[#This Row],[Until WA Approved Only Approved this %]]</f>
        <v>141.81</v>
      </c>
      <c r="AC347" s="139">
        <v>78.989999999999995</v>
      </c>
      <c r="AD347" s="139">
        <f>Table1[[#This Row],[Total Amount]]-Table1[[#This Row],[Previous Amount]]</f>
        <v>62.820000000000007</v>
      </c>
      <c r="AE347" s="137"/>
      <c r="AG347" s="174">
        <v>141.81</v>
      </c>
      <c r="AH347" s="178">
        <f>AG347-Table1[[#This Row],[Total Amount]]</f>
        <v>0</v>
      </c>
      <c r="AI347" s="171">
        <f t="shared" si="44"/>
        <v>0</v>
      </c>
    </row>
    <row r="348" spans="1:35" ht="30" customHeight="1" x14ac:dyDescent="0.3">
      <c r="A348" s="91" t="s">
        <v>91</v>
      </c>
      <c r="B348" s="91" t="s">
        <v>98</v>
      </c>
      <c r="C348" s="16" t="s">
        <v>436</v>
      </c>
      <c r="D348" s="16">
        <v>77647</v>
      </c>
      <c r="E348" s="16">
        <v>76845</v>
      </c>
      <c r="F348" s="17" t="s">
        <v>437</v>
      </c>
      <c r="G348" s="17" t="s">
        <v>228</v>
      </c>
      <c r="H348" s="109" t="s">
        <v>129</v>
      </c>
      <c r="I348" s="16">
        <v>1</v>
      </c>
      <c r="J348" s="16">
        <v>1.5</v>
      </c>
      <c r="K348" s="16">
        <v>1</v>
      </c>
      <c r="L348" s="16">
        <v>1</v>
      </c>
      <c r="M348" s="16">
        <v>1</v>
      </c>
      <c r="N348" s="92" t="s">
        <v>162</v>
      </c>
      <c r="O348" s="92">
        <f t="shared" si="42"/>
        <v>1.5</v>
      </c>
      <c r="P348" s="125">
        <v>44884</v>
      </c>
      <c r="Q348" s="18">
        <v>44905</v>
      </c>
      <c r="R348" s="19">
        <v>1</v>
      </c>
      <c r="S348" s="19">
        <v>1</v>
      </c>
      <c r="T348" s="19">
        <v>1</v>
      </c>
      <c r="U348" s="20">
        <f>IF(ISBLANK(Table1[[#This Row],[OHC Date]]),$B$7-Table1[[#This Row],[HOC Date]]+1,Table1[[#This Row],[OHC Date]]-Table1[[#This Row],[HOC Date]]+1)/7</f>
        <v>3.1428571428571428</v>
      </c>
      <c r="V348" s="21">
        <v>36.520000000000003</v>
      </c>
      <c r="W348" s="21">
        <v>2.94</v>
      </c>
      <c r="X348" s="21">
        <f>ROUND(0.7*Table1[[#This Row],[E&amp;D Rate per unit]]*R348*Table1[[#This Row],[Quantity]],2)</f>
        <v>38.35</v>
      </c>
      <c r="Y348" s="21">
        <f t="shared" si="43"/>
        <v>13.86</v>
      </c>
      <c r="Z348" s="21">
        <f>ROUND(0.3*T348*Table1[[#This Row],[E&amp;D Rate per unit]]*Table1[[#This Row],[Quantity]],2)</f>
        <v>16.43</v>
      </c>
      <c r="AA348" s="112">
        <v>1</v>
      </c>
      <c r="AB348" s="21">
        <f>ROUND(X348+Z348+Y348,2)*Table1[[#This Row],[Until WA Approved Only Approved this %]]</f>
        <v>68.64</v>
      </c>
      <c r="AC348" s="139">
        <v>42.76</v>
      </c>
      <c r="AD348" s="139">
        <f>Table1[[#This Row],[Total Amount]]-Table1[[#This Row],[Previous Amount]]</f>
        <v>25.880000000000003</v>
      </c>
      <c r="AE348" s="137"/>
      <c r="AG348" s="174">
        <v>68.64</v>
      </c>
      <c r="AH348" s="178">
        <f>AG348-Table1[[#This Row],[Total Amount]]</f>
        <v>0</v>
      </c>
      <c r="AI348" s="171">
        <f t="shared" si="44"/>
        <v>0</v>
      </c>
    </row>
    <row r="349" spans="1:35" ht="30" customHeight="1" x14ac:dyDescent="0.3">
      <c r="A349" s="91" t="s">
        <v>91</v>
      </c>
      <c r="B349" s="91" t="s">
        <v>98</v>
      </c>
      <c r="C349" s="109" t="s">
        <v>438</v>
      </c>
      <c r="D349" s="109">
        <v>77644</v>
      </c>
      <c r="E349" s="109"/>
      <c r="F349" s="110" t="s">
        <v>386</v>
      </c>
      <c r="G349" s="17" t="s">
        <v>202</v>
      </c>
      <c r="H349" s="109" t="s">
        <v>222</v>
      </c>
      <c r="I349" s="109">
        <v>1</v>
      </c>
      <c r="J349" s="109">
        <v>2.5</v>
      </c>
      <c r="K349" s="109">
        <v>0.9</v>
      </c>
      <c r="L349" s="109">
        <v>2.5</v>
      </c>
      <c r="M349" s="109">
        <v>1</v>
      </c>
      <c r="N349" s="111" t="s">
        <v>223</v>
      </c>
      <c r="O349" s="111">
        <f t="shared" ref="O349:O367" si="45">ROUND(IF(N349="m3",I349*J349*K349*L349,IF(N349="m2-LxH",I349*J349*L349,IF(N349="m2-LxW",I349*J349*K349,IF(N349="rm",I349*L349,IF(N349="lm",I349*J349,IF(N349="unit",I349,"NA")))))),2)</f>
        <v>2.5</v>
      </c>
      <c r="P349" s="125">
        <v>44883</v>
      </c>
      <c r="Q349" s="125"/>
      <c r="R349" s="112">
        <v>1</v>
      </c>
      <c r="S349" s="112">
        <v>1</v>
      </c>
      <c r="T349" s="112">
        <v>0</v>
      </c>
      <c r="U349" s="113">
        <f>IF(ISBLANK(Table1[[#This Row],[OHC Date]]),$B$7-Table1[[#This Row],[HOC Date]]+1,Table1[[#This Row],[OHC Date]]-Table1[[#This Row],[HOC Date]]+1)/7</f>
        <v>5.4285714285714288</v>
      </c>
      <c r="V349" s="114">
        <v>63.34</v>
      </c>
      <c r="W349" s="114">
        <v>7.28</v>
      </c>
      <c r="X349" s="114">
        <f>ROUND(0.7*Table1[[#This Row],[E&amp;D Rate per unit]]*R349*Table1[[#This Row],[Quantity]],2)</f>
        <v>110.85</v>
      </c>
      <c r="Y349" s="114">
        <f t="shared" ref="Y349:Y367" si="46">ROUND(O349*U349*W349*S349,2)</f>
        <v>98.8</v>
      </c>
      <c r="Z349" s="114">
        <f>ROUND(0.3*T349*Table1[[#This Row],[E&amp;D Rate per unit]]*Table1[[#This Row],[Quantity]],2)</f>
        <v>0</v>
      </c>
      <c r="AA349" s="112">
        <v>1</v>
      </c>
      <c r="AB349" s="21">
        <f>ROUND(X349+Z349+Y349,2)*Table1[[#This Row],[Until WA Approved Only Approved this %]]</f>
        <v>209.65</v>
      </c>
      <c r="AC349" s="136">
        <v>131.65</v>
      </c>
      <c r="AD349" s="136">
        <f>Table1[[#This Row],[Total Amount]]-Table1[[#This Row],[Previous Amount]]</f>
        <v>78</v>
      </c>
      <c r="AE349" s="115"/>
      <c r="AG349" s="174">
        <v>209.65</v>
      </c>
      <c r="AH349" s="178">
        <f>AG349-Table1[[#This Row],[Total Amount]]</f>
        <v>0</v>
      </c>
      <c r="AI349" s="171">
        <f t="shared" si="44"/>
        <v>0</v>
      </c>
    </row>
    <row r="350" spans="1:35" ht="30" customHeight="1" x14ac:dyDescent="0.3">
      <c r="A350" s="141" t="s">
        <v>418</v>
      </c>
      <c r="B350" s="91" t="s">
        <v>98</v>
      </c>
      <c r="C350" s="109" t="s">
        <v>439</v>
      </c>
      <c r="D350" s="109">
        <v>77648</v>
      </c>
      <c r="E350" s="109"/>
      <c r="F350" s="110" t="s">
        <v>415</v>
      </c>
      <c r="G350" s="17" t="s">
        <v>202</v>
      </c>
      <c r="H350" s="109" t="s">
        <v>416</v>
      </c>
      <c r="I350" s="109">
        <v>1</v>
      </c>
      <c r="J350" s="109">
        <v>5.0999999999999996</v>
      </c>
      <c r="K350" s="109">
        <v>1.3</v>
      </c>
      <c r="L350" s="109">
        <v>5</v>
      </c>
      <c r="M350" s="109">
        <v>1</v>
      </c>
      <c r="N350" s="111" t="s">
        <v>208</v>
      </c>
      <c r="O350" s="111">
        <f t="shared" si="45"/>
        <v>25.5</v>
      </c>
      <c r="P350" s="125">
        <v>44886</v>
      </c>
      <c r="Q350" s="125"/>
      <c r="R350" s="112">
        <v>1</v>
      </c>
      <c r="S350" s="112">
        <v>1</v>
      </c>
      <c r="T350" s="112">
        <v>0</v>
      </c>
      <c r="U350" s="113">
        <f>IF(ISBLANK(Table1[[#This Row],[OHC Date]]),$B$7-Table1[[#This Row],[HOC Date]]+1,Table1[[#This Row],[OHC Date]]-Table1[[#This Row],[HOC Date]]+1)/7</f>
        <v>5</v>
      </c>
      <c r="V350" s="114">
        <v>95.9</v>
      </c>
      <c r="W350" s="114">
        <v>13.9</v>
      </c>
      <c r="X350" s="114">
        <f>ROUND(0.7*Table1[[#This Row],[E&amp;D Rate per unit]]*R350*Table1[[#This Row],[Quantity]],2)</f>
        <v>1711.82</v>
      </c>
      <c r="Y350" s="114">
        <f t="shared" si="46"/>
        <v>1772.25</v>
      </c>
      <c r="Z350" s="114">
        <f>ROUND(0.3*T350*Table1[[#This Row],[E&amp;D Rate per unit]]*Table1[[#This Row],[Quantity]],2)</f>
        <v>0</v>
      </c>
      <c r="AA350" s="19">
        <v>1</v>
      </c>
      <c r="AB350" s="21">
        <f>ROUND(X350+Z350+Y350,2)*Table1[[#This Row],[Until WA Approved Only Approved this %]]</f>
        <v>3484.07</v>
      </c>
      <c r="AC350" s="136">
        <v>1965</v>
      </c>
      <c r="AD350" s="136">
        <f>Table1[[#This Row],[Total Amount]]-Table1[[#This Row],[Previous Amount]]</f>
        <v>1519.0700000000002</v>
      </c>
      <c r="AE350" s="142" t="s">
        <v>440</v>
      </c>
      <c r="AG350" s="174">
        <v>3484.07</v>
      </c>
      <c r="AH350" s="178">
        <f>AG350-Table1[[#This Row],[Total Amount]]</f>
        <v>0</v>
      </c>
      <c r="AI350" s="171">
        <f t="shared" si="44"/>
        <v>0</v>
      </c>
    </row>
    <row r="351" spans="1:35" ht="30" customHeight="1" x14ac:dyDescent="0.3">
      <c r="A351" s="91" t="s">
        <v>91</v>
      </c>
      <c r="B351" s="91" t="s">
        <v>98</v>
      </c>
      <c r="C351" s="109">
        <v>53</v>
      </c>
      <c r="D351" s="109">
        <v>77649</v>
      </c>
      <c r="E351" s="109">
        <v>80831</v>
      </c>
      <c r="F351" s="110" t="s">
        <v>441</v>
      </c>
      <c r="G351" s="17" t="s">
        <v>256</v>
      </c>
      <c r="H351" s="109" t="s">
        <v>120</v>
      </c>
      <c r="I351" s="109">
        <v>1</v>
      </c>
      <c r="J351" s="109">
        <v>4.3</v>
      </c>
      <c r="K351" s="109">
        <v>1.8</v>
      </c>
      <c r="L351" s="109">
        <v>4.5</v>
      </c>
      <c r="M351" s="109">
        <v>1</v>
      </c>
      <c r="N351" s="111" t="s">
        <v>208</v>
      </c>
      <c r="O351" s="111">
        <f t="shared" si="45"/>
        <v>19.350000000000001</v>
      </c>
      <c r="P351" s="125">
        <v>44886</v>
      </c>
      <c r="Q351" s="125">
        <v>44915</v>
      </c>
      <c r="R351" s="112">
        <v>1</v>
      </c>
      <c r="S351" s="112">
        <v>1</v>
      </c>
      <c r="T351" s="112">
        <v>1</v>
      </c>
      <c r="U351" s="113">
        <f>IF(ISBLANK(Table1[[#This Row],[OHC Date]]),$B$7-Table1[[#This Row],[HOC Date]]+1,Table1[[#This Row],[OHC Date]]-Table1[[#This Row],[HOC Date]]+1)/7</f>
        <v>4.2857142857142856</v>
      </c>
      <c r="V351" s="114">
        <v>16.760000000000002</v>
      </c>
      <c r="W351" s="114">
        <v>0.77</v>
      </c>
      <c r="X351" s="114">
        <f>ROUND(0.7*Table1[[#This Row],[E&amp;D Rate per unit]]*R351*Table1[[#This Row],[Quantity]],2)</f>
        <v>227.01</v>
      </c>
      <c r="Y351" s="114">
        <f t="shared" si="46"/>
        <v>63.86</v>
      </c>
      <c r="Z351" s="114">
        <f>ROUND(0.3*T351*Table1[[#This Row],[E&amp;D Rate per unit]]*Table1[[#This Row],[Quantity]],2)</f>
        <v>97.29</v>
      </c>
      <c r="AA351" s="112">
        <v>1</v>
      </c>
      <c r="AB351" s="21">
        <f>ROUND(X351+Z351+Y351,2)*Table1[[#This Row],[Until WA Approved Only Approved this %]]</f>
        <v>388.16</v>
      </c>
      <c r="AC351" s="136">
        <v>237.65</v>
      </c>
      <c r="AD351" s="136">
        <f>Table1[[#This Row],[Total Amount]]-Table1[[#This Row],[Previous Amount]]</f>
        <v>150.51000000000002</v>
      </c>
      <c r="AE351" s="115"/>
      <c r="AG351" s="174">
        <v>388.16</v>
      </c>
      <c r="AH351" s="178">
        <f>AG351-Table1[[#This Row],[Total Amount]]</f>
        <v>0</v>
      </c>
      <c r="AI351" s="171">
        <f t="shared" si="44"/>
        <v>0</v>
      </c>
    </row>
    <row r="352" spans="1:35" ht="30" customHeight="1" x14ac:dyDescent="0.3">
      <c r="A352" s="91" t="s">
        <v>91</v>
      </c>
      <c r="B352" s="91" t="s">
        <v>98</v>
      </c>
      <c r="C352" s="109" t="s">
        <v>340</v>
      </c>
      <c r="D352" s="109">
        <v>79051</v>
      </c>
      <c r="E352" s="109">
        <v>80832</v>
      </c>
      <c r="F352" s="110" t="s">
        <v>441</v>
      </c>
      <c r="G352" s="17" t="s">
        <v>256</v>
      </c>
      <c r="H352" s="109" t="s">
        <v>222</v>
      </c>
      <c r="I352" s="109">
        <v>1</v>
      </c>
      <c r="J352" s="109">
        <v>2.5</v>
      </c>
      <c r="K352" s="109">
        <v>1.8</v>
      </c>
      <c r="L352" s="109">
        <v>2.5</v>
      </c>
      <c r="M352" s="109">
        <v>1</v>
      </c>
      <c r="N352" s="111" t="s">
        <v>223</v>
      </c>
      <c r="O352" s="111">
        <f t="shared" si="45"/>
        <v>2.5</v>
      </c>
      <c r="P352" s="125">
        <v>44887</v>
      </c>
      <c r="Q352" s="125">
        <v>44915</v>
      </c>
      <c r="R352" s="112">
        <v>1</v>
      </c>
      <c r="S352" s="112">
        <v>1</v>
      </c>
      <c r="T352" s="112">
        <v>1</v>
      </c>
      <c r="U352" s="113">
        <f>IF(ISBLANK(Table1[[#This Row],[OHC Date]]),$B$7-Table1[[#This Row],[HOC Date]]+1,Table1[[#This Row],[OHC Date]]-Table1[[#This Row],[HOC Date]]+1)/7</f>
        <v>4.1428571428571432</v>
      </c>
      <c r="V352" s="114">
        <v>63.34</v>
      </c>
      <c r="W352" s="114">
        <v>7.28</v>
      </c>
      <c r="X352" s="114">
        <f>ROUND(0.7*Table1[[#This Row],[E&amp;D Rate per unit]]*R352*Table1[[#This Row],[Quantity]],2)</f>
        <v>110.85</v>
      </c>
      <c r="Y352" s="114">
        <f t="shared" si="46"/>
        <v>75.400000000000006</v>
      </c>
      <c r="Z352" s="114">
        <f>ROUND(0.3*T352*Table1[[#This Row],[E&amp;D Rate per unit]]*Table1[[#This Row],[Quantity]],2)</f>
        <v>47.51</v>
      </c>
      <c r="AA352" s="112">
        <v>1</v>
      </c>
      <c r="AB352" s="21">
        <f>ROUND(X352+Z352+Y352,2)*Table1[[#This Row],[Until WA Approved Only Approved this %]]</f>
        <v>233.76</v>
      </c>
      <c r="AC352" s="136">
        <v>121.25</v>
      </c>
      <c r="AD352" s="136">
        <f>Table1[[#This Row],[Total Amount]]-Table1[[#This Row],[Previous Amount]]</f>
        <v>112.50999999999999</v>
      </c>
      <c r="AE352" s="115"/>
      <c r="AG352" s="174">
        <v>233.76</v>
      </c>
      <c r="AH352" s="178">
        <f>AG352-Table1[[#This Row],[Total Amount]]</f>
        <v>0</v>
      </c>
      <c r="AI352" s="171">
        <f t="shared" si="44"/>
        <v>0</v>
      </c>
    </row>
    <row r="353" spans="1:35" ht="30" customHeight="1" x14ac:dyDescent="0.3">
      <c r="A353" s="141" t="s">
        <v>429</v>
      </c>
      <c r="B353" s="91" t="s">
        <v>98</v>
      </c>
      <c r="C353" s="109">
        <v>54</v>
      </c>
      <c r="D353" s="109">
        <v>79052</v>
      </c>
      <c r="E353" s="109"/>
      <c r="F353" s="17" t="s">
        <v>430</v>
      </c>
      <c r="G353" s="17" t="s">
        <v>442</v>
      </c>
      <c r="H353" s="109" t="s">
        <v>222</v>
      </c>
      <c r="I353" s="109">
        <v>1</v>
      </c>
      <c r="J353" s="109">
        <v>2.5</v>
      </c>
      <c r="K353" s="109">
        <v>1.3</v>
      </c>
      <c r="L353" s="109">
        <v>4</v>
      </c>
      <c r="M353" s="109">
        <v>1</v>
      </c>
      <c r="N353" s="111" t="s">
        <v>56</v>
      </c>
      <c r="O353" s="111">
        <f t="shared" si="45"/>
        <v>1</v>
      </c>
      <c r="P353" s="125">
        <v>44887</v>
      </c>
      <c r="Q353" s="125"/>
      <c r="R353" s="112">
        <v>1</v>
      </c>
      <c r="S353" s="112">
        <v>1</v>
      </c>
      <c r="T353" s="112">
        <v>0</v>
      </c>
      <c r="U353" s="113">
        <f>IF(ISBLANK(Table1[[#This Row],[OHC Date]]),$B$7-Table1[[#This Row],[HOC Date]]+1,Table1[[#This Row],[OHC Date]]-Table1[[#This Row],[HOC Date]]+1)/7</f>
        <v>4.8571428571428568</v>
      </c>
      <c r="V353" s="114">
        <v>1278.3599999999999</v>
      </c>
      <c r="W353" s="114">
        <v>29.12</v>
      </c>
      <c r="X353" s="114">
        <f>ROUND(0.7*Table1[[#This Row],[E&amp;D Rate per unit]]*R353*Table1[[#This Row],[Quantity]],2)</f>
        <v>894.85</v>
      </c>
      <c r="Y353" s="114">
        <f t="shared" si="46"/>
        <v>141.44</v>
      </c>
      <c r="Z353" s="114">
        <f>ROUND(0.3*T353*Table1[[#This Row],[E&amp;D Rate per unit]]*Table1[[#This Row],[Quantity]],2)</f>
        <v>0</v>
      </c>
      <c r="AA353" s="19">
        <v>1</v>
      </c>
      <c r="AB353" s="21">
        <f>ROUND(X353+Z353+Y353,2)*Table1[[#This Row],[Until WA Approved Only Approved this %]]</f>
        <v>1036.29</v>
      </c>
      <c r="AC353" s="136">
        <v>911.49</v>
      </c>
      <c r="AD353" s="136">
        <f>Table1[[#This Row],[Total Amount]]-Table1[[#This Row],[Previous Amount]]</f>
        <v>124.79999999999995</v>
      </c>
      <c r="AE353" s="142" t="s">
        <v>443</v>
      </c>
      <c r="AG353" s="174">
        <v>1036.29</v>
      </c>
      <c r="AH353" s="178">
        <f>AG353-Table1[[#This Row],[Total Amount]]</f>
        <v>0</v>
      </c>
      <c r="AI353" s="171">
        <f t="shared" si="44"/>
        <v>0</v>
      </c>
    </row>
    <row r="354" spans="1:35" ht="30" customHeight="1" x14ac:dyDescent="0.3">
      <c r="A354" s="91" t="s">
        <v>91</v>
      </c>
      <c r="B354" s="91" t="s">
        <v>98</v>
      </c>
      <c r="C354" s="109" t="s">
        <v>444</v>
      </c>
      <c r="D354" s="109">
        <v>79052</v>
      </c>
      <c r="E354" s="109"/>
      <c r="F354" s="17" t="s">
        <v>430</v>
      </c>
      <c r="G354" s="17" t="s">
        <v>442</v>
      </c>
      <c r="H354" s="109" t="s">
        <v>129</v>
      </c>
      <c r="I354" s="109">
        <v>1</v>
      </c>
      <c r="J354" s="109">
        <v>1.5</v>
      </c>
      <c r="K354" s="109">
        <v>1.3</v>
      </c>
      <c r="L354" s="109">
        <v>1</v>
      </c>
      <c r="M354" s="109">
        <v>1</v>
      </c>
      <c r="N354" s="111" t="s">
        <v>162</v>
      </c>
      <c r="O354" s="111">
        <f t="shared" si="45"/>
        <v>1.95</v>
      </c>
      <c r="P354" s="125">
        <v>44887</v>
      </c>
      <c r="Q354" s="125"/>
      <c r="R354" s="112">
        <v>1</v>
      </c>
      <c r="S354" s="112">
        <v>1</v>
      </c>
      <c r="T354" s="112">
        <v>0</v>
      </c>
      <c r="U354" s="113">
        <f>IF(ISBLANK(Table1[[#This Row],[OHC Date]]),$B$7-Table1[[#This Row],[HOC Date]]+1,Table1[[#This Row],[OHC Date]]-Table1[[#This Row],[HOC Date]]+1)/7</f>
        <v>4.8571428571428568</v>
      </c>
      <c r="V354" s="114">
        <v>36.520000000000003</v>
      </c>
      <c r="W354" s="114">
        <v>2.94</v>
      </c>
      <c r="X354" s="114">
        <f>ROUND(0.7*Table1[[#This Row],[E&amp;D Rate per unit]]*R354*Table1[[#This Row],[Quantity]],2)</f>
        <v>49.85</v>
      </c>
      <c r="Y354" s="114">
        <f t="shared" si="46"/>
        <v>27.85</v>
      </c>
      <c r="Z354" s="114">
        <f>ROUND(0.3*T354*Table1[[#This Row],[E&amp;D Rate per unit]]*Table1[[#This Row],[Quantity]],2)</f>
        <v>0</v>
      </c>
      <c r="AA354" s="112">
        <v>1</v>
      </c>
      <c r="AB354" s="21">
        <f>ROUND(X354+Z354+Y354,2)*Table1[[#This Row],[Until WA Approved Only Approved this %]]</f>
        <v>77.7</v>
      </c>
      <c r="AC354" s="136">
        <v>53.13</v>
      </c>
      <c r="AD354" s="136">
        <f>Table1[[#This Row],[Total Amount]]-Table1[[#This Row],[Previous Amount]]</f>
        <v>24.57</v>
      </c>
      <c r="AE354" s="115"/>
      <c r="AG354" s="174">
        <v>77.7</v>
      </c>
      <c r="AH354" s="178">
        <f>AG354-Table1[[#This Row],[Total Amount]]</f>
        <v>0</v>
      </c>
      <c r="AI354" s="171">
        <f t="shared" si="44"/>
        <v>0</v>
      </c>
    </row>
    <row r="355" spans="1:35" ht="30" customHeight="1" x14ac:dyDescent="0.3">
      <c r="A355" s="91" t="s">
        <v>91</v>
      </c>
      <c r="B355" s="91" t="s">
        <v>98</v>
      </c>
      <c r="C355" s="109">
        <v>55</v>
      </c>
      <c r="D355" s="109">
        <v>79053</v>
      </c>
      <c r="E355" s="109">
        <v>80812</v>
      </c>
      <c r="F355" s="110" t="s">
        <v>421</v>
      </c>
      <c r="G355" s="17" t="s">
        <v>276</v>
      </c>
      <c r="H355" s="109" t="s">
        <v>222</v>
      </c>
      <c r="I355" s="109">
        <v>1</v>
      </c>
      <c r="J355" s="109">
        <v>2.5</v>
      </c>
      <c r="K355" s="109">
        <v>1</v>
      </c>
      <c r="L355" s="109">
        <v>4.7</v>
      </c>
      <c r="M355" s="109">
        <v>1</v>
      </c>
      <c r="N355" s="111" t="s">
        <v>223</v>
      </c>
      <c r="O355" s="111">
        <f t="shared" si="45"/>
        <v>4.7</v>
      </c>
      <c r="P355" s="125">
        <v>44887</v>
      </c>
      <c r="Q355" s="125">
        <v>44912</v>
      </c>
      <c r="R355" s="112">
        <v>1</v>
      </c>
      <c r="S355" s="112">
        <v>1</v>
      </c>
      <c r="T355" s="112">
        <v>1</v>
      </c>
      <c r="U355" s="113">
        <f>IF(ISBLANK(Table1[[#This Row],[OHC Date]]),$B$7-Table1[[#This Row],[HOC Date]]+1,Table1[[#This Row],[OHC Date]]-Table1[[#This Row],[HOC Date]]+1)/7</f>
        <v>3.7142857142857144</v>
      </c>
      <c r="V355" s="114">
        <v>63.34</v>
      </c>
      <c r="W355" s="114">
        <v>7.28</v>
      </c>
      <c r="X355" s="114">
        <f>ROUND(0.7*Table1[[#This Row],[E&amp;D Rate per unit]]*R355*Table1[[#This Row],[Quantity]],2)</f>
        <v>208.39</v>
      </c>
      <c r="Y355" s="114">
        <f t="shared" si="46"/>
        <v>127.09</v>
      </c>
      <c r="Z355" s="114">
        <f>ROUND(0.3*T355*Table1[[#This Row],[E&amp;D Rate per unit]]*Table1[[#This Row],[Quantity]],2)</f>
        <v>89.31</v>
      </c>
      <c r="AA355" s="112">
        <v>1</v>
      </c>
      <c r="AB355" s="21">
        <f>ROUND(X355+Z355+Y355,2)*Table1[[#This Row],[Until WA Approved Only Approved this %]]</f>
        <v>424.79</v>
      </c>
      <c r="AC355" s="136">
        <v>227.94</v>
      </c>
      <c r="AD355" s="136">
        <f>Table1[[#This Row],[Total Amount]]-Table1[[#This Row],[Previous Amount]]</f>
        <v>196.85000000000002</v>
      </c>
      <c r="AE355" s="115"/>
      <c r="AG355" s="174">
        <v>424.79</v>
      </c>
      <c r="AH355" s="178">
        <f>AG355-Table1[[#This Row],[Total Amount]]</f>
        <v>0</v>
      </c>
      <c r="AI355" s="171">
        <f t="shared" si="44"/>
        <v>0</v>
      </c>
    </row>
    <row r="356" spans="1:35" ht="30" customHeight="1" x14ac:dyDescent="0.3">
      <c r="A356" s="91" t="s">
        <v>91</v>
      </c>
      <c r="B356" s="91" t="s">
        <v>98</v>
      </c>
      <c r="C356" s="109" t="s">
        <v>445</v>
      </c>
      <c r="D356" s="109">
        <v>79053</v>
      </c>
      <c r="E356" s="109">
        <v>80812</v>
      </c>
      <c r="F356" s="110" t="s">
        <v>421</v>
      </c>
      <c r="G356" s="17" t="s">
        <v>276</v>
      </c>
      <c r="H356" s="109" t="s">
        <v>128</v>
      </c>
      <c r="I356" s="109">
        <v>1</v>
      </c>
      <c r="J356" s="109">
        <v>1</v>
      </c>
      <c r="K356" s="109">
        <v>0.5</v>
      </c>
      <c r="L356" s="109">
        <v>1</v>
      </c>
      <c r="M356" s="109">
        <v>1</v>
      </c>
      <c r="N356" s="111" t="s">
        <v>162</v>
      </c>
      <c r="O356" s="111">
        <f t="shared" si="45"/>
        <v>0.5</v>
      </c>
      <c r="P356" s="125">
        <v>44887</v>
      </c>
      <c r="Q356" s="125">
        <v>44912</v>
      </c>
      <c r="R356" s="112">
        <v>1</v>
      </c>
      <c r="S356" s="112">
        <v>1</v>
      </c>
      <c r="T356" s="112">
        <v>1</v>
      </c>
      <c r="U356" s="113">
        <f>IF(ISBLANK(Table1[[#This Row],[OHC Date]]),$B$7-Table1[[#This Row],[HOC Date]]+1,Table1[[#This Row],[OHC Date]]-Table1[[#This Row],[HOC Date]]+1)/7</f>
        <v>3.7142857142857144</v>
      </c>
      <c r="V356" s="114">
        <v>32.75</v>
      </c>
      <c r="W356" s="114">
        <v>1.05</v>
      </c>
      <c r="X356" s="114">
        <f>ROUND(0.7*Table1[[#This Row],[E&amp;D Rate per unit]]*R356*Table1[[#This Row],[Quantity]],2)</f>
        <v>11.46</v>
      </c>
      <c r="Y356" s="114">
        <f t="shared" si="46"/>
        <v>1.95</v>
      </c>
      <c r="Z356" s="114">
        <f>ROUND(0.3*T356*Table1[[#This Row],[E&amp;D Rate per unit]]*Table1[[#This Row],[Quantity]],2)</f>
        <v>4.91</v>
      </c>
      <c r="AA356" s="112">
        <v>1</v>
      </c>
      <c r="AB356" s="21">
        <f>ROUND(X356+Z356+Y356,2)*Table1[[#This Row],[Until WA Approved Only Approved this %]]</f>
        <v>18.32</v>
      </c>
      <c r="AC356" s="136">
        <v>11.76</v>
      </c>
      <c r="AD356" s="136">
        <f>Table1[[#This Row],[Total Amount]]-Table1[[#This Row],[Previous Amount]]</f>
        <v>6.5600000000000005</v>
      </c>
      <c r="AE356" s="115"/>
      <c r="AG356" s="174">
        <v>18.32</v>
      </c>
      <c r="AH356" s="178">
        <f>AG356-Table1[[#This Row],[Total Amount]]</f>
        <v>0</v>
      </c>
      <c r="AI356" s="171">
        <f t="shared" si="44"/>
        <v>0</v>
      </c>
    </row>
    <row r="357" spans="1:35" ht="30" customHeight="1" x14ac:dyDescent="0.3">
      <c r="A357" s="91" t="s">
        <v>91</v>
      </c>
      <c r="B357" s="91" t="s">
        <v>98</v>
      </c>
      <c r="C357" s="109">
        <v>55</v>
      </c>
      <c r="D357" s="109">
        <v>79053</v>
      </c>
      <c r="E357" s="109">
        <v>80812</v>
      </c>
      <c r="F357" s="110" t="s">
        <v>421</v>
      </c>
      <c r="G357" s="17" t="s">
        <v>276</v>
      </c>
      <c r="H357" s="109" t="s">
        <v>423</v>
      </c>
      <c r="I357" s="109">
        <v>1</v>
      </c>
      <c r="J357" s="109">
        <v>25</v>
      </c>
      <c r="K357" s="109">
        <v>1</v>
      </c>
      <c r="L357" s="109">
        <v>1</v>
      </c>
      <c r="M357" s="109">
        <v>1</v>
      </c>
      <c r="N357" s="111" t="s">
        <v>208</v>
      </c>
      <c r="O357" s="111">
        <f t="shared" si="45"/>
        <v>25</v>
      </c>
      <c r="P357" s="125">
        <v>44887</v>
      </c>
      <c r="Q357" s="125">
        <v>44912</v>
      </c>
      <c r="R357" s="112">
        <v>1</v>
      </c>
      <c r="S357" s="112">
        <v>1</v>
      </c>
      <c r="T357" s="112">
        <v>1</v>
      </c>
      <c r="U357" s="113">
        <f>IF(ISBLANK(Table1[[#This Row],[OHC Date]]),$B$7-Table1[[#This Row],[HOC Date]]+1,Table1[[#This Row],[OHC Date]]-Table1[[#This Row],[HOC Date]]+1)/7</f>
        <v>3.7142857142857144</v>
      </c>
      <c r="V357" s="114">
        <v>8.52</v>
      </c>
      <c r="W357" s="114">
        <v>0</v>
      </c>
      <c r="X357" s="114">
        <f>ROUND(0.7*Table1[[#This Row],[E&amp;D Rate per unit]]*R357*Table1[[#This Row],[Quantity]],2)</f>
        <v>149.1</v>
      </c>
      <c r="Y357" s="114">
        <f t="shared" si="46"/>
        <v>0</v>
      </c>
      <c r="Z357" s="114">
        <f>ROUND(0.3*T357*Table1[[#This Row],[E&amp;D Rate per unit]]*Table1[[#This Row],[Quantity]],2)</f>
        <v>63.9</v>
      </c>
      <c r="AA357" s="112">
        <v>1</v>
      </c>
      <c r="AB357" s="21">
        <f>ROUND(X357+Z357+Y357,2)*Table1[[#This Row],[Until WA Approved Only Approved this %]]</f>
        <v>213</v>
      </c>
      <c r="AC357" s="136">
        <v>149.1</v>
      </c>
      <c r="AD357" s="136">
        <f>Table1[[#This Row],[Total Amount]]-Table1[[#This Row],[Previous Amount]]</f>
        <v>63.900000000000006</v>
      </c>
      <c r="AE357" s="115"/>
      <c r="AG357" s="174">
        <v>213</v>
      </c>
      <c r="AH357" s="178">
        <f>AG357-Table1[[#This Row],[Total Amount]]</f>
        <v>0</v>
      </c>
      <c r="AI357" s="171">
        <f t="shared" si="44"/>
        <v>0</v>
      </c>
    </row>
    <row r="358" spans="1:35" ht="30" customHeight="1" x14ac:dyDescent="0.3">
      <c r="A358" s="91" t="s">
        <v>91</v>
      </c>
      <c r="B358" s="91" t="s">
        <v>98</v>
      </c>
      <c r="C358" s="109" t="s">
        <v>446</v>
      </c>
      <c r="D358" s="109">
        <v>79054</v>
      </c>
      <c r="E358" s="109">
        <v>76850</v>
      </c>
      <c r="F358" s="110" t="s">
        <v>421</v>
      </c>
      <c r="G358" s="17" t="s">
        <v>447</v>
      </c>
      <c r="H358" s="109" t="s">
        <v>129</v>
      </c>
      <c r="I358" s="109">
        <v>1</v>
      </c>
      <c r="J358" s="109">
        <v>1.5</v>
      </c>
      <c r="K358" s="109">
        <v>1.2</v>
      </c>
      <c r="L358" s="109">
        <v>1</v>
      </c>
      <c r="M358" s="109">
        <v>1</v>
      </c>
      <c r="N358" s="111" t="s">
        <v>162</v>
      </c>
      <c r="O358" s="111">
        <f t="shared" si="45"/>
        <v>1.8</v>
      </c>
      <c r="P358" s="125">
        <v>44887</v>
      </c>
      <c r="Q358" s="125">
        <v>44907</v>
      </c>
      <c r="R358" s="112">
        <v>1</v>
      </c>
      <c r="S358" s="112">
        <v>1</v>
      </c>
      <c r="T358" s="112">
        <v>1</v>
      </c>
      <c r="U358" s="113">
        <f>IF(ISBLANK(Table1[[#This Row],[OHC Date]]),$B$7-Table1[[#This Row],[HOC Date]]+1,Table1[[#This Row],[OHC Date]]-Table1[[#This Row],[HOC Date]]+1)/7</f>
        <v>3</v>
      </c>
      <c r="V358" s="114">
        <v>36.520000000000003</v>
      </c>
      <c r="W358" s="114">
        <v>2.94</v>
      </c>
      <c r="X358" s="114">
        <f>ROUND(0.7*Table1[[#This Row],[E&amp;D Rate per unit]]*R358*Table1[[#This Row],[Quantity]],2)</f>
        <v>46.02</v>
      </c>
      <c r="Y358" s="114">
        <f t="shared" si="46"/>
        <v>15.88</v>
      </c>
      <c r="Z358" s="114">
        <f>ROUND(0.3*T358*Table1[[#This Row],[E&amp;D Rate per unit]]*Table1[[#This Row],[Quantity]],2)</f>
        <v>19.72</v>
      </c>
      <c r="AA358" s="112">
        <v>1</v>
      </c>
      <c r="AB358" s="21">
        <f>ROUND(X358+Z358+Y358,2)*Table1[[#This Row],[Until WA Approved Only Approved this %]]</f>
        <v>81.62</v>
      </c>
      <c r="AC358" s="136">
        <v>49.04</v>
      </c>
      <c r="AD358" s="136">
        <f>Table1[[#This Row],[Total Amount]]-Table1[[#This Row],[Previous Amount]]</f>
        <v>32.580000000000005</v>
      </c>
      <c r="AE358" s="115"/>
      <c r="AG358" s="174">
        <v>81.62</v>
      </c>
      <c r="AH358" s="178">
        <f>AG358-Table1[[#This Row],[Total Amount]]</f>
        <v>0</v>
      </c>
      <c r="AI358" s="171">
        <f t="shared" si="44"/>
        <v>0</v>
      </c>
    </row>
    <row r="359" spans="1:35" ht="30" customHeight="1" x14ac:dyDescent="0.3">
      <c r="A359" s="141" t="s">
        <v>429</v>
      </c>
      <c r="B359" s="91" t="s">
        <v>98</v>
      </c>
      <c r="C359" s="109">
        <v>56</v>
      </c>
      <c r="D359" s="109">
        <v>79055</v>
      </c>
      <c r="E359" s="109"/>
      <c r="F359" s="110" t="s">
        <v>430</v>
      </c>
      <c r="G359" s="17" t="s">
        <v>280</v>
      </c>
      <c r="H359" s="109" t="s">
        <v>222</v>
      </c>
      <c r="I359" s="109">
        <v>1</v>
      </c>
      <c r="J359" s="109">
        <v>2.5</v>
      </c>
      <c r="K359" s="109">
        <v>1</v>
      </c>
      <c r="L359" s="109">
        <v>3.5</v>
      </c>
      <c r="M359" s="109">
        <v>1</v>
      </c>
      <c r="N359" s="111" t="s">
        <v>56</v>
      </c>
      <c r="O359" s="111">
        <f t="shared" si="45"/>
        <v>1</v>
      </c>
      <c r="P359" s="125">
        <v>44888</v>
      </c>
      <c r="Q359" s="125"/>
      <c r="R359" s="112">
        <v>1</v>
      </c>
      <c r="S359" s="112">
        <v>1</v>
      </c>
      <c r="T359" s="112">
        <v>0</v>
      </c>
      <c r="U359" s="113">
        <f>IF(ISBLANK(Table1[[#This Row],[OHC Date]]),$B$7-Table1[[#This Row],[HOC Date]]+1,Table1[[#This Row],[OHC Date]]-Table1[[#This Row],[HOC Date]]+1)/7</f>
        <v>4.7142857142857144</v>
      </c>
      <c r="V359" s="114">
        <v>1278.3599999999999</v>
      </c>
      <c r="W359" s="114">
        <v>29.12</v>
      </c>
      <c r="X359" s="114">
        <f>ROUND(0.7*Table1[[#This Row],[E&amp;D Rate per unit]]*R359*Table1[[#This Row],[Quantity]],2)</f>
        <v>894.85</v>
      </c>
      <c r="Y359" s="114">
        <f t="shared" si="46"/>
        <v>137.28</v>
      </c>
      <c r="Z359" s="114">
        <f>ROUND(0.3*T359*Table1[[#This Row],[E&amp;D Rate per unit]]*Table1[[#This Row],[Quantity]],2)</f>
        <v>0</v>
      </c>
      <c r="AA359" s="19">
        <v>1</v>
      </c>
      <c r="AB359" s="163">
        <f>ROUND(X359+Z359+Y359,2)*Table1[[#This Row],[Until WA Approved Only Approved this %]]/4*3.5</f>
        <v>903.1137500000001</v>
      </c>
      <c r="AC359" s="136">
        <v>907.33</v>
      </c>
      <c r="AD359" s="136">
        <f>Table1[[#This Row],[Total Amount]]-Table1[[#This Row],[Previous Amount]]</f>
        <v>-4.2162499999999454</v>
      </c>
      <c r="AE359" s="142" t="s">
        <v>448</v>
      </c>
      <c r="AG359" s="174">
        <v>1032.1300000000001</v>
      </c>
      <c r="AH359" s="178">
        <f>AG359-Table1[[#This Row],[Total Amount]]</f>
        <v>129.01625000000001</v>
      </c>
      <c r="AI359" s="171">
        <f t="shared" si="44"/>
        <v>0.125</v>
      </c>
    </row>
    <row r="360" spans="1:35" ht="30" customHeight="1" x14ac:dyDescent="0.3">
      <c r="A360" s="91" t="s">
        <v>91</v>
      </c>
      <c r="B360" s="91" t="s">
        <v>98</v>
      </c>
      <c r="C360" s="109" t="s">
        <v>449</v>
      </c>
      <c r="D360" s="109">
        <v>79055</v>
      </c>
      <c r="E360" s="109"/>
      <c r="F360" s="110" t="s">
        <v>430</v>
      </c>
      <c r="G360" s="17" t="s">
        <v>280</v>
      </c>
      <c r="H360" s="109" t="s">
        <v>129</v>
      </c>
      <c r="I360" s="109">
        <v>1</v>
      </c>
      <c r="J360" s="109">
        <v>1.5</v>
      </c>
      <c r="K360" s="109">
        <v>1</v>
      </c>
      <c r="L360" s="109">
        <v>1</v>
      </c>
      <c r="M360" s="109">
        <v>1</v>
      </c>
      <c r="N360" s="111" t="s">
        <v>162</v>
      </c>
      <c r="O360" s="111">
        <f t="shared" si="45"/>
        <v>1.5</v>
      </c>
      <c r="P360" s="125">
        <v>44888</v>
      </c>
      <c r="Q360" s="125"/>
      <c r="R360" s="112">
        <v>1</v>
      </c>
      <c r="S360" s="112">
        <v>1</v>
      </c>
      <c r="T360" s="112">
        <v>0</v>
      </c>
      <c r="U360" s="113">
        <f>IF(ISBLANK(Table1[[#This Row],[OHC Date]]),$B$7-Table1[[#This Row],[HOC Date]]+1,Table1[[#This Row],[OHC Date]]-Table1[[#This Row],[HOC Date]]+1)/7</f>
        <v>4.7142857142857144</v>
      </c>
      <c r="V360" s="114">
        <v>36.520000000000003</v>
      </c>
      <c r="W360" s="114">
        <v>2.94</v>
      </c>
      <c r="X360" s="114">
        <f>ROUND(0.7*Table1[[#This Row],[E&amp;D Rate per unit]]*R360*Table1[[#This Row],[Quantity]],2)</f>
        <v>38.35</v>
      </c>
      <c r="Y360" s="114">
        <f t="shared" si="46"/>
        <v>20.79</v>
      </c>
      <c r="Z360" s="114">
        <f>ROUND(0.3*T360*Table1[[#This Row],[E&amp;D Rate per unit]]*Table1[[#This Row],[Quantity]],2)</f>
        <v>0</v>
      </c>
      <c r="AA360" s="112">
        <v>1</v>
      </c>
      <c r="AB360" s="21">
        <f>ROUND(X360+Z360+Y360,2)*Table1[[#This Row],[Until WA Approved Only Approved this %]]</f>
        <v>59.14</v>
      </c>
      <c r="AC360" s="136">
        <v>40.24</v>
      </c>
      <c r="AD360" s="136">
        <f>Table1[[#This Row],[Total Amount]]-Table1[[#This Row],[Previous Amount]]</f>
        <v>18.899999999999999</v>
      </c>
      <c r="AE360" s="115"/>
      <c r="AG360" s="174">
        <v>59.14</v>
      </c>
      <c r="AH360" s="178">
        <f>AG360-Table1[[#This Row],[Total Amount]]</f>
        <v>0</v>
      </c>
      <c r="AI360" s="171">
        <f t="shared" si="44"/>
        <v>0</v>
      </c>
    </row>
    <row r="361" spans="1:35" ht="30" customHeight="1" x14ac:dyDescent="0.3">
      <c r="A361" s="141" t="s">
        <v>429</v>
      </c>
      <c r="B361" s="91" t="s">
        <v>98</v>
      </c>
      <c r="C361" s="109">
        <v>57</v>
      </c>
      <c r="D361" s="109">
        <v>79056</v>
      </c>
      <c r="E361" s="109"/>
      <c r="F361" s="110" t="s">
        <v>430</v>
      </c>
      <c r="G361" s="17" t="s">
        <v>450</v>
      </c>
      <c r="H361" s="109" t="s">
        <v>222</v>
      </c>
      <c r="I361" s="109">
        <v>1</v>
      </c>
      <c r="J361" s="109">
        <v>2.5</v>
      </c>
      <c r="K361" s="109">
        <v>1</v>
      </c>
      <c r="L361" s="109">
        <v>6</v>
      </c>
      <c r="M361" s="109">
        <v>3</v>
      </c>
      <c r="N361" s="111" t="s">
        <v>56</v>
      </c>
      <c r="O361" s="111">
        <f t="shared" si="45"/>
        <v>1</v>
      </c>
      <c r="P361" s="125">
        <v>44888</v>
      </c>
      <c r="Q361" s="125"/>
      <c r="R361" s="112">
        <v>1</v>
      </c>
      <c r="S361" s="112">
        <v>1</v>
      </c>
      <c r="T361" s="112">
        <v>0</v>
      </c>
      <c r="U361" s="113">
        <f>IF(ISBLANK(Table1[[#This Row],[OHC Date]]),$B$7-Table1[[#This Row],[HOC Date]]+1,Table1[[#This Row],[OHC Date]]-Table1[[#This Row],[HOC Date]]+1)/7</f>
        <v>4.7142857142857144</v>
      </c>
      <c r="V361" s="114">
        <v>1783.37</v>
      </c>
      <c r="W361" s="114">
        <v>40.04</v>
      </c>
      <c r="X361" s="114">
        <f>ROUND(0.7*Table1[[#This Row],[E&amp;D Rate per unit]]*R361*Table1[[#This Row],[Quantity]],2)</f>
        <v>1248.3599999999999</v>
      </c>
      <c r="Y361" s="114">
        <f t="shared" si="46"/>
        <v>188.76</v>
      </c>
      <c r="Z361" s="114">
        <f>ROUND(0.3*T361*Table1[[#This Row],[E&amp;D Rate per unit]]*Table1[[#This Row],[Quantity]],2)</f>
        <v>0</v>
      </c>
      <c r="AA361" s="19">
        <v>1</v>
      </c>
      <c r="AB361" s="21">
        <f>ROUND(X361+Z361+Y361,2)*Table1[[#This Row],[Until WA Approved Only Approved this %]]</f>
        <v>1437.12</v>
      </c>
      <c r="AC361" s="136">
        <v>1265.52</v>
      </c>
      <c r="AD361" s="136">
        <f>Table1[[#This Row],[Total Amount]]-Table1[[#This Row],[Previous Amount]]</f>
        <v>171.59999999999991</v>
      </c>
      <c r="AE361" s="142" t="s">
        <v>451</v>
      </c>
      <c r="AG361" s="174">
        <v>1437.12</v>
      </c>
      <c r="AH361" s="178">
        <f>AG361-Table1[[#This Row],[Total Amount]]</f>
        <v>0</v>
      </c>
      <c r="AI361" s="171">
        <f t="shared" si="44"/>
        <v>0</v>
      </c>
    </row>
    <row r="362" spans="1:35" ht="30" customHeight="1" x14ac:dyDescent="0.3">
      <c r="A362" s="91" t="s">
        <v>91</v>
      </c>
      <c r="B362" s="91" t="s">
        <v>98</v>
      </c>
      <c r="C362" s="109" t="s">
        <v>452</v>
      </c>
      <c r="D362" s="109">
        <v>79056</v>
      </c>
      <c r="E362" s="109"/>
      <c r="F362" s="110" t="s">
        <v>430</v>
      </c>
      <c r="G362" s="17" t="s">
        <v>450</v>
      </c>
      <c r="H362" s="109" t="s">
        <v>129</v>
      </c>
      <c r="I362" s="109">
        <v>1</v>
      </c>
      <c r="J362" s="109">
        <v>1</v>
      </c>
      <c r="K362" s="109">
        <v>1</v>
      </c>
      <c r="L362" s="109">
        <v>1</v>
      </c>
      <c r="M362" s="109">
        <v>1</v>
      </c>
      <c r="N362" s="111" t="s">
        <v>162</v>
      </c>
      <c r="O362" s="111">
        <f t="shared" si="45"/>
        <v>1</v>
      </c>
      <c r="P362" s="125">
        <v>44888</v>
      </c>
      <c r="Q362" s="125"/>
      <c r="R362" s="112">
        <v>1</v>
      </c>
      <c r="S362" s="112">
        <v>1</v>
      </c>
      <c r="T362" s="112">
        <v>0</v>
      </c>
      <c r="U362" s="113">
        <f>IF(ISBLANK(Table1[[#This Row],[OHC Date]]),$B$7-Table1[[#This Row],[HOC Date]]+1,Table1[[#This Row],[OHC Date]]-Table1[[#This Row],[HOC Date]]+1)/7</f>
        <v>4.7142857142857144</v>
      </c>
      <c r="V362" s="114">
        <v>36.520000000000003</v>
      </c>
      <c r="W362" s="114">
        <v>2.94</v>
      </c>
      <c r="X362" s="114">
        <f>ROUND(0.7*Table1[[#This Row],[E&amp;D Rate per unit]]*R362*Table1[[#This Row],[Quantity]],2)</f>
        <v>25.56</v>
      </c>
      <c r="Y362" s="114">
        <f t="shared" si="46"/>
        <v>13.86</v>
      </c>
      <c r="Z362" s="114">
        <f>ROUND(0.3*T362*Table1[[#This Row],[E&amp;D Rate per unit]]*Table1[[#This Row],[Quantity]],2)</f>
        <v>0</v>
      </c>
      <c r="AA362" s="112">
        <v>1</v>
      </c>
      <c r="AB362" s="21">
        <f>ROUND(X362+Z362+Y362,2)*Table1[[#This Row],[Until WA Approved Only Approved this %]]</f>
        <v>39.42</v>
      </c>
      <c r="AC362" s="136">
        <v>26.82</v>
      </c>
      <c r="AD362" s="136">
        <f>Table1[[#This Row],[Total Amount]]-Table1[[#This Row],[Previous Amount]]</f>
        <v>12.600000000000001</v>
      </c>
      <c r="AE362" s="115"/>
      <c r="AG362" s="174">
        <v>39.42</v>
      </c>
      <c r="AH362" s="178">
        <f>AG362-Table1[[#This Row],[Total Amount]]</f>
        <v>0</v>
      </c>
      <c r="AI362" s="171">
        <f t="shared" si="44"/>
        <v>0</v>
      </c>
    </row>
    <row r="363" spans="1:35" ht="30" customHeight="1" x14ac:dyDescent="0.3">
      <c r="A363" s="141" t="s">
        <v>429</v>
      </c>
      <c r="B363" s="91" t="s">
        <v>98</v>
      </c>
      <c r="C363" s="109">
        <v>58</v>
      </c>
      <c r="D363" s="109">
        <v>79057</v>
      </c>
      <c r="E363" s="109"/>
      <c r="F363" s="110" t="s">
        <v>430</v>
      </c>
      <c r="G363" s="17" t="s">
        <v>307</v>
      </c>
      <c r="H363" s="109" t="s">
        <v>222</v>
      </c>
      <c r="I363" s="109">
        <v>1</v>
      </c>
      <c r="J363" s="109">
        <v>2.5</v>
      </c>
      <c r="K363" s="109">
        <v>1</v>
      </c>
      <c r="L363" s="109">
        <v>3.5</v>
      </c>
      <c r="M363" s="109">
        <v>1</v>
      </c>
      <c r="N363" s="111" t="s">
        <v>56</v>
      </c>
      <c r="O363" s="111">
        <f t="shared" si="45"/>
        <v>1</v>
      </c>
      <c r="P363" s="125">
        <v>44888</v>
      </c>
      <c r="Q363" s="125"/>
      <c r="R363" s="112">
        <v>1</v>
      </c>
      <c r="S363" s="112">
        <v>1</v>
      </c>
      <c r="T363" s="112">
        <v>0</v>
      </c>
      <c r="U363" s="113">
        <f>IF(ISBLANK(Table1[[#This Row],[OHC Date]]),$B$7-Table1[[#This Row],[HOC Date]]+1,Table1[[#This Row],[OHC Date]]-Table1[[#This Row],[HOC Date]]+1)/7</f>
        <v>4.7142857142857144</v>
      </c>
      <c r="V363" s="114">
        <v>1278.3599999999999</v>
      </c>
      <c r="W363" s="114">
        <v>29.12</v>
      </c>
      <c r="X363" s="114">
        <f>ROUND(0.7*Table1[[#This Row],[E&amp;D Rate per unit]]*R363*Table1[[#This Row],[Quantity]],2)</f>
        <v>894.85</v>
      </c>
      <c r="Y363" s="114">
        <f t="shared" si="46"/>
        <v>137.28</v>
      </c>
      <c r="Z363" s="114">
        <f>ROUND(0.3*T363*Table1[[#This Row],[E&amp;D Rate per unit]]*Table1[[#This Row],[Quantity]],2)</f>
        <v>0</v>
      </c>
      <c r="AA363" s="19">
        <v>1</v>
      </c>
      <c r="AB363" s="163">
        <f>ROUND(X363+Z363+Y363,2)*Table1[[#This Row],[Until WA Approved Only Approved this %]]/4*3.5</f>
        <v>903.1137500000001</v>
      </c>
      <c r="AC363" s="136">
        <v>907.33</v>
      </c>
      <c r="AD363" s="136">
        <f>Table1[[#This Row],[Total Amount]]-Table1[[#This Row],[Previous Amount]]</f>
        <v>-4.2162499999999454</v>
      </c>
      <c r="AE363" s="142" t="s">
        <v>453</v>
      </c>
      <c r="AG363" s="174">
        <v>1032.1300000000001</v>
      </c>
      <c r="AH363" s="178">
        <f>AG363-Table1[[#This Row],[Total Amount]]</f>
        <v>129.01625000000001</v>
      </c>
      <c r="AI363" s="171">
        <f t="shared" si="44"/>
        <v>0.125</v>
      </c>
    </row>
    <row r="364" spans="1:35" ht="30" customHeight="1" x14ac:dyDescent="0.3">
      <c r="A364" s="91" t="s">
        <v>91</v>
      </c>
      <c r="B364" s="91" t="s">
        <v>98</v>
      </c>
      <c r="C364" s="109" t="s">
        <v>454</v>
      </c>
      <c r="D364" s="109">
        <v>79057</v>
      </c>
      <c r="E364" s="109"/>
      <c r="F364" s="110" t="s">
        <v>430</v>
      </c>
      <c r="G364" s="17" t="s">
        <v>307</v>
      </c>
      <c r="H364" s="109" t="s">
        <v>129</v>
      </c>
      <c r="I364" s="109">
        <v>1</v>
      </c>
      <c r="J364" s="109">
        <v>1.5</v>
      </c>
      <c r="K364" s="109">
        <v>1</v>
      </c>
      <c r="L364" s="109">
        <v>1</v>
      </c>
      <c r="M364" s="109">
        <v>1</v>
      </c>
      <c r="N364" s="111" t="s">
        <v>162</v>
      </c>
      <c r="O364" s="111">
        <f t="shared" si="45"/>
        <v>1.5</v>
      </c>
      <c r="P364" s="125">
        <v>44888</v>
      </c>
      <c r="Q364" s="125"/>
      <c r="R364" s="112">
        <v>1</v>
      </c>
      <c r="S364" s="112">
        <v>1</v>
      </c>
      <c r="T364" s="112">
        <v>0</v>
      </c>
      <c r="U364" s="113">
        <f>IF(ISBLANK(Table1[[#This Row],[OHC Date]]),$B$7-Table1[[#This Row],[HOC Date]]+1,Table1[[#This Row],[OHC Date]]-Table1[[#This Row],[HOC Date]]+1)/7</f>
        <v>4.7142857142857144</v>
      </c>
      <c r="V364" s="114">
        <v>36.520000000000003</v>
      </c>
      <c r="W364" s="114">
        <v>2.94</v>
      </c>
      <c r="X364" s="114">
        <f>ROUND(0.7*Table1[[#This Row],[E&amp;D Rate per unit]]*R364*Table1[[#This Row],[Quantity]],2)</f>
        <v>38.35</v>
      </c>
      <c r="Y364" s="114">
        <f t="shared" si="46"/>
        <v>20.79</v>
      </c>
      <c r="Z364" s="114">
        <f>ROUND(0.3*T364*Table1[[#This Row],[E&amp;D Rate per unit]]*Table1[[#This Row],[Quantity]],2)</f>
        <v>0</v>
      </c>
      <c r="AA364" s="112">
        <v>1</v>
      </c>
      <c r="AB364" s="21">
        <f>ROUND(X364+Z364+Y364,2)*Table1[[#This Row],[Until WA Approved Only Approved this %]]</f>
        <v>59.14</v>
      </c>
      <c r="AC364" s="136">
        <v>40.24</v>
      </c>
      <c r="AD364" s="136">
        <f>Table1[[#This Row],[Total Amount]]-Table1[[#This Row],[Previous Amount]]</f>
        <v>18.899999999999999</v>
      </c>
      <c r="AE364" s="115"/>
      <c r="AG364" s="174">
        <v>59.14</v>
      </c>
      <c r="AH364" s="178">
        <f>AG364-Table1[[#This Row],[Total Amount]]</f>
        <v>0</v>
      </c>
      <c r="AI364" s="171">
        <f t="shared" si="44"/>
        <v>0</v>
      </c>
    </row>
    <row r="365" spans="1:35" ht="30" customHeight="1" x14ac:dyDescent="0.3">
      <c r="A365" s="141" t="s">
        <v>429</v>
      </c>
      <c r="B365" s="91" t="s">
        <v>98</v>
      </c>
      <c r="C365" s="109">
        <v>59</v>
      </c>
      <c r="D365" s="109">
        <v>79058</v>
      </c>
      <c r="E365" s="109"/>
      <c r="F365" s="110" t="s">
        <v>430</v>
      </c>
      <c r="G365" s="17" t="s">
        <v>276</v>
      </c>
      <c r="H365" s="109" t="s">
        <v>222</v>
      </c>
      <c r="I365" s="109">
        <v>1</v>
      </c>
      <c r="J365" s="109">
        <v>2.5</v>
      </c>
      <c r="K365" s="109">
        <v>1</v>
      </c>
      <c r="L365" s="109">
        <v>3.5</v>
      </c>
      <c r="M365" s="109">
        <v>1</v>
      </c>
      <c r="N365" s="111" t="s">
        <v>56</v>
      </c>
      <c r="O365" s="111">
        <f t="shared" si="45"/>
        <v>1</v>
      </c>
      <c r="P365" s="125">
        <v>44889</v>
      </c>
      <c r="Q365" s="125"/>
      <c r="R365" s="112">
        <v>1</v>
      </c>
      <c r="S365" s="112">
        <v>1</v>
      </c>
      <c r="T365" s="112">
        <v>0</v>
      </c>
      <c r="U365" s="113">
        <f>IF(ISBLANK(Table1[[#This Row],[OHC Date]]),$B$7-Table1[[#This Row],[HOC Date]]+1,Table1[[#This Row],[OHC Date]]-Table1[[#This Row],[HOC Date]]+1)/7</f>
        <v>4.5714285714285712</v>
      </c>
      <c r="V365" s="114">
        <v>1278.3599999999999</v>
      </c>
      <c r="W365" s="114">
        <v>29.12</v>
      </c>
      <c r="X365" s="114">
        <f>ROUND(0.7*Table1[[#This Row],[E&amp;D Rate per unit]]*R365*Table1[[#This Row],[Quantity]],2)</f>
        <v>894.85</v>
      </c>
      <c r="Y365" s="114">
        <f t="shared" si="46"/>
        <v>133.12</v>
      </c>
      <c r="Z365" s="114">
        <f>ROUND(0.3*T365*Table1[[#This Row],[E&amp;D Rate per unit]]*Table1[[#This Row],[Quantity]],2)</f>
        <v>0</v>
      </c>
      <c r="AA365" s="19">
        <v>1</v>
      </c>
      <c r="AB365" s="163">
        <f>ROUND(X365+Z365+Y365,2)*Table1[[#This Row],[Until WA Approved Only Approved this %]]/4*3.5</f>
        <v>899.47375</v>
      </c>
      <c r="AC365" s="136">
        <v>903.17</v>
      </c>
      <c r="AD365" s="136">
        <f>Table1[[#This Row],[Total Amount]]-Table1[[#This Row],[Previous Amount]]</f>
        <v>-3.6962499999999636</v>
      </c>
      <c r="AE365" s="142" t="s">
        <v>455</v>
      </c>
      <c r="AG365" s="174">
        <v>1027.97</v>
      </c>
      <c r="AH365" s="178">
        <f>AG365-Table1[[#This Row],[Total Amount]]</f>
        <v>128.49625000000003</v>
      </c>
      <c r="AI365" s="171">
        <f t="shared" si="44"/>
        <v>0.12500000000000003</v>
      </c>
    </row>
    <row r="366" spans="1:35" ht="30" customHeight="1" x14ac:dyDescent="0.3">
      <c r="A366" s="91" t="s">
        <v>91</v>
      </c>
      <c r="B366" s="91" t="s">
        <v>98</v>
      </c>
      <c r="C366" s="109" t="s">
        <v>456</v>
      </c>
      <c r="D366" s="109">
        <v>79058</v>
      </c>
      <c r="E366" s="109"/>
      <c r="F366" s="110" t="s">
        <v>430</v>
      </c>
      <c r="G366" s="17" t="s">
        <v>276</v>
      </c>
      <c r="H366" s="109" t="s">
        <v>129</v>
      </c>
      <c r="I366" s="109">
        <v>1</v>
      </c>
      <c r="J366" s="109">
        <v>1.5</v>
      </c>
      <c r="K366" s="109">
        <v>1</v>
      </c>
      <c r="L366" s="109">
        <v>1</v>
      </c>
      <c r="M366" s="109">
        <v>1</v>
      </c>
      <c r="N366" s="111" t="s">
        <v>162</v>
      </c>
      <c r="O366" s="111">
        <f t="shared" si="45"/>
        <v>1.5</v>
      </c>
      <c r="P366" s="125">
        <v>44889</v>
      </c>
      <c r="Q366" s="125"/>
      <c r="R366" s="112">
        <v>1</v>
      </c>
      <c r="S366" s="112">
        <v>1</v>
      </c>
      <c r="T366" s="112">
        <v>0</v>
      </c>
      <c r="U366" s="113">
        <f>IF(ISBLANK(Table1[[#This Row],[OHC Date]]),$B$7-Table1[[#This Row],[HOC Date]]+1,Table1[[#This Row],[OHC Date]]-Table1[[#This Row],[HOC Date]]+1)/7</f>
        <v>4.5714285714285712</v>
      </c>
      <c r="V366" s="114">
        <v>36.520000000000003</v>
      </c>
      <c r="W366" s="114">
        <v>2.94</v>
      </c>
      <c r="X366" s="114">
        <f>ROUND(0.7*Table1[[#This Row],[E&amp;D Rate per unit]]*R366*Table1[[#This Row],[Quantity]],2)</f>
        <v>38.35</v>
      </c>
      <c r="Y366" s="114">
        <f t="shared" si="46"/>
        <v>20.16</v>
      </c>
      <c r="Z366" s="114">
        <f>ROUND(0.3*T366*Table1[[#This Row],[E&amp;D Rate per unit]]*Table1[[#This Row],[Quantity]],2)</f>
        <v>0</v>
      </c>
      <c r="AA366" s="112">
        <v>1</v>
      </c>
      <c r="AB366" s="21">
        <f>ROUND(X366+Z366+Y366,2)*Table1[[#This Row],[Until WA Approved Only Approved this %]]</f>
        <v>58.51</v>
      </c>
      <c r="AC366" s="136">
        <v>39.61</v>
      </c>
      <c r="AD366" s="136">
        <f>Table1[[#This Row],[Total Amount]]-Table1[[#This Row],[Previous Amount]]</f>
        <v>18.899999999999999</v>
      </c>
      <c r="AE366" s="115"/>
      <c r="AG366" s="174">
        <v>58.51</v>
      </c>
      <c r="AH366" s="178">
        <f>AG366-Table1[[#This Row],[Total Amount]]</f>
        <v>0</v>
      </c>
      <c r="AI366" s="171">
        <f t="shared" si="44"/>
        <v>0</v>
      </c>
    </row>
    <row r="367" spans="1:35" ht="30" customHeight="1" x14ac:dyDescent="0.3">
      <c r="A367" s="91" t="s">
        <v>91</v>
      </c>
      <c r="B367" s="91" t="s">
        <v>98</v>
      </c>
      <c r="C367" s="109" t="s">
        <v>457</v>
      </c>
      <c r="D367" s="109">
        <v>79059</v>
      </c>
      <c r="E367" s="109">
        <v>76846</v>
      </c>
      <c r="F367" s="110" t="s">
        <v>437</v>
      </c>
      <c r="G367" s="17" t="s">
        <v>228</v>
      </c>
      <c r="H367" s="16" t="s">
        <v>207</v>
      </c>
      <c r="I367" s="109">
        <v>1</v>
      </c>
      <c r="J367" s="109">
        <v>4.0999999999999996</v>
      </c>
      <c r="K367" s="109">
        <v>1.3</v>
      </c>
      <c r="L367" s="109">
        <v>1.5</v>
      </c>
      <c r="M367" s="109">
        <v>1</v>
      </c>
      <c r="N367" s="111" t="s">
        <v>208</v>
      </c>
      <c r="O367" s="111">
        <f t="shared" si="45"/>
        <v>6.15</v>
      </c>
      <c r="P367" s="125">
        <v>44889</v>
      </c>
      <c r="Q367" s="125">
        <v>44905</v>
      </c>
      <c r="R367" s="112">
        <v>1</v>
      </c>
      <c r="S367" s="112">
        <v>1</v>
      </c>
      <c r="T367" s="112">
        <v>1</v>
      </c>
      <c r="U367" s="113">
        <f>IF(ISBLANK(Table1[[#This Row],[OHC Date]]),$B$7-Table1[[#This Row],[HOC Date]]+1,Table1[[#This Row],[OHC Date]]-Table1[[#This Row],[HOC Date]]+1)/7</f>
        <v>2.4285714285714284</v>
      </c>
      <c r="V367" s="114">
        <v>12.01</v>
      </c>
      <c r="W367" s="114">
        <v>0.49</v>
      </c>
      <c r="X367" s="114">
        <f>ROUND(0.7*Table1[[#This Row],[E&amp;D Rate per unit]]*R367*Table1[[#This Row],[Quantity]],2)</f>
        <v>51.7</v>
      </c>
      <c r="Y367" s="114">
        <f t="shared" si="46"/>
        <v>7.32</v>
      </c>
      <c r="Z367" s="114">
        <f>ROUND(0.3*T367*Table1[[#This Row],[E&amp;D Rate per unit]]*Table1[[#This Row],[Quantity]],2)</f>
        <v>22.16</v>
      </c>
      <c r="AA367" s="112">
        <v>1</v>
      </c>
      <c r="AB367" s="21">
        <f>ROUND(X367+Z367+Y367,2)*Table1[[#This Row],[Until WA Approved Only Approved this %]]</f>
        <v>81.180000000000007</v>
      </c>
      <c r="AC367" s="136">
        <v>52.56</v>
      </c>
      <c r="AD367" s="136">
        <f>Table1[[#This Row],[Total Amount]]-Table1[[#This Row],[Previous Amount]]</f>
        <v>28.620000000000005</v>
      </c>
      <c r="AE367" s="115"/>
      <c r="AG367" s="174">
        <v>81.180000000000007</v>
      </c>
      <c r="AH367" s="178">
        <f>AG367-Table1[[#This Row],[Total Amount]]</f>
        <v>0</v>
      </c>
      <c r="AI367" s="171">
        <f t="shared" si="44"/>
        <v>0</v>
      </c>
    </row>
    <row r="368" spans="1:35" ht="30" customHeight="1" x14ac:dyDescent="0.3">
      <c r="A368" s="91" t="s">
        <v>91</v>
      </c>
      <c r="B368" s="91" t="s">
        <v>99</v>
      </c>
      <c r="C368" s="146">
        <v>102</v>
      </c>
      <c r="D368" s="146">
        <v>77534</v>
      </c>
      <c r="E368" s="146"/>
      <c r="F368" s="147" t="s">
        <v>484</v>
      </c>
      <c r="G368" s="17" t="s">
        <v>202</v>
      </c>
      <c r="H368" s="146" t="s">
        <v>222</v>
      </c>
      <c r="I368" s="146">
        <v>1</v>
      </c>
      <c r="J368" s="146">
        <v>2.5</v>
      </c>
      <c r="K368" s="146">
        <v>1.8</v>
      </c>
      <c r="L368" s="146">
        <v>4</v>
      </c>
      <c r="M368" s="146">
        <v>1</v>
      </c>
      <c r="N368" s="148" t="s">
        <v>223</v>
      </c>
      <c r="O368" s="148">
        <f t="shared" ref="O368:O377" si="47">ROUND(IF(N368="m3",I368*J368*K368*L368,IF(N368="m2-LxH",I368*J368*L368,IF(N368="m2-LxW",I368*J368*K368,IF(N368="rm",I368*L368,IF(N368="lm",I368*J368,IF(N368="unit",I368,"NA")))))),2)</f>
        <v>4</v>
      </c>
      <c r="P368" s="125">
        <v>44891</v>
      </c>
      <c r="Q368" s="149"/>
      <c r="R368" s="150">
        <v>1</v>
      </c>
      <c r="S368" s="150">
        <v>1</v>
      </c>
      <c r="T368" s="150">
        <v>0</v>
      </c>
      <c r="U368" s="151">
        <f>IF(ISBLANK(Table1[[#This Row],[OHC Date]]),$B$7-Table1[[#This Row],[HOC Date]]+1,Table1[[#This Row],[OHC Date]]-Table1[[#This Row],[HOC Date]]+1)/7</f>
        <v>4.2857142857142856</v>
      </c>
      <c r="V368" s="152">
        <v>63.34</v>
      </c>
      <c r="W368" s="152">
        <v>7.28</v>
      </c>
      <c r="X368" s="152">
        <f>ROUND(0.7*Table1[[#This Row],[E&amp;D Rate per unit]]*R368*Table1[[#This Row],[Quantity]],2)</f>
        <v>177.35</v>
      </c>
      <c r="Y368" s="152">
        <f t="shared" ref="Y368:Y377" si="48">ROUND(O368*U368*W368*S368,2)</f>
        <v>124.8</v>
      </c>
      <c r="Z368" s="152">
        <f>ROUND(0.3*T368*Table1[[#This Row],[E&amp;D Rate per unit]]*Table1[[#This Row],[Quantity]],2)</f>
        <v>0</v>
      </c>
      <c r="AA368" s="112">
        <v>1</v>
      </c>
      <c r="AB368" s="21">
        <f>ROUND(X368+Z368+Y368,2)*Table1[[#This Row],[Until WA Approved Only Approved this %]]</f>
        <v>302.14999999999998</v>
      </c>
      <c r="AC368" s="153"/>
      <c r="AD368" s="153">
        <f>Table1[[#This Row],[Total Amount]]-Table1[[#This Row],[Previous Amount]]</f>
        <v>302.14999999999998</v>
      </c>
      <c r="AE368" s="154"/>
      <c r="AG368" s="174">
        <v>302.14999999999998</v>
      </c>
      <c r="AH368" s="178">
        <f>AG368-Table1[[#This Row],[Total Amount]]</f>
        <v>0</v>
      </c>
      <c r="AI368" s="171">
        <f t="shared" si="44"/>
        <v>0</v>
      </c>
    </row>
    <row r="369" spans="1:35" ht="30" customHeight="1" x14ac:dyDescent="0.3">
      <c r="A369" s="91" t="s">
        <v>91</v>
      </c>
      <c r="B369" s="91" t="s">
        <v>99</v>
      </c>
      <c r="C369" s="146">
        <v>103</v>
      </c>
      <c r="D369" s="146">
        <v>77535</v>
      </c>
      <c r="E369" s="146"/>
      <c r="F369" s="147" t="s">
        <v>485</v>
      </c>
      <c r="G369" s="17" t="s">
        <v>202</v>
      </c>
      <c r="H369" s="109" t="s">
        <v>120</v>
      </c>
      <c r="I369" s="146">
        <v>1</v>
      </c>
      <c r="J369" s="146">
        <v>3</v>
      </c>
      <c r="K369" s="146">
        <v>2.5</v>
      </c>
      <c r="L369" s="146">
        <v>2.5</v>
      </c>
      <c r="M369" s="146">
        <v>1</v>
      </c>
      <c r="N369" s="92" t="s">
        <v>208</v>
      </c>
      <c r="O369" s="92">
        <f t="shared" si="47"/>
        <v>7.5</v>
      </c>
      <c r="P369" s="125">
        <v>44891</v>
      </c>
      <c r="Q369" s="149"/>
      <c r="R369" s="150">
        <v>1</v>
      </c>
      <c r="S369" s="150">
        <v>1</v>
      </c>
      <c r="T369" s="150">
        <v>0</v>
      </c>
      <c r="U369" s="151">
        <f>IF(ISBLANK(Table1[[#This Row],[OHC Date]]),$B$7-Table1[[#This Row],[HOC Date]]+1,Table1[[#This Row],[OHC Date]]-Table1[[#This Row],[HOC Date]]+1)/7</f>
        <v>4.2857142857142856</v>
      </c>
      <c r="V369" s="114">
        <v>16.760000000000002</v>
      </c>
      <c r="W369" s="114">
        <v>0.77</v>
      </c>
      <c r="X369" s="152">
        <f>ROUND(0.7*Table1[[#This Row],[E&amp;D Rate per unit]]*R369*Table1[[#This Row],[Quantity]],2)</f>
        <v>87.99</v>
      </c>
      <c r="Y369" s="152">
        <f t="shared" si="48"/>
        <v>24.75</v>
      </c>
      <c r="Z369" s="152">
        <f>ROUND(0.3*T369*Table1[[#This Row],[E&amp;D Rate per unit]]*Table1[[#This Row],[Quantity]],2)</f>
        <v>0</v>
      </c>
      <c r="AA369" s="112">
        <v>1</v>
      </c>
      <c r="AB369" s="21">
        <f>ROUND(X369+Z369+Y369,2)*Table1[[#This Row],[Until WA Approved Only Approved this %]]</f>
        <v>112.74</v>
      </c>
      <c r="AC369" s="153"/>
      <c r="AD369" s="153">
        <f>Table1[[#This Row],[Total Amount]]-Table1[[#This Row],[Previous Amount]]</f>
        <v>112.74</v>
      </c>
      <c r="AE369" s="154"/>
      <c r="AG369" s="174">
        <v>112.74</v>
      </c>
      <c r="AH369" s="178">
        <f>AG369-Table1[[#This Row],[Total Amount]]</f>
        <v>0</v>
      </c>
      <c r="AI369" s="171">
        <f t="shared" si="44"/>
        <v>0</v>
      </c>
    </row>
    <row r="370" spans="1:35" ht="30" customHeight="1" x14ac:dyDescent="0.3">
      <c r="A370" s="91" t="s">
        <v>91</v>
      </c>
      <c r="B370" s="91" t="s">
        <v>99</v>
      </c>
      <c r="C370" s="146">
        <v>104</v>
      </c>
      <c r="D370" s="146">
        <v>77536</v>
      </c>
      <c r="E370" s="146">
        <v>80548</v>
      </c>
      <c r="F370" s="147" t="s">
        <v>486</v>
      </c>
      <c r="G370" s="17" t="s">
        <v>263</v>
      </c>
      <c r="H370" s="146" t="s">
        <v>121</v>
      </c>
      <c r="I370" s="146">
        <v>1</v>
      </c>
      <c r="J370" s="146">
        <v>5.4</v>
      </c>
      <c r="K370" s="146">
        <v>3.8</v>
      </c>
      <c r="L370" s="146">
        <v>2</v>
      </c>
      <c r="M370" s="146">
        <v>1</v>
      </c>
      <c r="N370" s="148" t="s">
        <v>226</v>
      </c>
      <c r="O370" s="148">
        <f t="shared" si="47"/>
        <v>41.04</v>
      </c>
      <c r="P370" s="125">
        <v>44891</v>
      </c>
      <c r="Q370" s="149">
        <v>44900</v>
      </c>
      <c r="R370" s="150">
        <v>1</v>
      </c>
      <c r="S370" s="150">
        <v>1</v>
      </c>
      <c r="T370" s="150">
        <v>1</v>
      </c>
      <c r="U370" s="151">
        <f>IF(ISBLANK(Table1[[#This Row],[OHC Date]]),$B$7-Table1[[#This Row],[HOC Date]]+1,Table1[[#This Row],[OHC Date]]-Table1[[#This Row],[HOC Date]]+1)/7</f>
        <v>1.4285714285714286</v>
      </c>
      <c r="V370" s="152">
        <v>7.08</v>
      </c>
      <c r="W370" s="152">
        <v>0.49</v>
      </c>
      <c r="X370" s="152">
        <f>ROUND(0.7*Table1[[#This Row],[E&amp;D Rate per unit]]*R370*Table1[[#This Row],[Quantity]],2)</f>
        <v>203.39</v>
      </c>
      <c r="Y370" s="152">
        <f t="shared" si="48"/>
        <v>28.73</v>
      </c>
      <c r="Z370" s="152">
        <f>ROUND(0.3*T370*Table1[[#This Row],[E&amp;D Rate per unit]]*Table1[[#This Row],[Quantity]],2)</f>
        <v>87.17</v>
      </c>
      <c r="AA370" s="112">
        <v>1</v>
      </c>
      <c r="AB370" s="21">
        <f>ROUND(X370+Z370+Y370,2)*Table1[[#This Row],[Until WA Approved Only Approved this %]]</f>
        <v>319.29000000000002</v>
      </c>
      <c r="AC370" s="153"/>
      <c r="AD370" s="153">
        <f>Table1[[#This Row],[Total Amount]]-Table1[[#This Row],[Previous Amount]]</f>
        <v>319.29000000000002</v>
      </c>
      <c r="AE370" s="154"/>
      <c r="AG370" s="174">
        <v>319.29000000000002</v>
      </c>
      <c r="AH370" s="178">
        <f>AG370-Table1[[#This Row],[Total Amount]]</f>
        <v>0</v>
      </c>
      <c r="AI370" s="171">
        <f t="shared" si="44"/>
        <v>0</v>
      </c>
    </row>
    <row r="371" spans="1:35" ht="30" customHeight="1" x14ac:dyDescent="0.3">
      <c r="A371" s="91" t="s">
        <v>91</v>
      </c>
      <c r="B371" s="91" t="s">
        <v>99</v>
      </c>
      <c r="C371" s="146">
        <v>104</v>
      </c>
      <c r="D371" s="146">
        <v>77536</v>
      </c>
      <c r="E371" s="146">
        <v>80548</v>
      </c>
      <c r="F371" s="147" t="s">
        <v>486</v>
      </c>
      <c r="G371" s="17" t="s">
        <v>263</v>
      </c>
      <c r="H371" s="146" t="s">
        <v>423</v>
      </c>
      <c r="I371" s="146">
        <v>1</v>
      </c>
      <c r="J371" s="146">
        <v>18.399999999999999</v>
      </c>
      <c r="K371" s="146">
        <v>1</v>
      </c>
      <c r="L371" s="146">
        <v>1</v>
      </c>
      <c r="M371" s="146"/>
      <c r="N371" s="148" t="s">
        <v>208</v>
      </c>
      <c r="O371" s="148">
        <f t="shared" si="47"/>
        <v>18.399999999999999</v>
      </c>
      <c r="P371" s="125">
        <v>44891</v>
      </c>
      <c r="Q371" s="149">
        <v>44900</v>
      </c>
      <c r="R371" s="150">
        <v>1</v>
      </c>
      <c r="S371" s="150">
        <v>1</v>
      </c>
      <c r="T371" s="150">
        <v>1</v>
      </c>
      <c r="U371" s="151">
        <f>IF(ISBLANK(Table1[[#This Row],[OHC Date]]),$B$7-Table1[[#This Row],[HOC Date]]+1,Table1[[#This Row],[OHC Date]]-Table1[[#This Row],[HOC Date]]+1)/7</f>
        <v>1.4285714285714286</v>
      </c>
      <c r="V371" s="152">
        <v>8.52</v>
      </c>
      <c r="W371" s="152">
        <v>0</v>
      </c>
      <c r="X371" s="152">
        <f>ROUND(0.7*Table1[[#This Row],[E&amp;D Rate per unit]]*R371*Table1[[#This Row],[Quantity]],2)</f>
        <v>109.74</v>
      </c>
      <c r="Y371" s="152">
        <f t="shared" si="48"/>
        <v>0</v>
      </c>
      <c r="Z371" s="152">
        <f>ROUND(0.3*T371*Table1[[#This Row],[E&amp;D Rate per unit]]*Table1[[#This Row],[Quantity]],2)</f>
        <v>47.03</v>
      </c>
      <c r="AA371" s="112">
        <v>1</v>
      </c>
      <c r="AB371" s="21">
        <f>ROUND(X371+Z371+Y371,2)*Table1[[#This Row],[Until WA Approved Only Approved this %]]</f>
        <v>156.77000000000001</v>
      </c>
      <c r="AC371" s="153"/>
      <c r="AD371" s="153">
        <f>Table1[[#This Row],[Total Amount]]-Table1[[#This Row],[Previous Amount]]</f>
        <v>156.77000000000001</v>
      </c>
      <c r="AE371" s="154"/>
      <c r="AG371" s="174">
        <v>156.77000000000001</v>
      </c>
      <c r="AH371" s="178">
        <f>AG371-Table1[[#This Row],[Total Amount]]</f>
        <v>0</v>
      </c>
      <c r="AI371" s="171">
        <f t="shared" si="44"/>
        <v>0</v>
      </c>
    </row>
    <row r="372" spans="1:35" ht="30" customHeight="1" x14ac:dyDescent="0.3">
      <c r="A372" s="91" t="s">
        <v>91</v>
      </c>
      <c r="B372" s="91" t="s">
        <v>99</v>
      </c>
      <c r="C372" s="146">
        <v>105</v>
      </c>
      <c r="D372" s="146">
        <v>77537</v>
      </c>
      <c r="E372" s="146">
        <v>80558</v>
      </c>
      <c r="F372" s="147" t="s">
        <v>487</v>
      </c>
      <c r="G372" s="17" t="s">
        <v>225</v>
      </c>
      <c r="H372" s="146" t="s">
        <v>207</v>
      </c>
      <c r="I372" s="146">
        <v>1</v>
      </c>
      <c r="J372" s="146">
        <v>5</v>
      </c>
      <c r="K372" s="146">
        <v>1.3</v>
      </c>
      <c r="L372" s="146">
        <v>2.5</v>
      </c>
      <c r="M372" s="146">
        <v>1</v>
      </c>
      <c r="N372" s="148" t="s">
        <v>208</v>
      </c>
      <c r="O372" s="148">
        <f t="shared" si="47"/>
        <v>12.5</v>
      </c>
      <c r="P372" s="125">
        <v>44891</v>
      </c>
      <c r="Q372" s="149">
        <v>44905</v>
      </c>
      <c r="R372" s="150">
        <v>1</v>
      </c>
      <c r="S372" s="150">
        <v>1</v>
      </c>
      <c r="T372" s="150">
        <v>1</v>
      </c>
      <c r="U372" s="151">
        <f>IF(ISBLANK(Table1[[#This Row],[OHC Date]]),$B$7-Table1[[#This Row],[HOC Date]]+1,Table1[[#This Row],[OHC Date]]-Table1[[#This Row],[HOC Date]]+1)/7</f>
        <v>2.1428571428571428</v>
      </c>
      <c r="V372" s="152">
        <v>12.01</v>
      </c>
      <c r="W372" s="152">
        <v>0.49</v>
      </c>
      <c r="X372" s="152">
        <f>ROUND(0.7*Table1[[#This Row],[E&amp;D Rate per unit]]*R372*Table1[[#This Row],[Quantity]],2)</f>
        <v>105.09</v>
      </c>
      <c r="Y372" s="152">
        <f t="shared" si="48"/>
        <v>13.13</v>
      </c>
      <c r="Z372" s="152">
        <f>ROUND(0.3*T372*Table1[[#This Row],[E&amp;D Rate per unit]]*Table1[[#This Row],[Quantity]],2)</f>
        <v>45.04</v>
      </c>
      <c r="AA372" s="112">
        <v>1</v>
      </c>
      <c r="AB372" s="21">
        <f>ROUND(X372+Z372+Y372,2)*Table1[[#This Row],[Until WA Approved Only Approved this %]]</f>
        <v>163.26</v>
      </c>
      <c r="AC372" s="153"/>
      <c r="AD372" s="153">
        <f>Table1[[#This Row],[Total Amount]]-Table1[[#This Row],[Previous Amount]]</f>
        <v>163.26</v>
      </c>
      <c r="AE372" s="154"/>
      <c r="AG372" s="174">
        <v>163.26</v>
      </c>
      <c r="AH372" s="178">
        <f>AG372-Table1[[#This Row],[Total Amount]]</f>
        <v>0</v>
      </c>
      <c r="AI372" s="171">
        <f t="shared" si="44"/>
        <v>0</v>
      </c>
    </row>
    <row r="373" spans="1:35" ht="30" customHeight="1" x14ac:dyDescent="0.3">
      <c r="A373" s="91" t="s">
        <v>91</v>
      </c>
      <c r="B373" s="91" t="s">
        <v>99</v>
      </c>
      <c r="C373" s="146" t="s">
        <v>488</v>
      </c>
      <c r="D373" s="146">
        <v>77538</v>
      </c>
      <c r="E373" s="146">
        <v>80559</v>
      </c>
      <c r="F373" s="147" t="s">
        <v>487</v>
      </c>
      <c r="G373" s="17" t="s">
        <v>225</v>
      </c>
      <c r="H373" s="146" t="s">
        <v>222</v>
      </c>
      <c r="I373" s="146">
        <v>1</v>
      </c>
      <c r="J373" s="146">
        <v>2.5</v>
      </c>
      <c r="K373" s="146">
        <v>1.8</v>
      </c>
      <c r="L373" s="146">
        <v>2.5</v>
      </c>
      <c r="M373" s="146">
        <v>1</v>
      </c>
      <c r="N373" s="148" t="s">
        <v>223</v>
      </c>
      <c r="O373" s="148">
        <f t="shared" si="47"/>
        <v>2.5</v>
      </c>
      <c r="P373" s="125">
        <v>44891</v>
      </c>
      <c r="Q373" s="149">
        <v>44905</v>
      </c>
      <c r="R373" s="150">
        <v>1</v>
      </c>
      <c r="S373" s="150">
        <v>1</v>
      </c>
      <c r="T373" s="150">
        <v>1</v>
      </c>
      <c r="U373" s="151">
        <f>IF(ISBLANK(Table1[[#This Row],[OHC Date]]),$B$7-Table1[[#This Row],[HOC Date]]+1,Table1[[#This Row],[OHC Date]]-Table1[[#This Row],[HOC Date]]+1)/7</f>
        <v>2.1428571428571428</v>
      </c>
      <c r="V373" s="152">
        <v>63.34</v>
      </c>
      <c r="W373" s="152">
        <v>7.28</v>
      </c>
      <c r="X373" s="152">
        <f>ROUND(0.7*Table1[[#This Row],[E&amp;D Rate per unit]]*R373*Table1[[#This Row],[Quantity]],2)</f>
        <v>110.85</v>
      </c>
      <c r="Y373" s="152">
        <f t="shared" si="48"/>
        <v>39</v>
      </c>
      <c r="Z373" s="152">
        <f>ROUND(0.3*T373*Table1[[#This Row],[E&amp;D Rate per unit]]*Table1[[#This Row],[Quantity]],2)</f>
        <v>47.51</v>
      </c>
      <c r="AA373" s="112">
        <v>1</v>
      </c>
      <c r="AB373" s="21">
        <f>ROUND(X373+Z373+Y373,2)*Table1[[#This Row],[Until WA Approved Only Approved this %]]</f>
        <v>197.36</v>
      </c>
      <c r="AC373" s="153"/>
      <c r="AD373" s="153">
        <f>Table1[[#This Row],[Total Amount]]-Table1[[#This Row],[Previous Amount]]</f>
        <v>197.36</v>
      </c>
      <c r="AE373" s="154"/>
      <c r="AG373" s="174">
        <v>197.36</v>
      </c>
      <c r="AH373" s="178">
        <f>AG373-Table1[[#This Row],[Total Amount]]</f>
        <v>0</v>
      </c>
      <c r="AI373" s="171">
        <f t="shared" si="44"/>
        <v>0</v>
      </c>
    </row>
    <row r="374" spans="1:35" ht="30" customHeight="1" x14ac:dyDescent="0.3">
      <c r="A374" s="91" t="s">
        <v>91</v>
      </c>
      <c r="B374" s="91" t="s">
        <v>99</v>
      </c>
      <c r="C374" s="146">
        <v>106</v>
      </c>
      <c r="D374" s="146">
        <v>77539</v>
      </c>
      <c r="E374" s="146"/>
      <c r="F374" s="147" t="s">
        <v>485</v>
      </c>
      <c r="G374" s="17" t="s">
        <v>202</v>
      </c>
      <c r="H374" s="109" t="s">
        <v>120</v>
      </c>
      <c r="I374" s="146">
        <v>1</v>
      </c>
      <c r="J374" s="146">
        <v>3</v>
      </c>
      <c r="K374" s="146">
        <v>2</v>
      </c>
      <c r="L374" s="146">
        <v>3.5</v>
      </c>
      <c r="M374" s="146">
        <v>1</v>
      </c>
      <c r="N374" s="148" t="s">
        <v>208</v>
      </c>
      <c r="O374" s="148">
        <f t="shared" si="47"/>
        <v>10.5</v>
      </c>
      <c r="P374" s="125">
        <v>44891</v>
      </c>
      <c r="Q374" s="149"/>
      <c r="R374" s="150">
        <v>1</v>
      </c>
      <c r="S374" s="150">
        <v>1</v>
      </c>
      <c r="T374" s="150">
        <v>0</v>
      </c>
      <c r="U374" s="151">
        <f>IF(ISBLANK(Table1[[#This Row],[OHC Date]]),$B$7-Table1[[#This Row],[HOC Date]]+1,Table1[[#This Row],[OHC Date]]-Table1[[#This Row],[HOC Date]]+1)/7</f>
        <v>4.2857142857142856</v>
      </c>
      <c r="V374" s="152">
        <v>16.760000000000002</v>
      </c>
      <c r="W374" s="152">
        <v>0.77</v>
      </c>
      <c r="X374" s="152">
        <f>ROUND(0.7*Table1[[#This Row],[E&amp;D Rate per unit]]*R374*Table1[[#This Row],[Quantity]],2)</f>
        <v>123.19</v>
      </c>
      <c r="Y374" s="152">
        <f t="shared" si="48"/>
        <v>34.65</v>
      </c>
      <c r="Z374" s="152">
        <f>ROUND(0.3*T374*Table1[[#This Row],[E&amp;D Rate per unit]]*Table1[[#This Row],[Quantity]],2)</f>
        <v>0</v>
      </c>
      <c r="AA374" s="112">
        <v>1</v>
      </c>
      <c r="AB374" s="21">
        <f>ROUND(X374+Z374+Y374,2)*Table1[[#This Row],[Until WA Approved Only Approved this %]]</f>
        <v>157.84</v>
      </c>
      <c r="AC374" s="153"/>
      <c r="AD374" s="153">
        <f>Table1[[#This Row],[Total Amount]]-Table1[[#This Row],[Previous Amount]]</f>
        <v>157.84</v>
      </c>
      <c r="AE374" s="154"/>
      <c r="AG374" s="174">
        <v>157.84</v>
      </c>
      <c r="AH374" s="178">
        <f>AG374-Table1[[#This Row],[Total Amount]]</f>
        <v>0</v>
      </c>
      <c r="AI374" s="171">
        <f t="shared" si="44"/>
        <v>0</v>
      </c>
    </row>
    <row r="375" spans="1:35" ht="30" customHeight="1" x14ac:dyDescent="0.3">
      <c r="A375" s="91" t="s">
        <v>91</v>
      </c>
      <c r="B375" s="91" t="s">
        <v>99</v>
      </c>
      <c r="C375" s="146">
        <v>107</v>
      </c>
      <c r="D375" s="146">
        <v>77540</v>
      </c>
      <c r="E375" s="146">
        <v>80565</v>
      </c>
      <c r="F375" s="147" t="s">
        <v>489</v>
      </c>
      <c r="G375" s="17" t="s">
        <v>202</v>
      </c>
      <c r="H375" s="16" t="s">
        <v>207</v>
      </c>
      <c r="I375" s="146">
        <v>1</v>
      </c>
      <c r="J375" s="146">
        <v>18.399999999999999</v>
      </c>
      <c r="K375" s="146">
        <v>0.9</v>
      </c>
      <c r="L375" s="146">
        <v>2</v>
      </c>
      <c r="M375" s="146">
        <v>1</v>
      </c>
      <c r="N375" s="148" t="s">
        <v>208</v>
      </c>
      <c r="O375" s="148">
        <f t="shared" si="47"/>
        <v>36.799999999999997</v>
      </c>
      <c r="P375" s="125">
        <v>44894</v>
      </c>
      <c r="Q375" s="149">
        <v>44907</v>
      </c>
      <c r="R375" s="150">
        <v>1</v>
      </c>
      <c r="S375" s="150">
        <v>1</v>
      </c>
      <c r="T375" s="150">
        <v>1</v>
      </c>
      <c r="U375" s="151">
        <f>IF(ISBLANK(Table1[[#This Row],[OHC Date]]),$B$7-Table1[[#This Row],[HOC Date]]+1,Table1[[#This Row],[OHC Date]]-Table1[[#This Row],[HOC Date]]+1)/7</f>
        <v>2</v>
      </c>
      <c r="V375" s="152">
        <v>12.01</v>
      </c>
      <c r="W375" s="152">
        <v>0.49</v>
      </c>
      <c r="X375" s="152">
        <f>ROUND(0.7*Table1[[#This Row],[E&amp;D Rate per unit]]*R375*Table1[[#This Row],[Quantity]],2)</f>
        <v>309.38</v>
      </c>
      <c r="Y375" s="152">
        <f t="shared" si="48"/>
        <v>36.06</v>
      </c>
      <c r="Z375" s="152">
        <f>ROUND(0.3*T375*Table1[[#This Row],[E&amp;D Rate per unit]]*Table1[[#This Row],[Quantity]],2)</f>
        <v>132.59</v>
      </c>
      <c r="AA375" s="112">
        <v>1</v>
      </c>
      <c r="AB375" s="21">
        <f>ROUND(X375+Z375+Y375,2)*Table1[[#This Row],[Until WA Approved Only Approved this %]]</f>
        <v>478.03</v>
      </c>
      <c r="AC375" s="153"/>
      <c r="AD375" s="153">
        <f>Table1[[#This Row],[Total Amount]]-Table1[[#This Row],[Previous Amount]]</f>
        <v>478.03</v>
      </c>
      <c r="AE375" s="154"/>
      <c r="AG375" s="174">
        <v>478.03</v>
      </c>
      <c r="AH375" s="178">
        <f>AG375-Table1[[#This Row],[Total Amount]]</f>
        <v>0</v>
      </c>
      <c r="AI375" s="171">
        <f t="shared" si="44"/>
        <v>0</v>
      </c>
    </row>
    <row r="376" spans="1:35" ht="30" customHeight="1" x14ac:dyDescent="0.3">
      <c r="A376" s="91" t="s">
        <v>91</v>
      </c>
      <c r="B376" s="91" t="s">
        <v>99</v>
      </c>
      <c r="C376" s="146">
        <v>107</v>
      </c>
      <c r="D376" s="146">
        <v>77540</v>
      </c>
      <c r="E376" s="146">
        <v>80565</v>
      </c>
      <c r="F376" s="147" t="s">
        <v>489</v>
      </c>
      <c r="G376" s="17" t="s">
        <v>202</v>
      </c>
      <c r="H376" s="146" t="s">
        <v>423</v>
      </c>
      <c r="I376" s="146">
        <v>1</v>
      </c>
      <c r="J376" s="146">
        <v>97.9</v>
      </c>
      <c r="K376" s="146">
        <v>1</v>
      </c>
      <c r="L376" s="146">
        <v>1</v>
      </c>
      <c r="M376" s="146"/>
      <c r="N376" s="148" t="s">
        <v>208</v>
      </c>
      <c r="O376" s="148">
        <f t="shared" si="47"/>
        <v>97.9</v>
      </c>
      <c r="P376" s="125">
        <v>44894</v>
      </c>
      <c r="Q376" s="149">
        <v>44907</v>
      </c>
      <c r="R376" s="150">
        <v>1</v>
      </c>
      <c r="S376" s="150">
        <v>1</v>
      </c>
      <c r="T376" s="150">
        <v>1</v>
      </c>
      <c r="U376" s="151">
        <f>IF(ISBLANK(Table1[[#This Row],[OHC Date]]),$B$7-Table1[[#This Row],[HOC Date]]+1,Table1[[#This Row],[OHC Date]]-Table1[[#This Row],[HOC Date]]+1)/7</f>
        <v>2</v>
      </c>
      <c r="V376" s="152">
        <v>8.52</v>
      </c>
      <c r="W376" s="152">
        <v>0</v>
      </c>
      <c r="X376" s="152">
        <f>ROUND(0.7*Table1[[#This Row],[E&amp;D Rate per unit]]*R376*Table1[[#This Row],[Quantity]],2)</f>
        <v>583.88</v>
      </c>
      <c r="Y376" s="152">
        <f t="shared" si="48"/>
        <v>0</v>
      </c>
      <c r="Z376" s="152">
        <f>ROUND(0.3*T376*Table1[[#This Row],[E&amp;D Rate per unit]]*Table1[[#This Row],[Quantity]],2)</f>
        <v>250.23</v>
      </c>
      <c r="AA376" s="112">
        <v>1</v>
      </c>
      <c r="AB376" s="21">
        <f>ROUND(X376+Z376+Y376,2)*Table1[[#This Row],[Until WA Approved Only Approved this %]]</f>
        <v>834.11</v>
      </c>
      <c r="AC376" s="153"/>
      <c r="AD376" s="153">
        <f>Table1[[#This Row],[Total Amount]]-Table1[[#This Row],[Previous Amount]]</f>
        <v>834.11</v>
      </c>
      <c r="AE376" s="154"/>
      <c r="AG376" s="174">
        <v>834.11</v>
      </c>
      <c r="AH376" s="178">
        <f>AG376-Table1[[#This Row],[Total Amount]]</f>
        <v>0</v>
      </c>
      <c r="AI376" s="171">
        <f t="shared" si="44"/>
        <v>0</v>
      </c>
    </row>
    <row r="377" spans="1:35" ht="30" customHeight="1" x14ac:dyDescent="0.3">
      <c r="A377" s="91" t="s">
        <v>91</v>
      </c>
      <c r="B377" s="91" t="s">
        <v>99</v>
      </c>
      <c r="C377" s="146" t="s">
        <v>490</v>
      </c>
      <c r="D377" s="146">
        <v>77541</v>
      </c>
      <c r="E377" s="146"/>
      <c r="F377" s="147" t="s">
        <v>491</v>
      </c>
      <c r="G377" s="17" t="s">
        <v>161</v>
      </c>
      <c r="H377" s="109" t="s">
        <v>128</v>
      </c>
      <c r="I377" s="146">
        <v>2</v>
      </c>
      <c r="J377" s="146">
        <v>8.5</v>
      </c>
      <c r="K377" s="146">
        <v>0.5</v>
      </c>
      <c r="L377" s="146">
        <v>1</v>
      </c>
      <c r="M377" s="146">
        <v>2</v>
      </c>
      <c r="N377" s="148" t="s">
        <v>162</v>
      </c>
      <c r="O377" s="148">
        <f t="shared" si="47"/>
        <v>8.5</v>
      </c>
      <c r="P377" s="125">
        <v>44894</v>
      </c>
      <c r="Q377" s="149"/>
      <c r="R377" s="150">
        <v>1</v>
      </c>
      <c r="S377" s="150">
        <v>1</v>
      </c>
      <c r="T377" s="150">
        <v>0</v>
      </c>
      <c r="U377" s="151">
        <f>IF(ISBLANK(Table1[[#This Row],[OHC Date]]),$B$7-Table1[[#This Row],[HOC Date]]+1,Table1[[#This Row],[OHC Date]]-Table1[[#This Row],[HOC Date]]+1)/7</f>
        <v>3.8571428571428572</v>
      </c>
      <c r="V377" s="161">
        <v>32.75</v>
      </c>
      <c r="W377" s="161">
        <v>1.05</v>
      </c>
      <c r="X377" s="152">
        <f>ROUND(0.7*Table1[[#This Row],[E&amp;D Rate per unit]]*R377*Table1[[#This Row],[Quantity]],2)</f>
        <v>194.86</v>
      </c>
      <c r="Y377" s="152">
        <f t="shared" si="48"/>
        <v>34.43</v>
      </c>
      <c r="Z377" s="152">
        <f>ROUND(0.3*T377*Table1[[#This Row],[E&amp;D Rate per unit]]*Table1[[#This Row],[Quantity]],2)</f>
        <v>0</v>
      </c>
      <c r="AA377" s="112">
        <v>1</v>
      </c>
      <c r="AB377" s="21">
        <f>ROUND(X377+Z377+Y377,2)*Table1[[#This Row],[Until WA Approved Only Approved this %]]</f>
        <v>229.29</v>
      </c>
      <c r="AC377" s="153"/>
      <c r="AD377" s="153">
        <f>Table1[[#This Row],[Total Amount]]-Table1[[#This Row],[Previous Amount]]</f>
        <v>229.29</v>
      </c>
      <c r="AE377" s="154"/>
      <c r="AG377" s="174">
        <v>313.68</v>
      </c>
      <c r="AH377" s="178">
        <f>AG377-Table1[[#This Row],[Total Amount]]</f>
        <v>84.390000000000015</v>
      </c>
      <c r="AI377" s="171">
        <f t="shared" si="44"/>
        <v>0.26903213465952569</v>
      </c>
    </row>
    <row r="378" spans="1:35" ht="30" customHeight="1" x14ac:dyDescent="0.3">
      <c r="A378" s="91" t="s">
        <v>91</v>
      </c>
      <c r="B378" s="91" t="s">
        <v>99</v>
      </c>
      <c r="C378" s="146" t="s">
        <v>492</v>
      </c>
      <c r="D378" s="146">
        <v>77544</v>
      </c>
      <c r="E378" s="146"/>
      <c r="F378" s="147" t="s">
        <v>493</v>
      </c>
      <c r="G378" s="17" t="s">
        <v>494</v>
      </c>
      <c r="H378" s="146" t="s">
        <v>178</v>
      </c>
      <c r="I378" s="146">
        <v>4</v>
      </c>
      <c r="J378" s="146">
        <v>5</v>
      </c>
      <c r="K378" s="146">
        <v>1.8</v>
      </c>
      <c r="L378" s="146">
        <v>1</v>
      </c>
      <c r="M378" s="146">
        <v>4</v>
      </c>
      <c r="N378" s="148" t="s">
        <v>162</v>
      </c>
      <c r="O378" s="148">
        <f t="shared" ref="O378:O460" si="49">ROUND(IF(N378="m3",I378*J378*K378*L378,IF(N378="m2-LxH",I378*J378*L378,IF(N378="m2-LxW",I378*J378*K378,IF(N378="rm",I378*L378,IF(N378="lm",I378*J378,IF(N378="unit",I378,"NA")))))),2)</f>
        <v>36</v>
      </c>
      <c r="P378" s="125">
        <v>44895</v>
      </c>
      <c r="Q378" s="149"/>
      <c r="R378" s="150">
        <v>1</v>
      </c>
      <c r="S378" s="150">
        <v>1</v>
      </c>
      <c r="T378" s="150">
        <v>0</v>
      </c>
      <c r="U378" s="151">
        <f>IF(ISBLANK(Table1[[#This Row],[OHC Date]]),$B$7-Table1[[#This Row],[HOC Date]]+1,Table1[[#This Row],[OHC Date]]-Table1[[#This Row],[HOC Date]]+1)/7</f>
        <v>3.7142857142857144</v>
      </c>
      <c r="V378" s="152">
        <v>6.63</v>
      </c>
      <c r="W378" s="152">
        <v>0.7</v>
      </c>
      <c r="X378" s="152">
        <f>ROUND(0.7*Table1[[#This Row],[E&amp;D Rate per unit]]*R378*Table1[[#This Row],[Quantity]],2)</f>
        <v>167.08</v>
      </c>
      <c r="Y378" s="152">
        <f t="shared" ref="Y378:Y460" si="50">ROUND(O378*U378*W378*S378,2)</f>
        <v>93.6</v>
      </c>
      <c r="Z378" s="152">
        <f>ROUND(0.3*T378*Table1[[#This Row],[E&amp;D Rate per unit]]*Table1[[#This Row],[Quantity]],2)</f>
        <v>0</v>
      </c>
      <c r="AA378" s="112">
        <v>1</v>
      </c>
      <c r="AB378" s="21">
        <f>ROUND(X378+Z378+Y378,2)*Table1[[#This Row],[Until WA Approved Only Approved this %]]</f>
        <v>260.68</v>
      </c>
      <c r="AC378" s="153"/>
      <c r="AD378" s="153">
        <f>Table1[[#This Row],[Total Amount]]-Table1[[#This Row],[Previous Amount]]</f>
        <v>260.68</v>
      </c>
      <c r="AE378" s="154"/>
      <c r="AG378" s="174">
        <v>260.68</v>
      </c>
      <c r="AH378" s="178">
        <f>AG378-Table1[[#This Row],[Total Amount]]</f>
        <v>0</v>
      </c>
      <c r="AI378" s="171">
        <f t="shared" si="44"/>
        <v>0</v>
      </c>
    </row>
    <row r="379" spans="1:35" ht="30" customHeight="1" x14ac:dyDescent="0.3">
      <c r="A379" s="91" t="s">
        <v>91</v>
      </c>
      <c r="B379" s="91" t="s">
        <v>99</v>
      </c>
      <c r="C379" s="146" t="s">
        <v>492</v>
      </c>
      <c r="D379" s="146">
        <v>77544</v>
      </c>
      <c r="E379" s="146"/>
      <c r="F379" s="147" t="s">
        <v>493</v>
      </c>
      <c r="G379" s="17" t="s">
        <v>494</v>
      </c>
      <c r="H379" s="146" t="s">
        <v>423</v>
      </c>
      <c r="I379" s="146">
        <v>1</v>
      </c>
      <c r="J379" s="146">
        <v>36</v>
      </c>
      <c r="K379" s="146">
        <v>1</v>
      </c>
      <c r="L379" s="146">
        <v>1</v>
      </c>
      <c r="M379" s="146"/>
      <c r="N379" s="148" t="s">
        <v>208</v>
      </c>
      <c r="O379" s="148">
        <f t="shared" si="49"/>
        <v>36</v>
      </c>
      <c r="P379" s="125">
        <v>44895</v>
      </c>
      <c r="Q379" s="149"/>
      <c r="R379" s="150">
        <v>1</v>
      </c>
      <c r="S379" s="150">
        <v>1</v>
      </c>
      <c r="T379" s="150">
        <v>0</v>
      </c>
      <c r="U379" s="151">
        <f>IF(ISBLANK(Table1[[#This Row],[OHC Date]]),$B$7-Table1[[#This Row],[HOC Date]]+1,Table1[[#This Row],[OHC Date]]-Table1[[#This Row],[HOC Date]]+1)/7</f>
        <v>3.7142857142857144</v>
      </c>
      <c r="V379" s="152">
        <v>8.52</v>
      </c>
      <c r="W379" s="152">
        <v>0</v>
      </c>
      <c r="X379" s="152">
        <f>ROUND(0.7*Table1[[#This Row],[E&amp;D Rate per unit]]*R379*Table1[[#This Row],[Quantity]],2)</f>
        <v>214.7</v>
      </c>
      <c r="Y379" s="152">
        <f t="shared" si="50"/>
        <v>0</v>
      </c>
      <c r="Z379" s="152">
        <f>ROUND(0.3*T379*Table1[[#This Row],[E&amp;D Rate per unit]]*Table1[[#This Row],[Quantity]],2)</f>
        <v>0</v>
      </c>
      <c r="AA379" s="112">
        <v>1</v>
      </c>
      <c r="AB379" s="21">
        <f>ROUND(X379+Z379+Y379,2)*Table1[[#This Row],[Until WA Approved Only Approved this %]]</f>
        <v>214.7</v>
      </c>
      <c r="AC379" s="153"/>
      <c r="AD379" s="153">
        <f>Table1[[#This Row],[Total Amount]]-Table1[[#This Row],[Previous Amount]]</f>
        <v>214.7</v>
      </c>
      <c r="AE379" s="154"/>
      <c r="AG379" s="174">
        <v>214.7</v>
      </c>
      <c r="AH379" s="178">
        <f>AG379-Table1[[#This Row],[Total Amount]]</f>
        <v>0</v>
      </c>
      <c r="AI379" s="171">
        <f t="shared" si="44"/>
        <v>0</v>
      </c>
    </row>
    <row r="380" spans="1:35" ht="30" customHeight="1" x14ac:dyDescent="0.3">
      <c r="A380" s="91" t="s">
        <v>91</v>
      </c>
      <c r="B380" s="91" t="s">
        <v>99</v>
      </c>
      <c r="C380" s="146">
        <v>110</v>
      </c>
      <c r="D380" s="146">
        <v>77545</v>
      </c>
      <c r="E380" s="146"/>
      <c r="F380" s="147" t="s">
        <v>495</v>
      </c>
      <c r="G380" s="17" t="s">
        <v>225</v>
      </c>
      <c r="H380" s="146" t="s">
        <v>222</v>
      </c>
      <c r="I380" s="146">
        <v>1</v>
      </c>
      <c r="J380" s="146">
        <v>2.5</v>
      </c>
      <c r="K380" s="146">
        <v>1.3</v>
      </c>
      <c r="L380" s="146">
        <v>6</v>
      </c>
      <c r="M380" s="146">
        <v>3</v>
      </c>
      <c r="N380" s="148" t="s">
        <v>223</v>
      </c>
      <c r="O380" s="148">
        <f t="shared" si="49"/>
        <v>6</v>
      </c>
      <c r="P380" s="125">
        <v>44895</v>
      </c>
      <c r="Q380" s="149"/>
      <c r="R380" s="150">
        <v>1</v>
      </c>
      <c r="S380" s="150">
        <v>1</v>
      </c>
      <c r="T380" s="150">
        <v>0</v>
      </c>
      <c r="U380" s="151">
        <f>IF(ISBLANK(Table1[[#This Row],[OHC Date]]),$B$7-Table1[[#This Row],[HOC Date]]+1,Table1[[#This Row],[OHC Date]]-Table1[[#This Row],[HOC Date]]+1)/7</f>
        <v>3.7142857142857144</v>
      </c>
      <c r="V380" s="152">
        <v>63.34</v>
      </c>
      <c r="W380" s="152">
        <v>7.28</v>
      </c>
      <c r="X380" s="152">
        <f>ROUND(0.7*Table1[[#This Row],[E&amp;D Rate per unit]]*R380*Table1[[#This Row],[Quantity]],2)</f>
        <v>266.02999999999997</v>
      </c>
      <c r="Y380" s="152">
        <f t="shared" si="50"/>
        <v>162.24</v>
      </c>
      <c r="Z380" s="152">
        <f>ROUND(0.3*T380*Table1[[#This Row],[E&amp;D Rate per unit]]*Table1[[#This Row],[Quantity]],2)</f>
        <v>0</v>
      </c>
      <c r="AA380" s="112">
        <v>1</v>
      </c>
      <c r="AB380" s="21">
        <f>ROUND(X380+Z380+Y380,2)*Table1[[#This Row],[Until WA Approved Only Approved this %]]</f>
        <v>428.27</v>
      </c>
      <c r="AC380" s="153"/>
      <c r="AD380" s="153">
        <f>Table1[[#This Row],[Total Amount]]-Table1[[#This Row],[Previous Amount]]</f>
        <v>428.27</v>
      </c>
      <c r="AE380" s="154"/>
      <c r="AG380" s="174">
        <v>428.27</v>
      </c>
      <c r="AH380" s="178">
        <f>AG380-Table1[[#This Row],[Total Amount]]</f>
        <v>0</v>
      </c>
      <c r="AI380" s="171">
        <f t="shared" si="44"/>
        <v>0</v>
      </c>
    </row>
    <row r="381" spans="1:35" ht="30" customHeight="1" x14ac:dyDescent="0.3">
      <c r="A381" s="91" t="s">
        <v>91</v>
      </c>
      <c r="B381" s="91" t="s">
        <v>99</v>
      </c>
      <c r="C381" s="146">
        <v>110</v>
      </c>
      <c r="D381" s="146">
        <v>77545</v>
      </c>
      <c r="E381" s="146"/>
      <c r="F381" s="147" t="s">
        <v>495</v>
      </c>
      <c r="G381" s="17" t="s">
        <v>225</v>
      </c>
      <c r="H381" s="146" t="s">
        <v>178</v>
      </c>
      <c r="I381" s="146">
        <v>2</v>
      </c>
      <c r="J381" s="146">
        <v>2.5</v>
      </c>
      <c r="K381" s="146">
        <v>1.3</v>
      </c>
      <c r="L381" s="146">
        <v>1</v>
      </c>
      <c r="M381" s="146">
        <v>2</v>
      </c>
      <c r="N381" s="148" t="s">
        <v>162</v>
      </c>
      <c r="O381" s="148">
        <f t="shared" si="49"/>
        <v>6.5</v>
      </c>
      <c r="P381" s="125">
        <v>44895</v>
      </c>
      <c r="Q381" s="149"/>
      <c r="R381" s="150">
        <v>1</v>
      </c>
      <c r="S381" s="150">
        <v>1</v>
      </c>
      <c r="T381" s="150">
        <v>0</v>
      </c>
      <c r="U381" s="151">
        <f>IF(ISBLANK(Table1[[#This Row],[OHC Date]]),$B$7-Table1[[#This Row],[HOC Date]]+1,Table1[[#This Row],[OHC Date]]-Table1[[#This Row],[HOC Date]]+1)/7</f>
        <v>3.7142857142857144</v>
      </c>
      <c r="V381" s="152">
        <v>6.63</v>
      </c>
      <c r="W381" s="152">
        <v>0.7</v>
      </c>
      <c r="X381" s="152">
        <f>ROUND(0.7*Table1[[#This Row],[E&amp;D Rate per unit]]*R381*Table1[[#This Row],[Quantity]],2)</f>
        <v>30.17</v>
      </c>
      <c r="Y381" s="152">
        <f t="shared" si="50"/>
        <v>16.899999999999999</v>
      </c>
      <c r="Z381" s="152">
        <f>ROUND(0.3*T381*Table1[[#This Row],[E&amp;D Rate per unit]]*Table1[[#This Row],[Quantity]],2)</f>
        <v>0</v>
      </c>
      <c r="AA381" s="112">
        <v>1</v>
      </c>
      <c r="AB381" s="21">
        <f>ROUND(X381+Z381+Y381,2)*Table1[[#This Row],[Until WA Approved Only Approved this %]]</f>
        <v>47.07</v>
      </c>
      <c r="AC381" s="153"/>
      <c r="AD381" s="153">
        <f>Table1[[#This Row],[Total Amount]]-Table1[[#This Row],[Previous Amount]]</f>
        <v>47.07</v>
      </c>
      <c r="AE381" s="154"/>
      <c r="AG381" s="174">
        <v>47.07</v>
      </c>
      <c r="AH381" s="178">
        <f>AG381-Table1[[#This Row],[Total Amount]]</f>
        <v>0</v>
      </c>
      <c r="AI381" s="171">
        <f t="shared" si="44"/>
        <v>0</v>
      </c>
    </row>
    <row r="382" spans="1:35" ht="30" customHeight="1" x14ac:dyDescent="0.3">
      <c r="A382" s="91" t="s">
        <v>91</v>
      </c>
      <c r="B382" s="91" t="s">
        <v>99</v>
      </c>
      <c r="C382" s="146" t="s">
        <v>496</v>
      </c>
      <c r="D382" s="146">
        <v>77545</v>
      </c>
      <c r="E382" s="146"/>
      <c r="F382" s="147" t="s">
        <v>495</v>
      </c>
      <c r="G382" s="17" t="s">
        <v>225</v>
      </c>
      <c r="H382" s="146" t="s">
        <v>290</v>
      </c>
      <c r="I382" s="146">
        <v>1</v>
      </c>
      <c r="J382" s="146">
        <v>2.5</v>
      </c>
      <c r="K382" s="146">
        <v>2.5</v>
      </c>
      <c r="L382" s="146">
        <v>3.5</v>
      </c>
      <c r="M382" s="146"/>
      <c r="N382" s="148" t="s">
        <v>226</v>
      </c>
      <c r="O382" s="148">
        <f t="shared" si="49"/>
        <v>21.88</v>
      </c>
      <c r="P382" s="125">
        <v>44895</v>
      </c>
      <c r="Q382" s="149"/>
      <c r="R382" s="150">
        <v>1</v>
      </c>
      <c r="S382" s="150">
        <v>1</v>
      </c>
      <c r="T382" s="150">
        <v>0</v>
      </c>
      <c r="U382" s="151">
        <f>IF(ISBLANK(Table1[[#This Row],[OHC Date]]),$B$7-Table1[[#This Row],[HOC Date]]+1,Table1[[#This Row],[OHC Date]]-Table1[[#This Row],[HOC Date]]+1)/7</f>
        <v>3.7142857142857144</v>
      </c>
      <c r="V382" s="152">
        <v>5.29</v>
      </c>
      <c r="W382" s="152">
        <v>0.35</v>
      </c>
      <c r="X382" s="152">
        <f>ROUND(0.7*Table1[[#This Row],[E&amp;D Rate per unit]]*R382*Table1[[#This Row],[Quantity]],2)</f>
        <v>81.02</v>
      </c>
      <c r="Y382" s="152">
        <f t="shared" si="50"/>
        <v>28.44</v>
      </c>
      <c r="Z382" s="152">
        <f>ROUND(0.3*T382*Table1[[#This Row],[E&amp;D Rate per unit]]*Table1[[#This Row],[Quantity]],2)</f>
        <v>0</v>
      </c>
      <c r="AA382" s="112">
        <v>1</v>
      </c>
      <c r="AB382" s="21">
        <f>ROUND(X382+Z382+Y382,2)*Table1[[#This Row],[Until WA Approved Only Approved this %]]</f>
        <v>109.46</v>
      </c>
      <c r="AC382" s="153"/>
      <c r="AD382" s="153">
        <f>Table1[[#This Row],[Total Amount]]-Table1[[#This Row],[Previous Amount]]</f>
        <v>109.46</v>
      </c>
      <c r="AE382" s="154"/>
      <c r="AG382" s="174">
        <v>109.46</v>
      </c>
      <c r="AH382" s="178">
        <f>AG382-Table1[[#This Row],[Total Amount]]</f>
        <v>0</v>
      </c>
      <c r="AI382" s="171">
        <f t="shared" si="44"/>
        <v>0</v>
      </c>
    </row>
    <row r="383" spans="1:35" ht="30" customHeight="1" x14ac:dyDescent="0.3">
      <c r="A383" s="91" t="s">
        <v>91</v>
      </c>
      <c r="B383" s="91" t="s">
        <v>99</v>
      </c>
      <c r="C383" s="146" t="s">
        <v>497</v>
      </c>
      <c r="D383" s="146">
        <v>77546</v>
      </c>
      <c r="E383" s="146"/>
      <c r="F383" s="147" t="s">
        <v>495</v>
      </c>
      <c r="G383" s="17" t="s">
        <v>225</v>
      </c>
      <c r="H383" s="109" t="s">
        <v>128</v>
      </c>
      <c r="I383" s="146">
        <v>3</v>
      </c>
      <c r="J383" s="146">
        <v>1.3</v>
      </c>
      <c r="K383" s="146">
        <v>0.5</v>
      </c>
      <c r="L383" s="146">
        <v>1</v>
      </c>
      <c r="M383" s="146">
        <v>3</v>
      </c>
      <c r="N383" s="148" t="s">
        <v>162</v>
      </c>
      <c r="O383" s="148">
        <f t="shared" si="49"/>
        <v>1.95</v>
      </c>
      <c r="P383" s="125">
        <v>44895</v>
      </c>
      <c r="Q383" s="149"/>
      <c r="R383" s="150">
        <v>1</v>
      </c>
      <c r="S383" s="150">
        <v>1</v>
      </c>
      <c r="T383" s="150">
        <v>0</v>
      </c>
      <c r="U383" s="151">
        <f>IF(ISBLANK(Table1[[#This Row],[OHC Date]]),$B$7-Table1[[#This Row],[HOC Date]]+1,Table1[[#This Row],[OHC Date]]-Table1[[#This Row],[HOC Date]]+1)/7</f>
        <v>3.7142857142857144</v>
      </c>
      <c r="V383" s="152">
        <v>32.75</v>
      </c>
      <c r="W383" s="152">
        <v>1.05</v>
      </c>
      <c r="X383" s="152">
        <f>ROUND(0.7*Table1[[#This Row],[E&amp;D Rate per unit]]*R383*Table1[[#This Row],[Quantity]],2)</f>
        <v>44.7</v>
      </c>
      <c r="Y383" s="152">
        <f t="shared" si="50"/>
        <v>7.61</v>
      </c>
      <c r="Z383" s="152">
        <f>ROUND(0.3*T383*Table1[[#This Row],[E&amp;D Rate per unit]]*Table1[[#This Row],[Quantity]],2)</f>
        <v>0</v>
      </c>
      <c r="AA383" s="112">
        <v>1</v>
      </c>
      <c r="AB383" s="21">
        <f>ROUND(X383+Z383+Y383,2)*Table1[[#This Row],[Until WA Approved Only Approved this %]]</f>
        <v>52.31</v>
      </c>
      <c r="AC383" s="153"/>
      <c r="AD383" s="153">
        <f>Table1[[#This Row],[Total Amount]]-Table1[[#This Row],[Previous Amount]]</f>
        <v>52.31</v>
      </c>
      <c r="AE383" s="154"/>
      <c r="AG383" s="174">
        <v>52.31</v>
      </c>
      <c r="AH383" s="178">
        <f>AG383-Table1[[#This Row],[Total Amount]]</f>
        <v>0</v>
      </c>
      <c r="AI383" s="171">
        <f t="shared" si="44"/>
        <v>0</v>
      </c>
    </row>
    <row r="384" spans="1:35" ht="30" customHeight="1" x14ac:dyDescent="0.3">
      <c r="A384" s="91" t="s">
        <v>91</v>
      </c>
      <c r="B384" s="91" t="s">
        <v>99</v>
      </c>
      <c r="C384" s="146" t="s">
        <v>498</v>
      </c>
      <c r="D384" s="146">
        <v>77547</v>
      </c>
      <c r="E384" s="146"/>
      <c r="F384" s="147" t="s">
        <v>499</v>
      </c>
      <c r="G384" s="17" t="s">
        <v>165</v>
      </c>
      <c r="H384" s="146" t="s">
        <v>178</v>
      </c>
      <c r="I384" s="146">
        <v>2</v>
      </c>
      <c r="J384" s="146">
        <v>1.8</v>
      </c>
      <c r="K384" s="146">
        <v>1.8</v>
      </c>
      <c r="L384" s="146">
        <v>1</v>
      </c>
      <c r="M384" s="146">
        <v>2</v>
      </c>
      <c r="N384" s="148" t="s">
        <v>162</v>
      </c>
      <c r="O384" s="148">
        <f t="shared" si="49"/>
        <v>6.48</v>
      </c>
      <c r="P384" s="125">
        <v>44900</v>
      </c>
      <c r="Q384" s="149"/>
      <c r="R384" s="150">
        <v>1</v>
      </c>
      <c r="S384" s="150">
        <v>1</v>
      </c>
      <c r="T384" s="150">
        <v>0</v>
      </c>
      <c r="U384" s="151">
        <f>IF(ISBLANK(Table1[[#This Row],[OHC Date]]),$B$7-Table1[[#This Row],[HOC Date]]+1,Table1[[#This Row],[OHC Date]]-Table1[[#This Row],[HOC Date]]+1)/7</f>
        <v>3</v>
      </c>
      <c r="V384" s="152">
        <v>6.63</v>
      </c>
      <c r="W384" s="152">
        <v>0.7</v>
      </c>
      <c r="X384" s="152">
        <f>ROUND(0.7*Table1[[#This Row],[E&amp;D Rate per unit]]*R384*Table1[[#This Row],[Quantity]],2)</f>
        <v>30.07</v>
      </c>
      <c r="Y384" s="152">
        <f t="shared" si="50"/>
        <v>13.61</v>
      </c>
      <c r="Z384" s="152">
        <f>ROUND(0.3*T384*Table1[[#This Row],[E&amp;D Rate per unit]]*Table1[[#This Row],[Quantity]],2)</f>
        <v>0</v>
      </c>
      <c r="AA384" s="112">
        <v>1</v>
      </c>
      <c r="AB384" s="21">
        <f>ROUND(X384+Z384+Y384,2)*Table1[[#This Row],[Until WA Approved Only Approved this %]]</f>
        <v>43.68</v>
      </c>
      <c r="AC384" s="153"/>
      <c r="AD384" s="153">
        <f>Table1[[#This Row],[Total Amount]]-Table1[[#This Row],[Previous Amount]]</f>
        <v>43.68</v>
      </c>
      <c r="AE384" s="154"/>
      <c r="AG384" s="174">
        <v>43.68</v>
      </c>
      <c r="AH384" s="178">
        <f>AG384-Table1[[#This Row],[Total Amount]]</f>
        <v>0</v>
      </c>
      <c r="AI384" s="171">
        <f t="shared" si="44"/>
        <v>0</v>
      </c>
    </row>
    <row r="385" spans="1:35" ht="30" customHeight="1" x14ac:dyDescent="0.3">
      <c r="A385" s="91" t="s">
        <v>91</v>
      </c>
      <c r="B385" s="91" t="s">
        <v>99</v>
      </c>
      <c r="C385" s="146" t="s">
        <v>500</v>
      </c>
      <c r="D385" s="146">
        <v>77548</v>
      </c>
      <c r="E385" s="146"/>
      <c r="F385" s="147" t="s">
        <v>499</v>
      </c>
      <c r="G385" s="17" t="s">
        <v>165</v>
      </c>
      <c r="H385" s="109" t="s">
        <v>129</v>
      </c>
      <c r="I385" s="146">
        <v>1</v>
      </c>
      <c r="J385" s="146">
        <v>1.5</v>
      </c>
      <c r="K385" s="146">
        <v>1.5</v>
      </c>
      <c r="L385" s="146">
        <v>1</v>
      </c>
      <c r="M385" s="146">
        <v>1</v>
      </c>
      <c r="N385" s="148" t="s">
        <v>162</v>
      </c>
      <c r="O385" s="148">
        <f t="shared" si="49"/>
        <v>2.25</v>
      </c>
      <c r="P385" s="125">
        <v>44900</v>
      </c>
      <c r="Q385" s="149"/>
      <c r="R385" s="150">
        <v>1</v>
      </c>
      <c r="S385" s="150">
        <v>1</v>
      </c>
      <c r="T385" s="150">
        <v>0</v>
      </c>
      <c r="U385" s="151">
        <f>IF(ISBLANK(Table1[[#This Row],[OHC Date]]),$B$7-Table1[[#This Row],[HOC Date]]+1,Table1[[#This Row],[OHC Date]]-Table1[[#This Row],[HOC Date]]+1)/7</f>
        <v>3</v>
      </c>
      <c r="V385" s="152">
        <v>36.520000000000003</v>
      </c>
      <c r="W385" s="152">
        <v>2.94</v>
      </c>
      <c r="X385" s="152">
        <f>ROUND(0.7*Table1[[#This Row],[E&amp;D Rate per unit]]*R385*Table1[[#This Row],[Quantity]],2)</f>
        <v>57.52</v>
      </c>
      <c r="Y385" s="152">
        <f t="shared" si="50"/>
        <v>19.850000000000001</v>
      </c>
      <c r="Z385" s="152">
        <f>ROUND(0.3*T385*Table1[[#This Row],[E&amp;D Rate per unit]]*Table1[[#This Row],[Quantity]],2)</f>
        <v>0</v>
      </c>
      <c r="AA385" s="112">
        <v>1</v>
      </c>
      <c r="AB385" s="21">
        <f>ROUND(X385+Z385+Y385,2)*Table1[[#This Row],[Until WA Approved Only Approved this %]]</f>
        <v>77.37</v>
      </c>
      <c r="AC385" s="153"/>
      <c r="AD385" s="153">
        <f>Table1[[#This Row],[Total Amount]]-Table1[[#This Row],[Previous Amount]]</f>
        <v>77.37</v>
      </c>
      <c r="AE385" s="154"/>
      <c r="AG385" s="174">
        <v>77.37</v>
      </c>
      <c r="AH385" s="178">
        <f>AG385-Table1[[#This Row],[Total Amount]]</f>
        <v>0</v>
      </c>
      <c r="AI385" s="171">
        <f t="shared" si="44"/>
        <v>0</v>
      </c>
    </row>
    <row r="386" spans="1:35" ht="30" customHeight="1" x14ac:dyDescent="0.3">
      <c r="A386" s="91" t="s">
        <v>91</v>
      </c>
      <c r="B386" s="91" t="s">
        <v>99</v>
      </c>
      <c r="C386" s="146" t="s">
        <v>501</v>
      </c>
      <c r="D386" s="146">
        <v>77549</v>
      </c>
      <c r="E386" s="146"/>
      <c r="F386" s="147" t="s">
        <v>240</v>
      </c>
      <c r="G386" s="17" t="s">
        <v>192</v>
      </c>
      <c r="H386" s="109" t="s">
        <v>128</v>
      </c>
      <c r="I386" s="146">
        <v>3</v>
      </c>
      <c r="J386" s="146">
        <v>8.5</v>
      </c>
      <c r="K386" s="146">
        <v>0.5</v>
      </c>
      <c r="L386" s="146">
        <v>1</v>
      </c>
      <c r="M386" s="146">
        <v>3</v>
      </c>
      <c r="N386" s="148" t="s">
        <v>162</v>
      </c>
      <c r="O386" s="148">
        <f t="shared" si="49"/>
        <v>12.75</v>
      </c>
      <c r="P386" s="125">
        <v>44901</v>
      </c>
      <c r="Q386" s="149"/>
      <c r="R386" s="150">
        <v>1</v>
      </c>
      <c r="S386" s="150">
        <v>1</v>
      </c>
      <c r="T386" s="150">
        <v>0</v>
      </c>
      <c r="U386" s="151">
        <f>IF(ISBLANK(Table1[[#This Row],[OHC Date]]),$B$7-Table1[[#This Row],[HOC Date]]+1,Table1[[#This Row],[OHC Date]]-Table1[[#This Row],[HOC Date]]+1)/7</f>
        <v>2.8571428571428572</v>
      </c>
      <c r="V386" s="152">
        <v>32.75</v>
      </c>
      <c r="W386" s="152">
        <v>1.05</v>
      </c>
      <c r="X386" s="152">
        <f>ROUND(0.7*Table1[[#This Row],[E&amp;D Rate per unit]]*R386*Table1[[#This Row],[Quantity]],2)</f>
        <v>292.29000000000002</v>
      </c>
      <c r="Y386" s="152">
        <f t="shared" si="50"/>
        <v>38.25</v>
      </c>
      <c r="Z386" s="152">
        <f>ROUND(0.3*T386*Table1[[#This Row],[E&amp;D Rate per unit]]*Table1[[#This Row],[Quantity]],2)</f>
        <v>0</v>
      </c>
      <c r="AA386" s="112">
        <v>1</v>
      </c>
      <c r="AB386" s="21">
        <f>ROUND(X386+Z386+Y386,2)*Table1[[#This Row],[Until WA Approved Only Approved this %]]</f>
        <v>330.54</v>
      </c>
      <c r="AC386" s="153"/>
      <c r="AD386" s="153">
        <f>Table1[[#This Row],[Total Amount]]-Table1[[#This Row],[Previous Amount]]</f>
        <v>330.54</v>
      </c>
      <c r="AE386" s="154"/>
      <c r="AG386" s="174">
        <v>330.54</v>
      </c>
      <c r="AH386" s="178">
        <f>AG386-Table1[[#This Row],[Total Amount]]</f>
        <v>0</v>
      </c>
      <c r="AI386" s="171">
        <f t="shared" si="44"/>
        <v>0</v>
      </c>
    </row>
    <row r="387" spans="1:35" ht="30" customHeight="1" x14ac:dyDescent="0.3">
      <c r="A387" s="91" t="s">
        <v>91</v>
      </c>
      <c r="B387" s="91" t="s">
        <v>99</v>
      </c>
      <c r="C387" s="146" t="s">
        <v>502</v>
      </c>
      <c r="D387" s="146">
        <v>79102</v>
      </c>
      <c r="E387" s="146"/>
      <c r="F387" s="147" t="s">
        <v>493</v>
      </c>
      <c r="G387" s="17" t="s">
        <v>161</v>
      </c>
      <c r="H387" s="146" t="s">
        <v>178</v>
      </c>
      <c r="I387" s="146">
        <v>1</v>
      </c>
      <c r="J387" s="146">
        <v>7.2</v>
      </c>
      <c r="K387" s="146">
        <v>1.8</v>
      </c>
      <c r="L387" s="146">
        <v>1</v>
      </c>
      <c r="M387" s="146">
        <v>1</v>
      </c>
      <c r="N387" s="148" t="s">
        <v>162</v>
      </c>
      <c r="O387" s="148">
        <f t="shared" si="49"/>
        <v>12.96</v>
      </c>
      <c r="P387" s="125">
        <v>44901</v>
      </c>
      <c r="Q387" s="149"/>
      <c r="R387" s="150">
        <v>1</v>
      </c>
      <c r="S387" s="150">
        <v>1</v>
      </c>
      <c r="T387" s="150">
        <v>0</v>
      </c>
      <c r="U387" s="151">
        <f>IF(ISBLANK(Table1[[#This Row],[OHC Date]]),$B$7-Table1[[#This Row],[HOC Date]]+1,Table1[[#This Row],[OHC Date]]-Table1[[#This Row],[HOC Date]]+1)/7</f>
        <v>2.8571428571428572</v>
      </c>
      <c r="V387" s="152">
        <v>6.63</v>
      </c>
      <c r="W387" s="152">
        <v>0.7</v>
      </c>
      <c r="X387" s="152">
        <f>ROUND(0.7*Table1[[#This Row],[E&amp;D Rate per unit]]*R387*Table1[[#This Row],[Quantity]],2)</f>
        <v>60.15</v>
      </c>
      <c r="Y387" s="152">
        <f t="shared" si="50"/>
        <v>25.92</v>
      </c>
      <c r="Z387" s="152">
        <f>ROUND(0.3*T387*Table1[[#This Row],[E&amp;D Rate per unit]]*Table1[[#This Row],[Quantity]],2)</f>
        <v>0</v>
      </c>
      <c r="AA387" s="112">
        <v>1</v>
      </c>
      <c r="AB387" s="21">
        <f>ROUND(X387+Z387+Y387,2)*Table1[[#This Row],[Until WA Approved Only Approved this %]]</f>
        <v>86.07</v>
      </c>
      <c r="AC387" s="153"/>
      <c r="AD387" s="153">
        <f>Table1[[#This Row],[Total Amount]]-Table1[[#This Row],[Previous Amount]]</f>
        <v>86.07</v>
      </c>
      <c r="AE387" s="154"/>
      <c r="AG387" s="174">
        <v>86.07</v>
      </c>
      <c r="AH387" s="178">
        <f>AG387-Table1[[#This Row],[Total Amount]]</f>
        <v>0</v>
      </c>
      <c r="AI387" s="171">
        <f t="shared" si="44"/>
        <v>0</v>
      </c>
    </row>
    <row r="388" spans="1:35" ht="30" customHeight="1" x14ac:dyDescent="0.3">
      <c r="A388" s="91" t="s">
        <v>91</v>
      </c>
      <c r="B388" s="91" t="s">
        <v>99</v>
      </c>
      <c r="C388" s="146" t="s">
        <v>503</v>
      </c>
      <c r="D388" s="146">
        <v>79118</v>
      </c>
      <c r="E388" s="146">
        <v>80555</v>
      </c>
      <c r="F388" s="147" t="s">
        <v>489</v>
      </c>
      <c r="G388" s="17" t="s">
        <v>202</v>
      </c>
      <c r="H388" s="146" t="s">
        <v>207</v>
      </c>
      <c r="I388" s="146">
        <v>1</v>
      </c>
      <c r="J388" s="146">
        <v>18.399999999999999</v>
      </c>
      <c r="K388" s="146">
        <v>0.9</v>
      </c>
      <c r="L388" s="146">
        <v>2</v>
      </c>
      <c r="M388" s="146">
        <v>1</v>
      </c>
      <c r="N388" s="148" t="s">
        <v>208</v>
      </c>
      <c r="O388" s="148">
        <f t="shared" si="49"/>
        <v>36.799999999999997</v>
      </c>
      <c r="P388" s="125">
        <v>44901</v>
      </c>
      <c r="Q388" s="149">
        <v>44902</v>
      </c>
      <c r="R388" s="150">
        <v>1</v>
      </c>
      <c r="S388" s="150">
        <v>1</v>
      </c>
      <c r="T388" s="150">
        <v>1</v>
      </c>
      <c r="U388" s="151">
        <f>IF(ISBLANK(Table1[[#This Row],[OHC Date]]),$B$7-Table1[[#This Row],[HOC Date]]+1,Table1[[#This Row],[OHC Date]]-Table1[[#This Row],[HOC Date]]+1)/7</f>
        <v>0.2857142857142857</v>
      </c>
      <c r="V388" s="152">
        <v>12.01</v>
      </c>
      <c r="W388" s="152">
        <v>0.49</v>
      </c>
      <c r="X388" s="152">
        <f>ROUND(0.7*Table1[[#This Row],[E&amp;D Rate per unit]]*R388*Table1[[#This Row],[Quantity]],2)</f>
        <v>309.38</v>
      </c>
      <c r="Y388" s="152">
        <f t="shared" si="50"/>
        <v>5.15</v>
      </c>
      <c r="Z388" s="152">
        <f>ROUND(0.3*T388*Table1[[#This Row],[E&amp;D Rate per unit]]*Table1[[#This Row],[Quantity]],2)</f>
        <v>132.59</v>
      </c>
      <c r="AA388" s="112">
        <v>1</v>
      </c>
      <c r="AB388" s="21">
        <f>ROUND(X388+Z388+Y388,2)*Table1[[#This Row],[Until WA Approved Only Approved this %]]</f>
        <v>447.12</v>
      </c>
      <c r="AC388" s="153"/>
      <c r="AD388" s="153">
        <f>Table1[[#This Row],[Total Amount]]-Table1[[#This Row],[Previous Amount]]</f>
        <v>447.12</v>
      </c>
      <c r="AE388" s="154"/>
      <c r="AG388" s="174">
        <v>447.12</v>
      </c>
      <c r="AH388" s="178">
        <f>AG388-Table1[[#This Row],[Total Amount]]</f>
        <v>0</v>
      </c>
      <c r="AI388" s="171">
        <f t="shared" si="44"/>
        <v>0</v>
      </c>
    </row>
    <row r="389" spans="1:35" ht="30" customHeight="1" x14ac:dyDescent="0.3">
      <c r="A389" s="91" t="s">
        <v>504</v>
      </c>
      <c r="B389" s="91" t="s">
        <v>99</v>
      </c>
      <c r="C389" s="146">
        <v>111</v>
      </c>
      <c r="D389" s="146">
        <v>79106</v>
      </c>
      <c r="E389" s="146"/>
      <c r="F389" s="147" t="s">
        <v>242</v>
      </c>
      <c r="G389" s="17" t="s">
        <v>442</v>
      </c>
      <c r="H389" s="146" t="s">
        <v>207</v>
      </c>
      <c r="I389" s="146">
        <v>1</v>
      </c>
      <c r="J389" s="146">
        <v>20</v>
      </c>
      <c r="K389" s="146">
        <v>0.6</v>
      </c>
      <c r="L389" s="146">
        <v>2.5</v>
      </c>
      <c r="M389" s="146">
        <v>1</v>
      </c>
      <c r="N389" s="148" t="s">
        <v>56</v>
      </c>
      <c r="O389" s="148">
        <f t="shared" si="49"/>
        <v>1</v>
      </c>
      <c r="P389" s="125">
        <v>44902</v>
      </c>
      <c r="Q389" s="149"/>
      <c r="R389" s="150">
        <v>1</v>
      </c>
      <c r="S389" s="150">
        <v>1</v>
      </c>
      <c r="T389" s="150">
        <v>0</v>
      </c>
      <c r="U389" s="151">
        <f>IF(ISBLANK(Table1[[#This Row],[OHC Date]]),$B$7-Table1[[#This Row],[HOC Date]]+1,Table1[[#This Row],[OHC Date]]-Table1[[#This Row],[HOC Date]]+1)/7</f>
        <v>2.7142857142857144</v>
      </c>
      <c r="V389" s="152">
        <v>3253.14</v>
      </c>
      <c r="W389" s="152">
        <v>303.8</v>
      </c>
      <c r="X389" s="152">
        <f>ROUND(0.7*Table1[[#This Row],[E&amp;D Rate per unit]]*R389*Table1[[#This Row],[Quantity]],2)</f>
        <v>2277.1999999999998</v>
      </c>
      <c r="Y389" s="152">
        <f t="shared" si="50"/>
        <v>824.6</v>
      </c>
      <c r="Z389" s="152">
        <f>ROUND(0.3*T389*Table1[[#This Row],[E&amp;D Rate per unit]]*Table1[[#This Row],[Quantity]],2)</f>
        <v>0</v>
      </c>
      <c r="AA389" s="19">
        <v>1</v>
      </c>
      <c r="AB389" s="163">
        <f>ROUND(X389+Z389+Y389,2)*Table1[[#This Row],[Until WA Approved Only Approved this %]]/(20*3)*(20*2.5)</f>
        <v>2584.8333333333335</v>
      </c>
      <c r="AC389" s="153"/>
      <c r="AD389" s="153">
        <f>Table1[[#This Row],[Total Amount]]-Table1[[#This Row],[Previous Amount]]</f>
        <v>2584.8333333333335</v>
      </c>
      <c r="AE389" s="142" t="s">
        <v>515</v>
      </c>
      <c r="AG389" s="174">
        <v>3101.8</v>
      </c>
      <c r="AH389" s="178">
        <f>AG389-Table1[[#This Row],[Total Amount]]</f>
        <v>516.9666666666667</v>
      </c>
      <c r="AI389" s="171">
        <f t="shared" si="44"/>
        <v>0.16666666666666666</v>
      </c>
    </row>
    <row r="390" spans="1:35" ht="30" customHeight="1" x14ac:dyDescent="0.3">
      <c r="A390" s="91" t="s">
        <v>504</v>
      </c>
      <c r="B390" s="91" t="s">
        <v>99</v>
      </c>
      <c r="C390" s="146" t="s">
        <v>505</v>
      </c>
      <c r="D390" s="146">
        <v>79107</v>
      </c>
      <c r="E390" s="146"/>
      <c r="F390" s="147" t="s">
        <v>242</v>
      </c>
      <c r="G390" s="17" t="s">
        <v>442</v>
      </c>
      <c r="H390" s="146" t="s">
        <v>207</v>
      </c>
      <c r="I390" s="146">
        <v>1</v>
      </c>
      <c r="J390" s="146">
        <v>2.6</v>
      </c>
      <c r="K390" s="146">
        <v>1.3</v>
      </c>
      <c r="L390" s="146">
        <v>3.5</v>
      </c>
      <c r="M390" s="146">
        <v>2</v>
      </c>
      <c r="N390" s="148" t="s">
        <v>56</v>
      </c>
      <c r="O390" s="148">
        <f t="shared" si="49"/>
        <v>1</v>
      </c>
      <c r="P390" s="125">
        <v>44902</v>
      </c>
      <c r="Q390" s="149"/>
      <c r="R390" s="150">
        <v>1</v>
      </c>
      <c r="S390" s="150">
        <v>1</v>
      </c>
      <c r="T390" s="150">
        <v>0</v>
      </c>
      <c r="U390" s="151">
        <f>IF(ISBLANK(Table1[[#This Row],[OHC Date]]),$B$7-Table1[[#This Row],[HOC Date]]+1,Table1[[#This Row],[OHC Date]]-Table1[[#This Row],[HOC Date]]+1)/7</f>
        <v>2.7142857142857144</v>
      </c>
      <c r="V390" s="152">
        <v>1093.55</v>
      </c>
      <c r="W390" s="152">
        <v>110.25</v>
      </c>
      <c r="X390" s="152">
        <f>ROUND(0.7*Table1[[#This Row],[E&amp;D Rate per unit]]*R390*Table1[[#This Row],[Quantity]],2)</f>
        <v>765.49</v>
      </c>
      <c r="Y390" s="152">
        <f t="shared" si="50"/>
        <v>299.25</v>
      </c>
      <c r="Z390" s="152">
        <f>ROUND(0.3*T390*Table1[[#This Row],[E&amp;D Rate per unit]]*Table1[[#This Row],[Quantity]],2)</f>
        <v>0</v>
      </c>
      <c r="AA390" s="19">
        <v>1</v>
      </c>
      <c r="AB390" s="163">
        <f>ROUND(X390+Z390+Y390,2)*Table1[[#This Row],[Until WA Approved Only Approved this %]]/(5*3)*(2.6*3.5)</f>
        <v>645.94226666666668</v>
      </c>
      <c r="AC390" s="153"/>
      <c r="AD390" s="153">
        <f>Table1[[#This Row],[Total Amount]]-Table1[[#This Row],[Previous Amount]]</f>
        <v>645.94226666666668</v>
      </c>
      <c r="AE390" s="182" t="s">
        <v>514</v>
      </c>
      <c r="AG390" s="174">
        <v>1064.74</v>
      </c>
      <c r="AH390" s="178">
        <f>AG390-Table1[[#This Row],[Total Amount]]</f>
        <v>418.79773333333333</v>
      </c>
      <c r="AI390" s="171">
        <f t="shared" si="44"/>
        <v>0.39333333333333331</v>
      </c>
    </row>
    <row r="391" spans="1:35" ht="30" customHeight="1" x14ac:dyDescent="0.3">
      <c r="A391" s="91" t="s">
        <v>91</v>
      </c>
      <c r="B391" s="91" t="s">
        <v>99</v>
      </c>
      <c r="C391" s="146">
        <v>112</v>
      </c>
      <c r="D391" s="146">
        <v>79105</v>
      </c>
      <c r="E391" s="146"/>
      <c r="F391" s="147" t="s">
        <v>506</v>
      </c>
      <c r="G391" s="17" t="s">
        <v>256</v>
      </c>
      <c r="H391" s="146" t="s">
        <v>222</v>
      </c>
      <c r="I391" s="146">
        <v>1</v>
      </c>
      <c r="J391" s="146">
        <v>1.8</v>
      </c>
      <c r="K391" s="146">
        <v>1.8</v>
      </c>
      <c r="L391" s="146">
        <v>3.5</v>
      </c>
      <c r="M391" s="146">
        <v>1</v>
      </c>
      <c r="N391" s="148" t="s">
        <v>223</v>
      </c>
      <c r="O391" s="148">
        <f t="shared" si="49"/>
        <v>3.5</v>
      </c>
      <c r="P391" s="125">
        <v>44902</v>
      </c>
      <c r="Q391" s="149"/>
      <c r="R391" s="150">
        <v>1</v>
      </c>
      <c r="S391" s="150">
        <v>1</v>
      </c>
      <c r="T391" s="150">
        <v>0</v>
      </c>
      <c r="U391" s="151">
        <f>IF(ISBLANK(Table1[[#This Row],[OHC Date]]),$B$7-Table1[[#This Row],[HOC Date]]+1,Table1[[#This Row],[OHC Date]]-Table1[[#This Row],[HOC Date]]+1)/7</f>
        <v>2.7142857142857144</v>
      </c>
      <c r="V391" s="152">
        <v>63.34</v>
      </c>
      <c r="W391" s="152">
        <v>7.28</v>
      </c>
      <c r="X391" s="152">
        <f>ROUND(0.7*Table1[[#This Row],[E&amp;D Rate per unit]]*R391*Table1[[#This Row],[Quantity]],2)</f>
        <v>155.18</v>
      </c>
      <c r="Y391" s="152">
        <f t="shared" si="50"/>
        <v>69.16</v>
      </c>
      <c r="Z391" s="152">
        <f>ROUND(0.3*T391*Table1[[#This Row],[E&amp;D Rate per unit]]*Table1[[#This Row],[Quantity]],2)</f>
        <v>0</v>
      </c>
      <c r="AA391" s="112">
        <v>1</v>
      </c>
      <c r="AB391" s="21">
        <f>ROUND(X391+Z391+Y391,2)*Table1[[#This Row],[Until WA Approved Only Approved this %]]</f>
        <v>224.34</v>
      </c>
      <c r="AC391" s="153"/>
      <c r="AD391" s="153">
        <f>Table1[[#This Row],[Total Amount]]-Table1[[#This Row],[Previous Amount]]</f>
        <v>224.34</v>
      </c>
      <c r="AE391" s="154"/>
      <c r="AG391" s="174">
        <v>224.34</v>
      </c>
      <c r="AH391" s="178">
        <f>AG391-Table1[[#This Row],[Total Amount]]</f>
        <v>0</v>
      </c>
      <c r="AI391" s="171">
        <f t="shared" si="44"/>
        <v>0</v>
      </c>
    </row>
    <row r="392" spans="1:35" ht="30" customHeight="1" x14ac:dyDescent="0.3">
      <c r="A392" s="91" t="s">
        <v>91</v>
      </c>
      <c r="B392" s="91" t="s">
        <v>99</v>
      </c>
      <c r="C392" s="146">
        <v>113</v>
      </c>
      <c r="D392" s="146">
        <v>79110</v>
      </c>
      <c r="E392" s="146">
        <v>80561</v>
      </c>
      <c r="F392" s="147" t="s">
        <v>507</v>
      </c>
      <c r="G392" s="17" t="s">
        <v>256</v>
      </c>
      <c r="H392" s="146" t="s">
        <v>222</v>
      </c>
      <c r="I392" s="146">
        <v>1</v>
      </c>
      <c r="J392" s="146">
        <v>2.5</v>
      </c>
      <c r="K392" s="146">
        <v>1</v>
      </c>
      <c r="L392" s="146">
        <v>1.5</v>
      </c>
      <c r="M392" s="146">
        <v>1</v>
      </c>
      <c r="N392" s="148" t="s">
        <v>223</v>
      </c>
      <c r="O392" s="148">
        <f t="shared" si="49"/>
        <v>1.5</v>
      </c>
      <c r="P392" s="125">
        <v>44903</v>
      </c>
      <c r="Q392" s="149">
        <v>44905</v>
      </c>
      <c r="R392" s="150">
        <v>1</v>
      </c>
      <c r="S392" s="150">
        <v>1</v>
      </c>
      <c r="T392" s="150">
        <v>1</v>
      </c>
      <c r="U392" s="151">
        <f>IF(ISBLANK(Table1[[#This Row],[OHC Date]]),$B$7-Table1[[#This Row],[HOC Date]]+1,Table1[[#This Row],[OHC Date]]-Table1[[#This Row],[HOC Date]]+1)/7</f>
        <v>0.42857142857142855</v>
      </c>
      <c r="V392" s="152">
        <v>63.34</v>
      </c>
      <c r="W392" s="152">
        <v>7.28</v>
      </c>
      <c r="X392" s="152">
        <f>ROUND(0.7*Table1[[#This Row],[E&amp;D Rate per unit]]*R392*Table1[[#This Row],[Quantity]],2)</f>
        <v>66.510000000000005</v>
      </c>
      <c r="Y392" s="152">
        <f t="shared" si="50"/>
        <v>4.68</v>
      </c>
      <c r="Z392" s="152">
        <f>ROUND(0.3*T392*Table1[[#This Row],[E&amp;D Rate per unit]]*Table1[[#This Row],[Quantity]],2)</f>
        <v>28.5</v>
      </c>
      <c r="AA392" s="112">
        <v>1</v>
      </c>
      <c r="AB392" s="21">
        <f>ROUND(X392+Z392+Y392,2)*Table1[[#This Row],[Until WA Approved Only Approved this %]]</f>
        <v>99.69</v>
      </c>
      <c r="AC392" s="153"/>
      <c r="AD392" s="153">
        <f>Table1[[#This Row],[Total Amount]]-Table1[[#This Row],[Previous Amount]]</f>
        <v>99.69</v>
      </c>
      <c r="AE392" s="154"/>
      <c r="AG392" s="174">
        <v>99.69</v>
      </c>
      <c r="AH392" s="178">
        <f>AG392-Table1[[#This Row],[Total Amount]]</f>
        <v>0</v>
      </c>
      <c r="AI392" s="171">
        <f t="shared" si="44"/>
        <v>0</v>
      </c>
    </row>
    <row r="393" spans="1:35" ht="30" customHeight="1" x14ac:dyDescent="0.3">
      <c r="A393" s="91" t="s">
        <v>91</v>
      </c>
      <c r="B393" s="91" t="s">
        <v>99</v>
      </c>
      <c r="C393" s="146" t="s">
        <v>508</v>
      </c>
      <c r="D393" s="146">
        <v>79111</v>
      </c>
      <c r="E393" s="146">
        <v>80562</v>
      </c>
      <c r="F393" s="147" t="s">
        <v>507</v>
      </c>
      <c r="G393" s="17" t="s">
        <v>256</v>
      </c>
      <c r="H393" s="146" t="s">
        <v>207</v>
      </c>
      <c r="I393" s="146">
        <v>1</v>
      </c>
      <c r="J393" s="146">
        <v>3</v>
      </c>
      <c r="K393" s="146">
        <v>0.6</v>
      </c>
      <c r="L393" s="146">
        <v>1.5</v>
      </c>
      <c r="M393" s="146">
        <v>1</v>
      </c>
      <c r="N393" s="148" t="s">
        <v>208</v>
      </c>
      <c r="O393" s="148">
        <f t="shared" si="49"/>
        <v>4.5</v>
      </c>
      <c r="P393" s="125">
        <v>44903</v>
      </c>
      <c r="Q393" s="149">
        <v>44905</v>
      </c>
      <c r="R393" s="150">
        <v>1</v>
      </c>
      <c r="S393" s="150">
        <v>1</v>
      </c>
      <c r="T393" s="150">
        <v>1</v>
      </c>
      <c r="U393" s="151">
        <f>IF(ISBLANK(Table1[[#This Row],[OHC Date]]),$B$7-Table1[[#This Row],[HOC Date]]+1,Table1[[#This Row],[OHC Date]]-Table1[[#This Row],[HOC Date]]+1)/7</f>
        <v>0.42857142857142855</v>
      </c>
      <c r="V393" s="152">
        <v>12.01</v>
      </c>
      <c r="W393" s="152">
        <v>0.49</v>
      </c>
      <c r="X393" s="152">
        <f>ROUND(0.7*Table1[[#This Row],[E&amp;D Rate per unit]]*R393*Table1[[#This Row],[Quantity]],2)</f>
        <v>37.83</v>
      </c>
      <c r="Y393" s="152">
        <f t="shared" si="50"/>
        <v>0.95</v>
      </c>
      <c r="Z393" s="152">
        <f>ROUND(0.3*T393*Table1[[#This Row],[E&amp;D Rate per unit]]*Table1[[#This Row],[Quantity]],2)</f>
        <v>16.21</v>
      </c>
      <c r="AA393" s="112">
        <v>1</v>
      </c>
      <c r="AB393" s="21">
        <f>ROUND(X393+Z393+Y393,2)*Table1[[#This Row],[Until WA Approved Only Approved this %]]</f>
        <v>54.99</v>
      </c>
      <c r="AC393" s="153"/>
      <c r="AD393" s="153">
        <f>Table1[[#This Row],[Total Amount]]-Table1[[#This Row],[Previous Amount]]</f>
        <v>54.99</v>
      </c>
      <c r="AE393" s="154"/>
      <c r="AG393" s="174">
        <v>54.99</v>
      </c>
      <c r="AH393" s="178">
        <f>AG393-Table1[[#This Row],[Total Amount]]</f>
        <v>0</v>
      </c>
      <c r="AI393" s="171">
        <f t="shared" si="44"/>
        <v>0</v>
      </c>
    </row>
    <row r="394" spans="1:35" ht="30" customHeight="1" x14ac:dyDescent="0.3">
      <c r="A394" s="91" t="s">
        <v>91</v>
      </c>
      <c r="B394" s="91" t="s">
        <v>99</v>
      </c>
      <c r="C394" s="146">
        <v>114</v>
      </c>
      <c r="D394" s="146">
        <v>79112</v>
      </c>
      <c r="E394" s="146">
        <v>80563</v>
      </c>
      <c r="F394" s="147" t="s">
        <v>507</v>
      </c>
      <c r="G394" s="17" t="s">
        <v>256</v>
      </c>
      <c r="H394" s="146" t="s">
        <v>222</v>
      </c>
      <c r="I394" s="146">
        <v>1</v>
      </c>
      <c r="J394" s="146">
        <v>2.5</v>
      </c>
      <c r="K394" s="146">
        <v>1</v>
      </c>
      <c r="L394" s="146">
        <v>1.5</v>
      </c>
      <c r="M394" s="146">
        <v>1</v>
      </c>
      <c r="N394" s="148" t="s">
        <v>223</v>
      </c>
      <c r="O394" s="148">
        <f t="shared" si="49"/>
        <v>1.5</v>
      </c>
      <c r="P394" s="125">
        <v>44903</v>
      </c>
      <c r="Q394" s="149">
        <v>44905</v>
      </c>
      <c r="R394" s="150">
        <v>1</v>
      </c>
      <c r="S394" s="150">
        <v>1</v>
      </c>
      <c r="T394" s="150">
        <v>1</v>
      </c>
      <c r="U394" s="151">
        <f>IF(ISBLANK(Table1[[#This Row],[OHC Date]]),$B$7-Table1[[#This Row],[HOC Date]]+1,Table1[[#This Row],[OHC Date]]-Table1[[#This Row],[HOC Date]]+1)/7</f>
        <v>0.42857142857142855</v>
      </c>
      <c r="V394" s="152">
        <v>63.34</v>
      </c>
      <c r="W394" s="152">
        <v>7.28</v>
      </c>
      <c r="X394" s="152">
        <f>ROUND(0.7*Table1[[#This Row],[E&amp;D Rate per unit]]*R394*Table1[[#This Row],[Quantity]],2)</f>
        <v>66.510000000000005</v>
      </c>
      <c r="Y394" s="152">
        <f t="shared" si="50"/>
        <v>4.68</v>
      </c>
      <c r="Z394" s="152">
        <f>ROUND(0.3*T394*Table1[[#This Row],[E&amp;D Rate per unit]]*Table1[[#This Row],[Quantity]],2)</f>
        <v>28.5</v>
      </c>
      <c r="AA394" s="112">
        <v>1</v>
      </c>
      <c r="AB394" s="21">
        <f>ROUND(X394+Z394+Y394,2)*Table1[[#This Row],[Until WA Approved Only Approved this %]]</f>
        <v>99.69</v>
      </c>
      <c r="AC394" s="153"/>
      <c r="AD394" s="153">
        <f>Table1[[#This Row],[Total Amount]]-Table1[[#This Row],[Previous Amount]]</f>
        <v>99.69</v>
      </c>
      <c r="AE394" s="154"/>
      <c r="AG394" s="174">
        <v>99.69</v>
      </c>
      <c r="AH394" s="178">
        <f>AG394-Table1[[#This Row],[Total Amount]]</f>
        <v>0</v>
      </c>
      <c r="AI394" s="171">
        <f t="shared" si="44"/>
        <v>0</v>
      </c>
    </row>
    <row r="395" spans="1:35" ht="30" customHeight="1" x14ac:dyDescent="0.3">
      <c r="A395" s="91" t="s">
        <v>91</v>
      </c>
      <c r="B395" s="91" t="s">
        <v>99</v>
      </c>
      <c r="C395" s="146">
        <v>115</v>
      </c>
      <c r="D395" s="146">
        <v>79113</v>
      </c>
      <c r="E395" s="146"/>
      <c r="F395" s="147" t="s">
        <v>509</v>
      </c>
      <c r="G395" s="17" t="s">
        <v>206</v>
      </c>
      <c r="H395" s="146" t="s">
        <v>222</v>
      </c>
      <c r="I395" s="146">
        <v>1</v>
      </c>
      <c r="J395" s="146">
        <v>1.3</v>
      </c>
      <c r="K395" s="146">
        <v>1.3</v>
      </c>
      <c r="L395" s="146">
        <v>2</v>
      </c>
      <c r="M395" s="146">
        <v>1</v>
      </c>
      <c r="N395" s="148" t="s">
        <v>223</v>
      </c>
      <c r="O395" s="148">
        <f t="shared" si="49"/>
        <v>2</v>
      </c>
      <c r="P395" s="125">
        <v>44903</v>
      </c>
      <c r="Q395" s="149"/>
      <c r="R395" s="150">
        <v>1</v>
      </c>
      <c r="S395" s="150">
        <v>1</v>
      </c>
      <c r="T395" s="150">
        <v>0</v>
      </c>
      <c r="U395" s="151">
        <f>IF(ISBLANK(Table1[[#This Row],[OHC Date]]),$B$7-Table1[[#This Row],[HOC Date]]+1,Table1[[#This Row],[OHC Date]]-Table1[[#This Row],[HOC Date]]+1)/7</f>
        <v>2.5714285714285716</v>
      </c>
      <c r="V395" s="152">
        <v>63.34</v>
      </c>
      <c r="W395" s="152">
        <v>7.28</v>
      </c>
      <c r="X395" s="152">
        <f>ROUND(0.7*Table1[[#This Row],[E&amp;D Rate per unit]]*R395*Table1[[#This Row],[Quantity]],2)</f>
        <v>88.68</v>
      </c>
      <c r="Y395" s="152">
        <f t="shared" si="50"/>
        <v>37.44</v>
      </c>
      <c r="Z395" s="152">
        <f>ROUND(0.3*T395*Table1[[#This Row],[E&amp;D Rate per unit]]*Table1[[#This Row],[Quantity]],2)</f>
        <v>0</v>
      </c>
      <c r="AA395" s="112">
        <v>1</v>
      </c>
      <c r="AB395" s="21">
        <f>ROUND(X395+Z395+Y395,2)*Table1[[#This Row],[Until WA Approved Only Approved this %]]</f>
        <v>126.12</v>
      </c>
      <c r="AC395" s="153"/>
      <c r="AD395" s="153">
        <f>Table1[[#This Row],[Total Amount]]-Table1[[#This Row],[Previous Amount]]</f>
        <v>126.12</v>
      </c>
      <c r="AE395" s="154"/>
      <c r="AG395" s="174">
        <v>126.12</v>
      </c>
      <c r="AH395" s="178">
        <f>AG395-Table1[[#This Row],[Total Amount]]</f>
        <v>0</v>
      </c>
      <c r="AI395" s="171">
        <f t="shared" ref="AI395:AI458" si="51">AH395/AG395</f>
        <v>0</v>
      </c>
    </row>
    <row r="396" spans="1:35" ht="30" customHeight="1" x14ac:dyDescent="0.3">
      <c r="A396" s="91" t="s">
        <v>91</v>
      </c>
      <c r="B396" s="91" t="s">
        <v>99</v>
      </c>
      <c r="C396" s="146">
        <v>116</v>
      </c>
      <c r="D396" s="146">
        <v>79114</v>
      </c>
      <c r="E396" s="146">
        <v>80570</v>
      </c>
      <c r="F396" s="147" t="s">
        <v>510</v>
      </c>
      <c r="G396" s="17" t="s">
        <v>202</v>
      </c>
      <c r="H396" s="146" t="s">
        <v>207</v>
      </c>
      <c r="I396" s="146">
        <v>1</v>
      </c>
      <c r="J396" s="146">
        <v>10</v>
      </c>
      <c r="K396" s="146">
        <v>1.3</v>
      </c>
      <c r="L396" s="146">
        <v>1.5</v>
      </c>
      <c r="M396" s="146">
        <v>1</v>
      </c>
      <c r="N396" s="148" t="s">
        <v>208</v>
      </c>
      <c r="O396" s="148">
        <f t="shared" si="49"/>
        <v>15</v>
      </c>
      <c r="P396" s="125">
        <v>44903</v>
      </c>
      <c r="Q396" s="149">
        <v>44909</v>
      </c>
      <c r="R396" s="150">
        <v>1</v>
      </c>
      <c r="S396" s="150">
        <v>1</v>
      </c>
      <c r="T396" s="150">
        <v>1</v>
      </c>
      <c r="U396" s="151">
        <f>IF(ISBLANK(Table1[[#This Row],[OHC Date]]),$B$7-Table1[[#This Row],[HOC Date]]+1,Table1[[#This Row],[OHC Date]]-Table1[[#This Row],[HOC Date]]+1)/7</f>
        <v>1</v>
      </c>
      <c r="V396" s="152">
        <v>12.01</v>
      </c>
      <c r="W396" s="152">
        <v>0.49</v>
      </c>
      <c r="X396" s="152">
        <f>ROUND(0.7*Table1[[#This Row],[E&amp;D Rate per unit]]*R396*Table1[[#This Row],[Quantity]],2)</f>
        <v>126.11</v>
      </c>
      <c r="Y396" s="152">
        <f t="shared" si="50"/>
        <v>7.35</v>
      </c>
      <c r="Z396" s="152">
        <f>ROUND(0.3*T396*Table1[[#This Row],[E&amp;D Rate per unit]]*Table1[[#This Row],[Quantity]],2)</f>
        <v>54.05</v>
      </c>
      <c r="AA396" s="112">
        <v>1</v>
      </c>
      <c r="AB396" s="21">
        <f>ROUND(X396+Z396+Y396,2)*Table1[[#This Row],[Until WA Approved Only Approved this %]]</f>
        <v>187.51</v>
      </c>
      <c r="AC396" s="153"/>
      <c r="AD396" s="153">
        <f>Table1[[#This Row],[Total Amount]]-Table1[[#This Row],[Previous Amount]]</f>
        <v>187.51</v>
      </c>
      <c r="AE396" s="154"/>
      <c r="AG396" s="174">
        <v>187.51</v>
      </c>
      <c r="AH396" s="178">
        <f>AG396-Table1[[#This Row],[Total Amount]]</f>
        <v>0</v>
      </c>
      <c r="AI396" s="171">
        <f t="shared" si="51"/>
        <v>0</v>
      </c>
    </row>
    <row r="397" spans="1:35" ht="30" customHeight="1" x14ac:dyDescent="0.3">
      <c r="A397" s="91" t="s">
        <v>511</v>
      </c>
      <c r="B397" s="91" t="s">
        <v>99</v>
      </c>
      <c r="C397" s="146">
        <v>117</v>
      </c>
      <c r="D397" s="146">
        <v>79116</v>
      </c>
      <c r="E397" s="146">
        <v>80580</v>
      </c>
      <c r="F397" s="147" t="s">
        <v>512</v>
      </c>
      <c r="G397" s="17" t="s">
        <v>192</v>
      </c>
      <c r="H397" s="146" t="s">
        <v>513</v>
      </c>
      <c r="I397" s="146">
        <v>1</v>
      </c>
      <c r="J397" s="146">
        <v>3</v>
      </c>
      <c r="K397" s="146">
        <v>1</v>
      </c>
      <c r="L397" s="146">
        <v>2.2999999999999998</v>
      </c>
      <c r="M397" s="146">
        <v>1</v>
      </c>
      <c r="N397" s="148" t="s">
        <v>56</v>
      </c>
      <c r="O397" s="148">
        <f t="shared" si="49"/>
        <v>1</v>
      </c>
      <c r="P397" s="125">
        <v>44903</v>
      </c>
      <c r="Q397" s="149">
        <v>44914</v>
      </c>
      <c r="R397" s="150">
        <v>1</v>
      </c>
      <c r="S397" s="150">
        <v>1</v>
      </c>
      <c r="T397" s="150">
        <v>1</v>
      </c>
      <c r="U397" s="151">
        <f>IF(ISBLANK(Table1[[#This Row],[OHC Date]]),$B$7-Table1[[#This Row],[HOC Date]]+1,Table1[[#This Row],[OHC Date]]-Table1[[#This Row],[HOC Date]]+1)/7</f>
        <v>1.7142857142857142</v>
      </c>
      <c r="V397" s="152">
        <v>4070.27</v>
      </c>
      <c r="W397" s="152">
        <v>60.66</v>
      </c>
      <c r="X397" s="152">
        <f>ROUND(0.7*Table1[[#This Row],[E&amp;D Rate per unit]]*R397*Table1[[#This Row],[Quantity]],2)</f>
        <v>2849.19</v>
      </c>
      <c r="Y397" s="152">
        <f t="shared" si="50"/>
        <v>103.99</v>
      </c>
      <c r="Z397" s="152">
        <f>ROUND(0.3*T397*Table1[[#This Row],[E&amp;D Rate per unit]]*Table1[[#This Row],[Quantity]],2)</f>
        <v>1221.08</v>
      </c>
      <c r="AA397" s="19">
        <v>1</v>
      </c>
      <c r="AB397" s="163">
        <f>ROUND(X397+Z397+Y397,2)*Table1[[#This Row],[Until WA Approved Only Approved this %]]/(0.9*3)*(1*2.3)</f>
        <v>3555.8511111111106</v>
      </c>
      <c r="AC397" s="153"/>
      <c r="AD397" s="153">
        <f>Table1[[#This Row],[Total Amount]]-Table1[[#This Row],[Previous Amount]]</f>
        <v>3555.8511111111106</v>
      </c>
      <c r="AE397" s="182" t="s">
        <v>516</v>
      </c>
      <c r="AG397" s="174">
        <v>4174.26</v>
      </c>
      <c r="AH397" s="178">
        <f>AG397-Table1[[#This Row],[Total Amount]]</f>
        <v>618.40888888888958</v>
      </c>
      <c r="AI397" s="171">
        <f t="shared" si="51"/>
        <v>0.14814814814814831</v>
      </c>
    </row>
    <row r="398" spans="1:35" ht="30" customHeight="1" x14ac:dyDescent="0.3">
      <c r="A398" s="91" t="s">
        <v>91</v>
      </c>
      <c r="B398" s="91" t="s">
        <v>99</v>
      </c>
      <c r="C398" s="146">
        <v>118</v>
      </c>
      <c r="D398" s="146">
        <v>79115</v>
      </c>
      <c r="E398" s="146"/>
      <c r="F398" s="147" t="s">
        <v>517</v>
      </c>
      <c r="G398" s="17" t="s">
        <v>192</v>
      </c>
      <c r="H398" s="146" t="s">
        <v>222</v>
      </c>
      <c r="I398" s="146">
        <v>2</v>
      </c>
      <c r="J398" s="146">
        <v>1</v>
      </c>
      <c r="K398" s="146">
        <v>0.75</v>
      </c>
      <c r="L398" s="146">
        <v>1</v>
      </c>
      <c r="M398" s="146">
        <v>1</v>
      </c>
      <c r="N398" s="148" t="s">
        <v>223</v>
      </c>
      <c r="O398" s="148">
        <f t="shared" si="49"/>
        <v>2</v>
      </c>
      <c r="P398" s="125">
        <v>44903</v>
      </c>
      <c r="Q398" s="149"/>
      <c r="R398" s="150">
        <v>1</v>
      </c>
      <c r="S398" s="150">
        <v>1</v>
      </c>
      <c r="T398" s="150">
        <v>0</v>
      </c>
      <c r="U398" s="151">
        <f>IF(ISBLANK(Table1[[#This Row],[OHC Date]]),$B$7-Table1[[#This Row],[HOC Date]]+1,Table1[[#This Row],[OHC Date]]-Table1[[#This Row],[HOC Date]]+1)/7</f>
        <v>2.5714285714285716</v>
      </c>
      <c r="V398" s="152">
        <v>63.34</v>
      </c>
      <c r="W398" s="152">
        <v>7.28</v>
      </c>
      <c r="X398" s="152">
        <f>ROUND(0.7*Table1[[#This Row],[E&amp;D Rate per unit]]*R398*Table1[[#This Row],[Quantity]],2)</f>
        <v>88.68</v>
      </c>
      <c r="Y398" s="152">
        <f t="shared" si="50"/>
        <v>37.44</v>
      </c>
      <c r="Z398" s="152">
        <f>ROUND(0.3*T398*Table1[[#This Row],[E&amp;D Rate per unit]]*Table1[[#This Row],[Quantity]],2)</f>
        <v>0</v>
      </c>
      <c r="AA398" s="112">
        <v>1</v>
      </c>
      <c r="AB398" s="21">
        <f>ROUND(X398+Z398+Y398,2)*Table1[[#This Row],[Until WA Approved Only Approved this %]]</f>
        <v>126.12</v>
      </c>
      <c r="AC398" s="153"/>
      <c r="AD398" s="153">
        <f>Table1[[#This Row],[Total Amount]]-Table1[[#This Row],[Previous Amount]]</f>
        <v>126.12</v>
      </c>
      <c r="AE398" s="154"/>
      <c r="AG398" s="174">
        <v>126.12</v>
      </c>
      <c r="AH398" s="178">
        <f>AG398-Table1[[#This Row],[Total Amount]]</f>
        <v>0</v>
      </c>
      <c r="AI398" s="171">
        <f t="shared" si="51"/>
        <v>0</v>
      </c>
    </row>
    <row r="399" spans="1:35" ht="30" customHeight="1" x14ac:dyDescent="0.3">
      <c r="A399" s="91" t="s">
        <v>91</v>
      </c>
      <c r="B399" s="91" t="s">
        <v>99</v>
      </c>
      <c r="C399" s="146" t="s">
        <v>518</v>
      </c>
      <c r="D399" s="146">
        <v>79117</v>
      </c>
      <c r="E399" s="146"/>
      <c r="F399" s="147" t="s">
        <v>519</v>
      </c>
      <c r="G399" s="17" t="s">
        <v>192</v>
      </c>
      <c r="H399" s="109" t="s">
        <v>128</v>
      </c>
      <c r="I399" s="146">
        <v>2</v>
      </c>
      <c r="J399" s="146">
        <v>1.8</v>
      </c>
      <c r="K399" s="146">
        <v>0.5</v>
      </c>
      <c r="L399" s="146">
        <v>1</v>
      </c>
      <c r="M399" s="146">
        <v>2</v>
      </c>
      <c r="N399" s="148" t="s">
        <v>162</v>
      </c>
      <c r="O399" s="148">
        <f t="shared" si="49"/>
        <v>1.8</v>
      </c>
      <c r="P399" s="125">
        <v>44903</v>
      </c>
      <c r="Q399" s="149"/>
      <c r="R399" s="150">
        <v>1</v>
      </c>
      <c r="S399" s="150">
        <v>1</v>
      </c>
      <c r="T399" s="150">
        <v>0</v>
      </c>
      <c r="U399" s="151">
        <f>IF(ISBLANK(Table1[[#This Row],[OHC Date]]),$B$7-Table1[[#This Row],[HOC Date]]+1,Table1[[#This Row],[OHC Date]]-Table1[[#This Row],[HOC Date]]+1)/7</f>
        <v>2.5714285714285716</v>
      </c>
      <c r="V399" s="152">
        <v>32.75</v>
      </c>
      <c r="W399" s="152">
        <v>1.05</v>
      </c>
      <c r="X399" s="152">
        <f>ROUND(0.7*Table1[[#This Row],[E&amp;D Rate per unit]]*R399*Table1[[#This Row],[Quantity]],2)</f>
        <v>41.27</v>
      </c>
      <c r="Y399" s="152">
        <f t="shared" si="50"/>
        <v>4.8600000000000003</v>
      </c>
      <c r="Z399" s="152">
        <f>ROUND(0.3*T399*Table1[[#This Row],[E&amp;D Rate per unit]]*Table1[[#This Row],[Quantity]],2)</f>
        <v>0</v>
      </c>
      <c r="AA399" s="112">
        <v>1</v>
      </c>
      <c r="AB399" s="21">
        <f>ROUND(X399+Z399+Y399,2)*Table1[[#This Row],[Until WA Approved Only Approved this %]]</f>
        <v>46.13</v>
      </c>
      <c r="AC399" s="153"/>
      <c r="AD399" s="153">
        <f>Table1[[#This Row],[Total Amount]]-Table1[[#This Row],[Previous Amount]]</f>
        <v>46.13</v>
      </c>
      <c r="AE399" s="154"/>
      <c r="AG399" s="174">
        <v>46.13</v>
      </c>
      <c r="AH399" s="178">
        <f>AG399-Table1[[#This Row],[Total Amount]]</f>
        <v>0</v>
      </c>
      <c r="AI399" s="171">
        <f t="shared" si="51"/>
        <v>0</v>
      </c>
    </row>
    <row r="400" spans="1:35" ht="30" customHeight="1" x14ac:dyDescent="0.3">
      <c r="A400" s="91" t="s">
        <v>91</v>
      </c>
      <c r="B400" s="91" t="s">
        <v>99</v>
      </c>
      <c r="C400" s="146">
        <v>119</v>
      </c>
      <c r="D400" s="146">
        <v>79119</v>
      </c>
      <c r="E400" s="146">
        <v>80579</v>
      </c>
      <c r="F400" s="147" t="s">
        <v>520</v>
      </c>
      <c r="G400" s="17" t="s">
        <v>202</v>
      </c>
      <c r="H400" s="146" t="s">
        <v>222</v>
      </c>
      <c r="I400" s="146">
        <v>1</v>
      </c>
      <c r="J400" s="146">
        <v>2.5</v>
      </c>
      <c r="K400" s="146">
        <v>1.3</v>
      </c>
      <c r="L400" s="146">
        <v>4</v>
      </c>
      <c r="M400" s="146">
        <v>1</v>
      </c>
      <c r="N400" s="148" t="s">
        <v>223</v>
      </c>
      <c r="O400" s="148">
        <f t="shared" si="49"/>
        <v>4</v>
      </c>
      <c r="P400" s="125">
        <v>44904</v>
      </c>
      <c r="Q400" s="149">
        <v>44914</v>
      </c>
      <c r="R400" s="150">
        <v>1</v>
      </c>
      <c r="S400" s="150">
        <v>1</v>
      </c>
      <c r="T400" s="150">
        <v>1</v>
      </c>
      <c r="U400" s="151">
        <f>IF(ISBLANK(Table1[[#This Row],[OHC Date]]),$B$7-Table1[[#This Row],[HOC Date]]+1,Table1[[#This Row],[OHC Date]]-Table1[[#This Row],[HOC Date]]+1)/7</f>
        <v>1.5714285714285714</v>
      </c>
      <c r="V400" s="152">
        <v>63.34</v>
      </c>
      <c r="W400" s="152">
        <v>7.28</v>
      </c>
      <c r="X400" s="152">
        <f>ROUND(0.7*Table1[[#This Row],[E&amp;D Rate per unit]]*R400*Table1[[#This Row],[Quantity]],2)</f>
        <v>177.35</v>
      </c>
      <c r="Y400" s="152">
        <f t="shared" si="50"/>
        <v>45.76</v>
      </c>
      <c r="Z400" s="152">
        <f>ROUND(0.3*T400*Table1[[#This Row],[E&amp;D Rate per unit]]*Table1[[#This Row],[Quantity]],2)</f>
        <v>76.010000000000005</v>
      </c>
      <c r="AA400" s="112">
        <v>1</v>
      </c>
      <c r="AB400" s="21">
        <f>ROUND(X400+Z400+Y400,2)*Table1[[#This Row],[Until WA Approved Only Approved this %]]</f>
        <v>299.12</v>
      </c>
      <c r="AC400" s="153"/>
      <c r="AD400" s="153">
        <f>Table1[[#This Row],[Total Amount]]-Table1[[#This Row],[Previous Amount]]</f>
        <v>299.12</v>
      </c>
      <c r="AE400" s="154"/>
      <c r="AG400" s="174">
        <v>299.12</v>
      </c>
      <c r="AH400" s="178">
        <f>AG400-Table1[[#This Row],[Total Amount]]</f>
        <v>0</v>
      </c>
      <c r="AI400" s="171">
        <f t="shared" si="51"/>
        <v>0</v>
      </c>
    </row>
    <row r="401" spans="1:35" ht="30" customHeight="1" x14ac:dyDescent="0.3">
      <c r="A401" s="91" t="s">
        <v>91</v>
      </c>
      <c r="B401" s="91" t="s">
        <v>99</v>
      </c>
      <c r="C401" s="146" t="s">
        <v>521</v>
      </c>
      <c r="D401" s="146">
        <v>79119</v>
      </c>
      <c r="E401" s="146">
        <v>80579</v>
      </c>
      <c r="F401" s="147" t="s">
        <v>520</v>
      </c>
      <c r="G401" s="17" t="s">
        <v>202</v>
      </c>
      <c r="H401" s="109" t="s">
        <v>128</v>
      </c>
      <c r="I401" s="146">
        <v>1</v>
      </c>
      <c r="J401" s="146">
        <v>2.5</v>
      </c>
      <c r="K401" s="146">
        <v>0.25</v>
      </c>
      <c r="L401" s="146">
        <v>1</v>
      </c>
      <c r="M401" s="146">
        <v>1</v>
      </c>
      <c r="N401" s="148" t="s">
        <v>162</v>
      </c>
      <c r="O401" s="148">
        <f t="shared" si="49"/>
        <v>0.63</v>
      </c>
      <c r="P401" s="125">
        <v>44904</v>
      </c>
      <c r="Q401" s="149">
        <v>44914</v>
      </c>
      <c r="R401" s="150">
        <v>1</v>
      </c>
      <c r="S401" s="150">
        <v>1</v>
      </c>
      <c r="T401" s="150">
        <v>1</v>
      </c>
      <c r="U401" s="151">
        <f>IF(ISBLANK(Table1[[#This Row],[OHC Date]]),$B$7-Table1[[#This Row],[HOC Date]]+1,Table1[[#This Row],[OHC Date]]-Table1[[#This Row],[HOC Date]]+1)/7</f>
        <v>1.5714285714285714</v>
      </c>
      <c r="V401" s="152">
        <v>32.75</v>
      </c>
      <c r="W401" s="152">
        <v>1.05</v>
      </c>
      <c r="X401" s="152">
        <f>ROUND(0.7*Table1[[#This Row],[E&amp;D Rate per unit]]*R401*Table1[[#This Row],[Quantity]],2)</f>
        <v>14.44</v>
      </c>
      <c r="Y401" s="152">
        <f t="shared" si="50"/>
        <v>1.04</v>
      </c>
      <c r="Z401" s="152">
        <f>ROUND(0.3*T401*Table1[[#This Row],[E&amp;D Rate per unit]]*Table1[[#This Row],[Quantity]],2)</f>
        <v>6.19</v>
      </c>
      <c r="AA401" s="112">
        <v>1</v>
      </c>
      <c r="AB401" s="21">
        <f>ROUND(X401+Z401+Y401,2)*Table1[[#This Row],[Until WA Approved Only Approved this %]]</f>
        <v>21.67</v>
      </c>
      <c r="AC401" s="153"/>
      <c r="AD401" s="153">
        <f>Table1[[#This Row],[Total Amount]]-Table1[[#This Row],[Previous Amount]]</f>
        <v>21.67</v>
      </c>
      <c r="AE401" s="154"/>
      <c r="AG401" s="174">
        <v>21.67</v>
      </c>
      <c r="AH401" s="178">
        <f>AG401-Table1[[#This Row],[Total Amount]]</f>
        <v>0</v>
      </c>
      <c r="AI401" s="171">
        <f t="shared" si="51"/>
        <v>0</v>
      </c>
    </row>
    <row r="402" spans="1:35" ht="30" customHeight="1" x14ac:dyDescent="0.3">
      <c r="A402" s="91" t="s">
        <v>91</v>
      </c>
      <c r="B402" s="91" t="s">
        <v>99</v>
      </c>
      <c r="C402" s="146">
        <v>120</v>
      </c>
      <c r="D402" s="146">
        <v>79120</v>
      </c>
      <c r="E402" s="146">
        <v>80571</v>
      </c>
      <c r="F402" s="147" t="s">
        <v>522</v>
      </c>
      <c r="G402" s="17" t="s">
        <v>202</v>
      </c>
      <c r="H402" s="146" t="s">
        <v>207</v>
      </c>
      <c r="I402" s="146">
        <v>1</v>
      </c>
      <c r="J402" s="146">
        <v>5</v>
      </c>
      <c r="K402" s="146">
        <v>1.3</v>
      </c>
      <c r="L402" s="146">
        <v>1.5</v>
      </c>
      <c r="M402" s="146">
        <v>1</v>
      </c>
      <c r="N402" s="148" t="s">
        <v>208</v>
      </c>
      <c r="O402" s="148">
        <f t="shared" si="49"/>
        <v>7.5</v>
      </c>
      <c r="P402" s="125">
        <v>44904</v>
      </c>
      <c r="Q402" s="149">
        <v>44909</v>
      </c>
      <c r="R402" s="150">
        <v>1</v>
      </c>
      <c r="S402" s="150">
        <v>1</v>
      </c>
      <c r="T402" s="150">
        <v>1</v>
      </c>
      <c r="U402" s="151">
        <f>IF(ISBLANK(Table1[[#This Row],[OHC Date]]),$B$7-Table1[[#This Row],[HOC Date]]+1,Table1[[#This Row],[OHC Date]]-Table1[[#This Row],[HOC Date]]+1)/7</f>
        <v>0.8571428571428571</v>
      </c>
      <c r="V402" s="152">
        <v>12.01</v>
      </c>
      <c r="W402" s="152">
        <v>0.49</v>
      </c>
      <c r="X402" s="152">
        <f>ROUND(0.7*Table1[[#This Row],[E&amp;D Rate per unit]]*R402*Table1[[#This Row],[Quantity]],2)</f>
        <v>63.05</v>
      </c>
      <c r="Y402" s="152">
        <f t="shared" si="50"/>
        <v>3.15</v>
      </c>
      <c r="Z402" s="152">
        <f>ROUND(0.3*T402*Table1[[#This Row],[E&amp;D Rate per unit]]*Table1[[#This Row],[Quantity]],2)</f>
        <v>27.02</v>
      </c>
      <c r="AA402" s="112">
        <v>1</v>
      </c>
      <c r="AB402" s="21">
        <f>ROUND(X402+Z402+Y402,2)*Table1[[#This Row],[Until WA Approved Only Approved this %]]</f>
        <v>93.22</v>
      </c>
      <c r="AC402" s="153"/>
      <c r="AD402" s="153">
        <f>Table1[[#This Row],[Total Amount]]-Table1[[#This Row],[Previous Amount]]</f>
        <v>93.22</v>
      </c>
      <c r="AE402" s="154"/>
      <c r="AG402" s="174">
        <v>93.22</v>
      </c>
      <c r="AH402" s="178">
        <f>AG402-Table1[[#This Row],[Total Amount]]</f>
        <v>0</v>
      </c>
      <c r="AI402" s="171">
        <f t="shared" si="51"/>
        <v>0</v>
      </c>
    </row>
    <row r="403" spans="1:35" ht="30" customHeight="1" x14ac:dyDescent="0.3">
      <c r="A403" s="91" t="s">
        <v>91</v>
      </c>
      <c r="B403" s="91" t="s">
        <v>99</v>
      </c>
      <c r="C403" s="146">
        <v>121</v>
      </c>
      <c r="D403" s="146">
        <v>79121</v>
      </c>
      <c r="E403" s="146">
        <v>80566</v>
      </c>
      <c r="F403" s="147" t="s">
        <v>523</v>
      </c>
      <c r="G403" s="17" t="s">
        <v>206</v>
      </c>
      <c r="H403" s="146" t="s">
        <v>222</v>
      </c>
      <c r="I403" s="146">
        <v>1</v>
      </c>
      <c r="J403" s="146">
        <v>2.5</v>
      </c>
      <c r="K403" s="146">
        <v>1</v>
      </c>
      <c r="L403" s="146">
        <v>2.5</v>
      </c>
      <c r="M403" s="146">
        <v>1</v>
      </c>
      <c r="N403" s="148" t="s">
        <v>223</v>
      </c>
      <c r="O403" s="148">
        <f t="shared" si="49"/>
        <v>2.5</v>
      </c>
      <c r="P403" s="125">
        <v>44905</v>
      </c>
      <c r="Q403" s="149">
        <v>44907</v>
      </c>
      <c r="R403" s="150">
        <v>1</v>
      </c>
      <c r="S403" s="150">
        <v>1</v>
      </c>
      <c r="T403" s="150">
        <v>1</v>
      </c>
      <c r="U403" s="151">
        <f>IF(ISBLANK(Table1[[#This Row],[OHC Date]]),$B$7-Table1[[#This Row],[HOC Date]]+1,Table1[[#This Row],[OHC Date]]-Table1[[#This Row],[HOC Date]]+1)/7</f>
        <v>0.42857142857142855</v>
      </c>
      <c r="V403" s="152">
        <v>63.34</v>
      </c>
      <c r="W403" s="152">
        <v>7.28</v>
      </c>
      <c r="X403" s="152">
        <f>ROUND(0.7*Table1[[#This Row],[E&amp;D Rate per unit]]*R403*Table1[[#This Row],[Quantity]],2)</f>
        <v>110.85</v>
      </c>
      <c r="Y403" s="152">
        <f t="shared" si="50"/>
        <v>7.8</v>
      </c>
      <c r="Z403" s="152">
        <f>ROUND(0.3*T403*Table1[[#This Row],[E&amp;D Rate per unit]]*Table1[[#This Row],[Quantity]],2)</f>
        <v>47.51</v>
      </c>
      <c r="AA403" s="112">
        <v>1</v>
      </c>
      <c r="AB403" s="21">
        <f>ROUND(X403+Z403+Y403,2)*Table1[[#This Row],[Until WA Approved Only Approved this %]]</f>
        <v>166.16</v>
      </c>
      <c r="AC403" s="153"/>
      <c r="AD403" s="153">
        <f>Table1[[#This Row],[Total Amount]]-Table1[[#This Row],[Previous Amount]]</f>
        <v>166.16</v>
      </c>
      <c r="AE403" s="154"/>
      <c r="AG403" s="174">
        <v>166.16</v>
      </c>
      <c r="AH403" s="178">
        <f>AG403-Table1[[#This Row],[Total Amount]]</f>
        <v>0</v>
      </c>
      <c r="AI403" s="171">
        <f t="shared" si="51"/>
        <v>0</v>
      </c>
    </row>
    <row r="404" spans="1:35" ht="30" customHeight="1" x14ac:dyDescent="0.3">
      <c r="A404" s="91" t="s">
        <v>91</v>
      </c>
      <c r="B404" s="91" t="s">
        <v>99</v>
      </c>
      <c r="C404" s="146" t="s">
        <v>524</v>
      </c>
      <c r="D404" s="146">
        <v>79122</v>
      </c>
      <c r="E404" s="146">
        <v>80567</v>
      </c>
      <c r="F404" s="147" t="s">
        <v>523</v>
      </c>
      <c r="G404" s="17" t="s">
        <v>206</v>
      </c>
      <c r="H404" s="146" t="s">
        <v>222</v>
      </c>
      <c r="I404" s="146">
        <v>1</v>
      </c>
      <c r="J404" s="146">
        <v>2.5</v>
      </c>
      <c r="K404" s="146">
        <v>0.6</v>
      </c>
      <c r="L404" s="146">
        <v>1.5</v>
      </c>
      <c r="M404" s="146">
        <v>1</v>
      </c>
      <c r="N404" s="148" t="s">
        <v>223</v>
      </c>
      <c r="O404" s="148">
        <f t="shared" si="49"/>
        <v>1.5</v>
      </c>
      <c r="P404" s="125">
        <v>44905</v>
      </c>
      <c r="Q404" s="149">
        <v>44907</v>
      </c>
      <c r="R404" s="150">
        <v>1</v>
      </c>
      <c r="S404" s="150">
        <v>1</v>
      </c>
      <c r="T404" s="150">
        <v>1</v>
      </c>
      <c r="U404" s="151">
        <f>IF(ISBLANK(Table1[[#This Row],[OHC Date]]),$B$7-Table1[[#This Row],[HOC Date]]+1,Table1[[#This Row],[OHC Date]]-Table1[[#This Row],[HOC Date]]+1)/7</f>
        <v>0.42857142857142855</v>
      </c>
      <c r="V404" s="152">
        <v>63.34</v>
      </c>
      <c r="W404" s="152">
        <v>7.28</v>
      </c>
      <c r="X404" s="152">
        <f>ROUND(0.7*Table1[[#This Row],[E&amp;D Rate per unit]]*R404*Table1[[#This Row],[Quantity]],2)</f>
        <v>66.510000000000005</v>
      </c>
      <c r="Y404" s="152">
        <f t="shared" si="50"/>
        <v>4.68</v>
      </c>
      <c r="Z404" s="152">
        <f>ROUND(0.3*T404*Table1[[#This Row],[E&amp;D Rate per unit]]*Table1[[#This Row],[Quantity]],2)</f>
        <v>28.5</v>
      </c>
      <c r="AA404" s="112">
        <v>1</v>
      </c>
      <c r="AB404" s="21">
        <f>ROUND(X404+Z404+Y404,2)*Table1[[#This Row],[Until WA Approved Only Approved this %]]</f>
        <v>99.69</v>
      </c>
      <c r="AC404" s="153"/>
      <c r="AD404" s="153">
        <f>Table1[[#This Row],[Total Amount]]-Table1[[#This Row],[Previous Amount]]</f>
        <v>99.69</v>
      </c>
      <c r="AE404" s="154"/>
      <c r="AG404" s="174">
        <v>99.69</v>
      </c>
      <c r="AH404" s="178">
        <f>AG404-Table1[[#This Row],[Total Amount]]</f>
        <v>0</v>
      </c>
      <c r="AI404" s="171">
        <f t="shared" si="51"/>
        <v>0</v>
      </c>
    </row>
    <row r="405" spans="1:35" ht="30" customHeight="1" x14ac:dyDescent="0.3">
      <c r="A405" s="91" t="s">
        <v>91</v>
      </c>
      <c r="B405" s="91" t="s">
        <v>99</v>
      </c>
      <c r="C405" s="146">
        <v>122</v>
      </c>
      <c r="D405" s="146">
        <v>79123</v>
      </c>
      <c r="E405" s="146">
        <v>80568</v>
      </c>
      <c r="F405" s="147" t="s">
        <v>523</v>
      </c>
      <c r="G405" s="17" t="s">
        <v>206</v>
      </c>
      <c r="H405" s="146" t="s">
        <v>222</v>
      </c>
      <c r="I405" s="146">
        <v>1</v>
      </c>
      <c r="J405" s="146">
        <v>2.5</v>
      </c>
      <c r="K405" s="146">
        <v>1</v>
      </c>
      <c r="L405" s="146">
        <v>2</v>
      </c>
      <c r="M405" s="146">
        <v>1</v>
      </c>
      <c r="N405" s="148" t="s">
        <v>223</v>
      </c>
      <c r="O405" s="148">
        <f t="shared" si="49"/>
        <v>2</v>
      </c>
      <c r="P405" s="125">
        <v>44905</v>
      </c>
      <c r="Q405" s="149">
        <v>44907</v>
      </c>
      <c r="R405" s="150">
        <v>1</v>
      </c>
      <c r="S405" s="150">
        <v>1</v>
      </c>
      <c r="T405" s="150">
        <v>1</v>
      </c>
      <c r="U405" s="151">
        <f>IF(ISBLANK(Table1[[#This Row],[OHC Date]]),$B$7-Table1[[#This Row],[HOC Date]]+1,Table1[[#This Row],[OHC Date]]-Table1[[#This Row],[HOC Date]]+1)/7</f>
        <v>0.42857142857142855</v>
      </c>
      <c r="V405" s="152">
        <v>63.34</v>
      </c>
      <c r="W405" s="152">
        <v>7.28</v>
      </c>
      <c r="X405" s="152">
        <f>ROUND(0.7*Table1[[#This Row],[E&amp;D Rate per unit]]*R405*Table1[[#This Row],[Quantity]],2)</f>
        <v>88.68</v>
      </c>
      <c r="Y405" s="152">
        <f t="shared" si="50"/>
        <v>6.24</v>
      </c>
      <c r="Z405" s="152">
        <f>ROUND(0.3*T405*Table1[[#This Row],[E&amp;D Rate per unit]]*Table1[[#This Row],[Quantity]],2)</f>
        <v>38</v>
      </c>
      <c r="AA405" s="112">
        <v>1</v>
      </c>
      <c r="AB405" s="21">
        <f>ROUND(X405+Z405+Y405,2)*Table1[[#This Row],[Until WA Approved Only Approved this %]]</f>
        <v>132.91999999999999</v>
      </c>
      <c r="AC405" s="153"/>
      <c r="AD405" s="153">
        <f>Table1[[#This Row],[Total Amount]]-Table1[[#This Row],[Previous Amount]]</f>
        <v>132.91999999999999</v>
      </c>
      <c r="AE405" s="154"/>
      <c r="AG405" s="174">
        <v>132.91999999999999</v>
      </c>
      <c r="AH405" s="178">
        <f>AG405-Table1[[#This Row],[Total Amount]]</f>
        <v>0</v>
      </c>
      <c r="AI405" s="171">
        <f t="shared" si="51"/>
        <v>0</v>
      </c>
    </row>
    <row r="406" spans="1:35" ht="30" customHeight="1" x14ac:dyDescent="0.3">
      <c r="A406" s="91" t="s">
        <v>91</v>
      </c>
      <c r="B406" s="91" t="s">
        <v>99</v>
      </c>
      <c r="C406" s="146">
        <v>123</v>
      </c>
      <c r="D406" s="146">
        <v>79124</v>
      </c>
      <c r="E406" s="146"/>
      <c r="F406" s="147" t="s">
        <v>525</v>
      </c>
      <c r="G406" s="17" t="s">
        <v>202</v>
      </c>
      <c r="H406" s="109" t="s">
        <v>120</v>
      </c>
      <c r="I406" s="146">
        <v>1</v>
      </c>
      <c r="J406" s="146">
        <v>5</v>
      </c>
      <c r="K406" s="146">
        <v>1.8</v>
      </c>
      <c r="L406" s="146">
        <v>3</v>
      </c>
      <c r="M406" s="146">
        <v>1</v>
      </c>
      <c r="N406" s="148" t="s">
        <v>208</v>
      </c>
      <c r="O406" s="148">
        <f t="shared" si="49"/>
        <v>15</v>
      </c>
      <c r="P406" s="125">
        <v>44905</v>
      </c>
      <c r="Q406" s="149"/>
      <c r="R406" s="150">
        <v>1</v>
      </c>
      <c r="S406" s="150">
        <v>1</v>
      </c>
      <c r="T406" s="150">
        <v>0</v>
      </c>
      <c r="U406" s="151">
        <f>IF(ISBLANK(Table1[[#This Row],[OHC Date]]),$B$7-Table1[[#This Row],[HOC Date]]+1,Table1[[#This Row],[OHC Date]]-Table1[[#This Row],[HOC Date]]+1)/7</f>
        <v>2.2857142857142856</v>
      </c>
      <c r="V406" s="152">
        <v>16.760000000000002</v>
      </c>
      <c r="W406" s="152">
        <v>0.77</v>
      </c>
      <c r="X406" s="152">
        <f>ROUND(0.7*Table1[[#This Row],[E&amp;D Rate per unit]]*R406*Table1[[#This Row],[Quantity]],2)</f>
        <v>175.98</v>
      </c>
      <c r="Y406" s="152">
        <f t="shared" si="50"/>
        <v>26.4</v>
      </c>
      <c r="Z406" s="152">
        <f>ROUND(0.3*T406*Table1[[#This Row],[E&amp;D Rate per unit]]*Table1[[#This Row],[Quantity]],2)</f>
        <v>0</v>
      </c>
      <c r="AA406" s="112">
        <v>1</v>
      </c>
      <c r="AB406" s="21">
        <f>ROUND(X406+Z406+Y406,2)*Table1[[#This Row],[Until WA Approved Only Approved this %]]</f>
        <v>202.38</v>
      </c>
      <c r="AC406" s="153"/>
      <c r="AD406" s="153">
        <f>Table1[[#This Row],[Total Amount]]-Table1[[#This Row],[Previous Amount]]</f>
        <v>202.38</v>
      </c>
      <c r="AE406" s="154"/>
      <c r="AG406" s="174">
        <v>202.38</v>
      </c>
      <c r="AH406" s="178">
        <f>AG406-Table1[[#This Row],[Total Amount]]</f>
        <v>0</v>
      </c>
      <c r="AI406" s="171">
        <f t="shared" si="51"/>
        <v>0</v>
      </c>
    </row>
    <row r="407" spans="1:35" ht="30" customHeight="1" x14ac:dyDescent="0.3">
      <c r="A407" s="91" t="s">
        <v>91</v>
      </c>
      <c r="B407" s="91" t="s">
        <v>99</v>
      </c>
      <c r="C407" s="146" t="s">
        <v>526</v>
      </c>
      <c r="D407" s="146">
        <v>79124</v>
      </c>
      <c r="E407" s="146"/>
      <c r="F407" s="147" t="s">
        <v>525</v>
      </c>
      <c r="G407" s="17" t="s">
        <v>202</v>
      </c>
      <c r="H407" s="109" t="s">
        <v>129</v>
      </c>
      <c r="I407" s="146">
        <v>1</v>
      </c>
      <c r="J407" s="146">
        <v>2</v>
      </c>
      <c r="K407" s="146">
        <v>1.5</v>
      </c>
      <c r="L407" s="146">
        <v>1</v>
      </c>
      <c r="M407" s="146">
        <v>1</v>
      </c>
      <c r="N407" s="148" t="s">
        <v>162</v>
      </c>
      <c r="O407" s="148">
        <f t="shared" si="49"/>
        <v>3</v>
      </c>
      <c r="P407" s="125">
        <v>44905</v>
      </c>
      <c r="Q407" s="149"/>
      <c r="R407" s="150">
        <v>1</v>
      </c>
      <c r="S407" s="150">
        <v>1</v>
      </c>
      <c r="T407" s="150">
        <v>0</v>
      </c>
      <c r="U407" s="151">
        <f>IF(ISBLANK(Table1[[#This Row],[OHC Date]]),$B$7-Table1[[#This Row],[HOC Date]]+1,Table1[[#This Row],[OHC Date]]-Table1[[#This Row],[HOC Date]]+1)/7</f>
        <v>2.2857142857142856</v>
      </c>
      <c r="V407" s="152">
        <v>36.520000000000003</v>
      </c>
      <c r="W407" s="152">
        <v>2.94</v>
      </c>
      <c r="X407" s="152">
        <f>ROUND(0.7*Table1[[#This Row],[E&amp;D Rate per unit]]*R407*Table1[[#This Row],[Quantity]],2)</f>
        <v>76.69</v>
      </c>
      <c r="Y407" s="152">
        <f t="shared" si="50"/>
        <v>20.16</v>
      </c>
      <c r="Z407" s="152">
        <f>ROUND(0.3*T407*Table1[[#This Row],[E&amp;D Rate per unit]]*Table1[[#This Row],[Quantity]],2)</f>
        <v>0</v>
      </c>
      <c r="AA407" s="112">
        <v>1</v>
      </c>
      <c r="AB407" s="21">
        <f>ROUND(X407+Z407+Y407,2)*Table1[[#This Row],[Until WA Approved Only Approved this %]]</f>
        <v>96.85</v>
      </c>
      <c r="AC407" s="153"/>
      <c r="AD407" s="153">
        <f>Table1[[#This Row],[Total Amount]]-Table1[[#This Row],[Previous Amount]]</f>
        <v>96.85</v>
      </c>
      <c r="AE407" s="154"/>
      <c r="AG407" s="174">
        <v>96.85</v>
      </c>
      <c r="AH407" s="178">
        <f>AG407-Table1[[#This Row],[Total Amount]]</f>
        <v>0</v>
      </c>
      <c r="AI407" s="171">
        <f t="shared" si="51"/>
        <v>0</v>
      </c>
    </row>
    <row r="408" spans="1:35" ht="30" customHeight="1" x14ac:dyDescent="0.3">
      <c r="A408" s="91" t="s">
        <v>91</v>
      </c>
      <c r="B408" s="91" t="s">
        <v>99</v>
      </c>
      <c r="C408" s="146">
        <v>124</v>
      </c>
      <c r="D408" s="146">
        <v>79125</v>
      </c>
      <c r="E408" s="146"/>
      <c r="F408" s="147" t="s">
        <v>574</v>
      </c>
      <c r="G408" s="17" t="s">
        <v>202</v>
      </c>
      <c r="H408" s="146" t="s">
        <v>222</v>
      </c>
      <c r="I408" s="146">
        <v>1</v>
      </c>
      <c r="J408" s="146">
        <v>1.8</v>
      </c>
      <c r="K408" s="146">
        <v>1.3</v>
      </c>
      <c r="L408" s="146">
        <v>3</v>
      </c>
      <c r="M408" s="146">
        <v>1</v>
      </c>
      <c r="N408" s="148" t="s">
        <v>223</v>
      </c>
      <c r="O408" s="148">
        <f t="shared" ref="O408:O422" si="52">ROUND(IF(N408="m3",I408*J408*K408*L408,IF(N408="m2-LxH",I408*J408*L408,IF(N408="m2-LxW",I408*J408*K408,IF(N408="rm",I408*L408,IF(N408="lm",I408*J408,IF(N408="unit",I408,"NA")))))),2)</f>
        <v>3</v>
      </c>
      <c r="P408" s="125">
        <v>44907</v>
      </c>
      <c r="Q408" s="149"/>
      <c r="R408" s="150">
        <v>1</v>
      </c>
      <c r="S408" s="150">
        <v>1</v>
      </c>
      <c r="T408" s="150">
        <v>0</v>
      </c>
      <c r="U408" s="151">
        <f>IF(ISBLANK(Table1[[#This Row],[OHC Date]]),$B$7-Table1[[#This Row],[HOC Date]]+1,Table1[[#This Row],[OHC Date]]-Table1[[#This Row],[HOC Date]]+1)/7</f>
        <v>2</v>
      </c>
      <c r="V408" s="152">
        <v>63.34</v>
      </c>
      <c r="W408" s="152">
        <v>7.28</v>
      </c>
      <c r="X408" s="152">
        <f>ROUND(0.7*Table1[[#This Row],[E&amp;D Rate per unit]]*R408*Table1[[#This Row],[Quantity]],2)</f>
        <v>133.01</v>
      </c>
      <c r="Y408" s="152">
        <f t="shared" ref="Y408:Y422" si="53">ROUND(O408*U408*W408*S408,2)</f>
        <v>43.68</v>
      </c>
      <c r="Z408" s="152">
        <f>ROUND(0.3*T408*Table1[[#This Row],[E&amp;D Rate per unit]]*Table1[[#This Row],[Quantity]],2)</f>
        <v>0</v>
      </c>
      <c r="AA408" s="112">
        <v>1</v>
      </c>
      <c r="AB408" s="21">
        <f>ROUND(X408+Z408+Y408,2)*Table1[[#This Row],[Until WA Approved Only Approved this %]]</f>
        <v>176.69</v>
      </c>
      <c r="AC408" s="153"/>
      <c r="AD408" s="153">
        <f>Table1[[#This Row],[Total Amount]]-Table1[[#This Row],[Previous Amount]]</f>
        <v>176.69</v>
      </c>
      <c r="AE408" s="154"/>
      <c r="AG408" s="174">
        <v>176.69</v>
      </c>
      <c r="AH408" s="178">
        <f>AG408-Table1[[#This Row],[Total Amount]]</f>
        <v>0</v>
      </c>
      <c r="AI408" s="171">
        <f t="shared" si="51"/>
        <v>0</v>
      </c>
    </row>
    <row r="409" spans="1:35" ht="30" customHeight="1" x14ac:dyDescent="0.3">
      <c r="A409" s="91" t="s">
        <v>91</v>
      </c>
      <c r="B409" s="91" t="s">
        <v>99</v>
      </c>
      <c r="C409" s="146">
        <v>125</v>
      </c>
      <c r="D409" s="146">
        <v>79126</v>
      </c>
      <c r="E409" s="146"/>
      <c r="F409" s="147" t="s">
        <v>575</v>
      </c>
      <c r="G409" s="17" t="s">
        <v>202</v>
      </c>
      <c r="H409" s="146" t="s">
        <v>207</v>
      </c>
      <c r="I409" s="146">
        <v>1</v>
      </c>
      <c r="J409" s="146">
        <v>4.3</v>
      </c>
      <c r="K409" s="146">
        <v>1.3</v>
      </c>
      <c r="L409" s="146">
        <v>1.5</v>
      </c>
      <c r="M409" s="146">
        <v>1</v>
      </c>
      <c r="N409" s="148" t="s">
        <v>208</v>
      </c>
      <c r="O409" s="148">
        <f t="shared" si="52"/>
        <v>6.45</v>
      </c>
      <c r="P409" s="125">
        <v>44907</v>
      </c>
      <c r="Q409" s="149"/>
      <c r="R409" s="150">
        <v>1</v>
      </c>
      <c r="S409" s="150">
        <v>1</v>
      </c>
      <c r="T409" s="150">
        <v>0</v>
      </c>
      <c r="U409" s="151">
        <f>IF(ISBLANK(Table1[[#This Row],[OHC Date]]),$B$7-Table1[[#This Row],[HOC Date]]+1,Table1[[#This Row],[OHC Date]]-Table1[[#This Row],[HOC Date]]+1)/7</f>
        <v>2</v>
      </c>
      <c r="V409" s="152">
        <v>12.01</v>
      </c>
      <c r="W409" s="152">
        <v>0.49</v>
      </c>
      <c r="X409" s="152">
        <f>ROUND(0.7*Table1[[#This Row],[E&amp;D Rate per unit]]*R409*Table1[[#This Row],[Quantity]],2)</f>
        <v>54.23</v>
      </c>
      <c r="Y409" s="152">
        <f t="shared" si="53"/>
        <v>6.32</v>
      </c>
      <c r="Z409" s="152">
        <f>ROUND(0.3*T409*Table1[[#This Row],[E&amp;D Rate per unit]]*Table1[[#This Row],[Quantity]],2)</f>
        <v>0</v>
      </c>
      <c r="AA409" s="112">
        <v>1</v>
      </c>
      <c r="AB409" s="21">
        <f>ROUND(X409+Z409+Y409,2)*Table1[[#This Row],[Until WA Approved Only Approved this %]]</f>
        <v>60.55</v>
      </c>
      <c r="AC409" s="153"/>
      <c r="AD409" s="153">
        <f>Table1[[#This Row],[Total Amount]]-Table1[[#This Row],[Previous Amount]]</f>
        <v>60.55</v>
      </c>
      <c r="AE409" s="154"/>
      <c r="AG409" s="174">
        <v>60.55</v>
      </c>
      <c r="AH409" s="178">
        <f>AG409-Table1[[#This Row],[Total Amount]]</f>
        <v>0</v>
      </c>
      <c r="AI409" s="171">
        <f t="shared" si="51"/>
        <v>0</v>
      </c>
    </row>
    <row r="410" spans="1:35" ht="30" customHeight="1" x14ac:dyDescent="0.3">
      <c r="A410" s="91" t="s">
        <v>91</v>
      </c>
      <c r="B410" s="91" t="s">
        <v>99</v>
      </c>
      <c r="C410" s="146">
        <v>126</v>
      </c>
      <c r="D410" s="146">
        <v>79127</v>
      </c>
      <c r="E410" s="146"/>
      <c r="F410" s="147" t="s">
        <v>576</v>
      </c>
      <c r="G410" s="17" t="s">
        <v>256</v>
      </c>
      <c r="H410" s="146" t="s">
        <v>222</v>
      </c>
      <c r="I410" s="146">
        <v>1</v>
      </c>
      <c r="J410" s="146">
        <v>1</v>
      </c>
      <c r="K410" s="146">
        <v>0.6</v>
      </c>
      <c r="L410" s="146">
        <v>4</v>
      </c>
      <c r="M410" s="146">
        <v>2</v>
      </c>
      <c r="N410" s="148" t="s">
        <v>223</v>
      </c>
      <c r="O410" s="148">
        <f t="shared" si="52"/>
        <v>4</v>
      </c>
      <c r="P410" s="125">
        <v>44907</v>
      </c>
      <c r="Q410" s="149"/>
      <c r="R410" s="150">
        <v>1</v>
      </c>
      <c r="S410" s="150">
        <v>1</v>
      </c>
      <c r="T410" s="150">
        <v>0</v>
      </c>
      <c r="U410" s="151">
        <f>IF(ISBLANK(Table1[[#This Row],[OHC Date]]),$B$7-Table1[[#This Row],[HOC Date]]+1,Table1[[#This Row],[OHC Date]]-Table1[[#This Row],[HOC Date]]+1)/7</f>
        <v>2</v>
      </c>
      <c r="V410" s="152">
        <v>63.34</v>
      </c>
      <c r="W410" s="152">
        <v>7.28</v>
      </c>
      <c r="X410" s="152">
        <f>ROUND(0.7*Table1[[#This Row],[E&amp;D Rate per unit]]*R410*Table1[[#This Row],[Quantity]],2)</f>
        <v>177.35</v>
      </c>
      <c r="Y410" s="152">
        <f t="shared" si="53"/>
        <v>58.24</v>
      </c>
      <c r="Z410" s="152">
        <f>ROUND(0.3*T410*Table1[[#This Row],[E&amp;D Rate per unit]]*Table1[[#This Row],[Quantity]],2)</f>
        <v>0</v>
      </c>
      <c r="AA410" s="112">
        <v>1</v>
      </c>
      <c r="AB410" s="21">
        <f>ROUND(X410+Z410+Y410,2)*Table1[[#This Row],[Until WA Approved Only Approved this %]]</f>
        <v>235.59</v>
      </c>
      <c r="AC410" s="153"/>
      <c r="AD410" s="153">
        <f>Table1[[#This Row],[Total Amount]]-Table1[[#This Row],[Previous Amount]]</f>
        <v>235.59</v>
      </c>
      <c r="AE410" s="154"/>
      <c r="AG410" s="174">
        <v>235.59</v>
      </c>
      <c r="AH410" s="178">
        <f>AG410-Table1[[#This Row],[Total Amount]]</f>
        <v>0</v>
      </c>
      <c r="AI410" s="171">
        <f t="shared" si="51"/>
        <v>0</v>
      </c>
    </row>
    <row r="411" spans="1:35" ht="30" customHeight="1" x14ac:dyDescent="0.3">
      <c r="A411" s="91" t="s">
        <v>91</v>
      </c>
      <c r="B411" s="91" t="s">
        <v>99</v>
      </c>
      <c r="C411" s="146">
        <v>127</v>
      </c>
      <c r="D411" s="146">
        <v>79128</v>
      </c>
      <c r="E411" s="146"/>
      <c r="F411" s="147" t="s">
        <v>576</v>
      </c>
      <c r="G411" s="17" t="s">
        <v>206</v>
      </c>
      <c r="H411" s="146" t="s">
        <v>222</v>
      </c>
      <c r="I411" s="146">
        <v>1</v>
      </c>
      <c r="J411" s="146">
        <v>1</v>
      </c>
      <c r="K411" s="146">
        <v>0.6</v>
      </c>
      <c r="L411" s="146">
        <v>2.5</v>
      </c>
      <c r="M411" s="146">
        <v>1</v>
      </c>
      <c r="N411" s="148" t="s">
        <v>223</v>
      </c>
      <c r="O411" s="148">
        <f t="shared" si="52"/>
        <v>2.5</v>
      </c>
      <c r="P411" s="125">
        <v>44907</v>
      </c>
      <c r="Q411" s="149"/>
      <c r="R411" s="150">
        <v>1</v>
      </c>
      <c r="S411" s="150">
        <v>1</v>
      </c>
      <c r="T411" s="150">
        <v>0</v>
      </c>
      <c r="U411" s="151">
        <f>IF(ISBLANK(Table1[[#This Row],[OHC Date]]),$B$7-Table1[[#This Row],[HOC Date]]+1,Table1[[#This Row],[OHC Date]]-Table1[[#This Row],[HOC Date]]+1)/7</f>
        <v>2</v>
      </c>
      <c r="V411" s="152">
        <v>63.34</v>
      </c>
      <c r="W411" s="152">
        <v>7.28</v>
      </c>
      <c r="X411" s="152">
        <f>ROUND(0.7*Table1[[#This Row],[E&amp;D Rate per unit]]*R411*Table1[[#This Row],[Quantity]],2)</f>
        <v>110.85</v>
      </c>
      <c r="Y411" s="152">
        <f t="shared" si="53"/>
        <v>36.4</v>
      </c>
      <c r="Z411" s="152">
        <f>ROUND(0.3*T411*Table1[[#This Row],[E&amp;D Rate per unit]]*Table1[[#This Row],[Quantity]],2)</f>
        <v>0</v>
      </c>
      <c r="AA411" s="112">
        <v>1</v>
      </c>
      <c r="AB411" s="21">
        <f>ROUND(X411+Z411+Y411,2)*Table1[[#This Row],[Until WA Approved Only Approved this %]]</f>
        <v>147.25</v>
      </c>
      <c r="AC411" s="153"/>
      <c r="AD411" s="153">
        <f>Table1[[#This Row],[Total Amount]]-Table1[[#This Row],[Previous Amount]]</f>
        <v>147.25</v>
      </c>
      <c r="AE411" s="154"/>
      <c r="AG411" s="174">
        <v>147.25</v>
      </c>
      <c r="AH411" s="178">
        <f>AG411-Table1[[#This Row],[Total Amount]]</f>
        <v>0</v>
      </c>
      <c r="AI411" s="171">
        <f t="shared" si="51"/>
        <v>0</v>
      </c>
    </row>
    <row r="412" spans="1:35" ht="30" customHeight="1" x14ac:dyDescent="0.3">
      <c r="A412" s="91" t="s">
        <v>91</v>
      </c>
      <c r="B412" s="91" t="s">
        <v>99</v>
      </c>
      <c r="C412" s="146">
        <v>128</v>
      </c>
      <c r="D412" s="146">
        <v>79129</v>
      </c>
      <c r="E412" s="146">
        <v>80585</v>
      </c>
      <c r="F412" s="147" t="s">
        <v>577</v>
      </c>
      <c r="G412" s="17" t="s">
        <v>228</v>
      </c>
      <c r="H412" s="109" t="s">
        <v>120</v>
      </c>
      <c r="I412" s="146">
        <v>1</v>
      </c>
      <c r="J412" s="146">
        <v>11.8</v>
      </c>
      <c r="K412" s="146">
        <v>2.5</v>
      </c>
      <c r="L412" s="146">
        <v>3</v>
      </c>
      <c r="M412" s="146">
        <v>1</v>
      </c>
      <c r="N412" s="92" t="s">
        <v>208</v>
      </c>
      <c r="O412" s="92">
        <f t="shared" si="52"/>
        <v>35.4</v>
      </c>
      <c r="P412" s="125">
        <v>44907</v>
      </c>
      <c r="Q412" s="149">
        <v>44917</v>
      </c>
      <c r="R412" s="150">
        <v>1</v>
      </c>
      <c r="S412" s="150">
        <v>1</v>
      </c>
      <c r="T412" s="150">
        <v>1</v>
      </c>
      <c r="U412" s="151">
        <f>IF(ISBLANK(Table1[[#This Row],[OHC Date]]),$B$7-Table1[[#This Row],[HOC Date]]+1,Table1[[#This Row],[OHC Date]]-Table1[[#This Row],[HOC Date]]+1)/7</f>
        <v>1.5714285714285714</v>
      </c>
      <c r="V412" s="114">
        <v>16.760000000000002</v>
      </c>
      <c r="W412" s="114">
        <v>0.77</v>
      </c>
      <c r="X412" s="152">
        <f>ROUND(0.7*Table1[[#This Row],[E&amp;D Rate per unit]]*R412*Table1[[#This Row],[Quantity]],2)</f>
        <v>415.31</v>
      </c>
      <c r="Y412" s="152">
        <f t="shared" si="53"/>
        <v>42.83</v>
      </c>
      <c r="Z412" s="152">
        <f>ROUND(0.3*T412*Table1[[#This Row],[E&amp;D Rate per unit]]*Table1[[#This Row],[Quantity]],2)</f>
        <v>177.99</v>
      </c>
      <c r="AA412" s="112">
        <v>1</v>
      </c>
      <c r="AB412" s="21">
        <f>ROUND(X412+Z412+Y412,2)*Table1[[#This Row],[Until WA Approved Only Approved this %]]</f>
        <v>636.13</v>
      </c>
      <c r="AC412" s="153"/>
      <c r="AD412" s="153">
        <f>Table1[[#This Row],[Total Amount]]-Table1[[#This Row],[Previous Amount]]</f>
        <v>636.13</v>
      </c>
      <c r="AE412" s="154"/>
      <c r="AG412" s="174">
        <v>636.13</v>
      </c>
      <c r="AH412" s="178">
        <f>AG412-Table1[[#This Row],[Total Amount]]</f>
        <v>0</v>
      </c>
      <c r="AI412" s="171">
        <f t="shared" si="51"/>
        <v>0</v>
      </c>
    </row>
    <row r="413" spans="1:35" ht="30" customHeight="1" x14ac:dyDescent="0.3">
      <c r="A413" s="91" t="s">
        <v>91</v>
      </c>
      <c r="B413" s="91" t="s">
        <v>99</v>
      </c>
      <c r="C413" s="146" t="s">
        <v>578</v>
      </c>
      <c r="D413" s="146">
        <v>79130</v>
      </c>
      <c r="E413" s="146">
        <v>80586</v>
      </c>
      <c r="F413" s="147" t="s">
        <v>577</v>
      </c>
      <c r="G413" s="17" t="s">
        <v>228</v>
      </c>
      <c r="H413" s="109" t="s">
        <v>120</v>
      </c>
      <c r="I413" s="146">
        <v>1</v>
      </c>
      <c r="J413" s="146">
        <v>4.3</v>
      </c>
      <c r="K413" s="146">
        <v>2.5</v>
      </c>
      <c r="L413" s="146">
        <v>2</v>
      </c>
      <c r="M413" s="146">
        <v>1</v>
      </c>
      <c r="N413" s="92" t="s">
        <v>208</v>
      </c>
      <c r="O413" s="92">
        <f t="shared" si="52"/>
        <v>8.6</v>
      </c>
      <c r="P413" s="125">
        <v>44907</v>
      </c>
      <c r="Q413" s="149">
        <v>44917</v>
      </c>
      <c r="R413" s="150">
        <v>1</v>
      </c>
      <c r="S413" s="150">
        <v>1</v>
      </c>
      <c r="T413" s="150">
        <v>1</v>
      </c>
      <c r="U413" s="151">
        <f>IF(ISBLANK(Table1[[#This Row],[OHC Date]]),$B$7-Table1[[#This Row],[HOC Date]]+1,Table1[[#This Row],[OHC Date]]-Table1[[#This Row],[HOC Date]]+1)/7</f>
        <v>1.5714285714285714</v>
      </c>
      <c r="V413" s="114">
        <v>16.760000000000002</v>
      </c>
      <c r="W413" s="114">
        <v>0.77</v>
      </c>
      <c r="X413" s="152">
        <f>ROUND(0.7*Table1[[#This Row],[E&amp;D Rate per unit]]*R413*Table1[[#This Row],[Quantity]],2)</f>
        <v>100.9</v>
      </c>
      <c r="Y413" s="152">
        <f t="shared" si="53"/>
        <v>10.41</v>
      </c>
      <c r="Z413" s="152">
        <f>ROUND(0.3*T413*Table1[[#This Row],[E&amp;D Rate per unit]]*Table1[[#This Row],[Quantity]],2)</f>
        <v>43.24</v>
      </c>
      <c r="AA413" s="112">
        <v>1</v>
      </c>
      <c r="AB413" s="21">
        <f>ROUND(X413+Z413+Y413,2)*Table1[[#This Row],[Until WA Approved Only Approved this %]]</f>
        <v>154.55000000000001</v>
      </c>
      <c r="AC413" s="153"/>
      <c r="AD413" s="153">
        <f>Table1[[#This Row],[Total Amount]]-Table1[[#This Row],[Previous Amount]]</f>
        <v>154.55000000000001</v>
      </c>
      <c r="AE413" s="154"/>
      <c r="AG413" s="174">
        <v>154.55000000000001</v>
      </c>
      <c r="AH413" s="178">
        <f>AG413-Table1[[#This Row],[Total Amount]]</f>
        <v>0</v>
      </c>
      <c r="AI413" s="171">
        <f t="shared" si="51"/>
        <v>0</v>
      </c>
    </row>
    <row r="414" spans="1:35" ht="30" customHeight="1" x14ac:dyDescent="0.3">
      <c r="A414" s="91" t="s">
        <v>91</v>
      </c>
      <c r="B414" s="91" t="s">
        <v>99</v>
      </c>
      <c r="C414" s="146">
        <v>129</v>
      </c>
      <c r="D414" s="146">
        <v>79131</v>
      </c>
      <c r="E414" s="146"/>
      <c r="F414" s="147" t="s">
        <v>579</v>
      </c>
      <c r="G414" s="17" t="s">
        <v>202</v>
      </c>
      <c r="H414" s="146" t="s">
        <v>222</v>
      </c>
      <c r="I414" s="146">
        <v>1</v>
      </c>
      <c r="J414" s="146">
        <v>2.5</v>
      </c>
      <c r="K414" s="146">
        <v>0.9</v>
      </c>
      <c r="L414" s="146">
        <v>1.2</v>
      </c>
      <c r="M414" s="146">
        <v>1</v>
      </c>
      <c r="N414" s="148" t="s">
        <v>223</v>
      </c>
      <c r="O414" s="148">
        <f t="shared" si="52"/>
        <v>1.2</v>
      </c>
      <c r="P414" s="125">
        <v>44907</v>
      </c>
      <c r="Q414" s="149"/>
      <c r="R414" s="150">
        <v>1</v>
      </c>
      <c r="S414" s="150">
        <v>1</v>
      </c>
      <c r="T414" s="150">
        <v>0</v>
      </c>
      <c r="U414" s="151">
        <f>IF(ISBLANK(Table1[[#This Row],[OHC Date]]),$B$7-Table1[[#This Row],[HOC Date]]+1,Table1[[#This Row],[OHC Date]]-Table1[[#This Row],[HOC Date]]+1)/7</f>
        <v>2</v>
      </c>
      <c r="V414" s="152">
        <v>63.34</v>
      </c>
      <c r="W414" s="152">
        <v>7.28</v>
      </c>
      <c r="X414" s="152">
        <f>ROUND(0.7*Table1[[#This Row],[E&amp;D Rate per unit]]*R414*Table1[[#This Row],[Quantity]],2)</f>
        <v>53.21</v>
      </c>
      <c r="Y414" s="152">
        <f t="shared" si="53"/>
        <v>17.47</v>
      </c>
      <c r="Z414" s="152">
        <f>ROUND(0.3*T414*Table1[[#This Row],[E&amp;D Rate per unit]]*Table1[[#This Row],[Quantity]],2)</f>
        <v>0</v>
      </c>
      <c r="AA414" s="112">
        <v>1</v>
      </c>
      <c r="AB414" s="21">
        <f>ROUND(X414+Z414+Y414,2)*Table1[[#This Row],[Until WA Approved Only Approved this %]]</f>
        <v>70.680000000000007</v>
      </c>
      <c r="AC414" s="153"/>
      <c r="AD414" s="153">
        <f>Table1[[#This Row],[Total Amount]]-Table1[[#This Row],[Previous Amount]]</f>
        <v>70.680000000000007</v>
      </c>
      <c r="AE414" s="154"/>
      <c r="AG414" s="174">
        <v>70.680000000000007</v>
      </c>
      <c r="AH414" s="178">
        <f>AG414-Table1[[#This Row],[Total Amount]]</f>
        <v>0</v>
      </c>
      <c r="AI414" s="171">
        <f t="shared" si="51"/>
        <v>0</v>
      </c>
    </row>
    <row r="415" spans="1:35" ht="30" customHeight="1" x14ac:dyDescent="0.3">
      <c r="A415" s="155" t="s">
        <v>554</v>
      </c>
      <c r="B415" s="91" t="s">
        <v>99</v>
      </c>
      <c r="C415" s="146" t="s">
        <v>580</v>
      </c>
      <c r="D415" s="146">
        <v>79132</v>
      </c>
      <c r="E415" s="146">
        <v>80576</v>
      </c>
      <c r="F415" s="147" t="s">
        <v>556</v>
      </c>
      <c r="G415" s="17" t="s">
        <v>434</v>
      </c>
      <c r="H415" s="16" t="s">
        <v>557</v>
      </c>
      <c r="I415" s="146">
        <v>1</v>
      </c>
      <c r="J415" s="146">
        <v>4.3</v>
      </c>
      <c r="K415" s="146">
        <v>1</v>
      </c>
      <c r="L415" s="146">
        <v>1</v>
      </c>
      <c r="M415" s="146">
        <v>1</v>
      </c>
      <c r="N415" s="148" t="s">
        <v>56</v>
      </c>
      <c r="O415" s="148">
        <f t="shared" si="52"/>
        <v>1</v>
      </c>
      <c r="P415" s="125">
        <v>44908</v>
      </c>
      <c r="Q415" s="149">
        <v>44912</v>
      </c>
      <c r="R415" s="150">
        <v>1</v>
      </c>
      <c r="S415" s="150">
        <v>1</v>
      </c>
      <c r="T415" s="150">
        <v>1</v>
      </c>
      <c r="U415" s="151">
        <f>IF(ISBLANK(Table1[[#This Row],[OHC Date]]),$B$7-Table1[[#This Row],[HOC Date]]+1,Table1[[#This Row],[OHC Date]]-Table1[[#This Row],[HOC Date]]+1)/7</f>
        <v>0.7142857142857143</v>
      </c>
      <c r="V415" s="152">
        <v>3620.37</v>
      </c>
      <c r="W415" s="152">
        <v>54.93</v>
      </c>
      <c r="X415" s="152">
        <f>ROUND(0.7*Table1[[#This Row],[E&amp;D Rate per unit]]*R415*Table1[[#This Row],[Quantity]],2)</f>
        <v>2534.2600000000002</v>
      </c>
      <c r="Y415" s="152">
        <f t="shared" si="53"/>
        <v>39.24</v>
      </c>
      <c r="Z415" s="152">
        <f>ROUND(0.3*T415*Table1[[#This Row],[E&amp;D Rate per unit]]*Table1[[#This Row],[Quantity]],2)</f>
        <v>1086.1099999999999</v>
      </c>
      <c r="AA415" s="19">
        <v>1</v>
      </c>
      <c r="AB415" s="163">
        <f>ROUND(X415+Z415+Y415,2)*Table1[[#This Row],[Until WA Approved Only Approved this %]]/2.3*1</f>
        <v>1591.1347826086958</v>
      </c>
      <c r="AC415" s="153"/>
      <c r="AD415" s="153">
        <f>Table1[[#This Row],[Total Amount]]-Table1[[#This Row],[Previous Amount]]</f>
        <v>1591.1347826086958</v>
      </c>
      <c r="AE415" s="142" t="s">
        <v>561</v>
      </c>
      <c r="AG415" s="174">
        <v>3659.61</v>
      </c>
      <c r="AH415" s="178">
        <f>AG415-Table1[[#This Row],[Total Amount]]</f>
        <v>2068.4752173913043</v>
      </c>
      <c r="AI415" s="171">
        <f t="shared" si="51"/>
        <v>0.56521739130434778</v>
      </c>
    </row>
    <row r="416" spans="1:35" ht="30" customHeight="1" x14ac:dyDescent="0.3">
      <c r="A416" s="91" t="s">
        <v>91</v>
      </c>
      <c r="B416" s="91" t="s">
        <v>99</v>
      </c>
      <c r="C416" s="146" t="s">
        <v>581</v>
      </c>
      <c r="D416" s="146">
        <v>79133</v>
      </c>
      <c r="E416" s="146"/>
      <c r="F416" s="147" t="s">
        <v>582</v>
      </c>
      <c r="G416" s="17" t="s">
        <v>202</v>
      </c>
      <c r="H416" s="109" t="s">
        <v>120</v>
      </c>
      <c r="I416" s="146">
        <v>1</v>
      </c>
      <c r="J416" s="146">
        <v>11.8</v>
      </c>
      <c r="K416" s="146">
        <v>1.8</v>
      </c>
      <c r="L416" s="146">
        <v>3</v>
      </c>
      <c r="M416" s="146">
        <v>1</v>
      </c>
      <c r="N416" s="148" t="s">
        <v>208</v>
      </c>
      <c r="O416" s="148">
        <f t="shared" si="52"/>
        <v>35.4</v>
      </c>
      <c r="P416" s="125">
        <v>44908</v>
      </c>
      <c r="Q416" s="149"/>
      <c r="R416" s="150">
        <v>1</v>
      </c>
      <c r="S416" s="150">
        <v>1</v>
      </c>
      <c r="T416" s="150">
        <v>0</v>
      </c>
      <c r="U416" s="151">
        <f>IF(ISBLANK(Table1[[#This Row],[OHC Date]]),$B$7-Table1[[#This Row],[HOC Date]]+1,Table1[[#This Row],[OHC Date]]-Table1[[#This Row],[HOC Date]]+1)/7</f>
        <v>1.8571428571428572</v>
      </c>
      <c r="V416" s="152">
        <v>16.760000000000002</v>
      </c>
      <c r="W416" s="152">
        <v>0.77</v>
      </c>
      <c r="X416" s="152">
        <f>ROUND(0.7*Table1[[#This Row],[E&amp;D Rate per unit]]*R416*Table1[[#This Row],[Quantity]],2)</f>
        <v>415.31</v>
      </c>
      <c r="Y416" s="152">
        <f t="shared" si="53"/>
        <v>50.62</v>
      </c>
      <c r="Z416" s="152">
        <f>ROUND(0.3*T416*Table1[[#This Row],[E&amp;D Rate per unit]]*Table1[[#This Row],[Quantity]],2)</f>
        <v>0</v>
      </c>
      <c r="AA416" s="112">
        <v>1</v>
      </c>
      <c r="AB416" s="21">
        <f>ROUND(X416+Z416+Y416,2)*Table1[[#This Row],[Until WA Approved Only Approved this %]]</f>
        <v>465.93</v>
      </c>
      <c r="AC416" s="153"/>
      <c r="AD416" s="153">
        <f>Table1[[#This Row],[Total Amount]]-Table1[[#This Row],[Previous Amount]]</f>
        <v>465.93</v>
      </c>
      <c r="AE416" s="154"/>
      <c r="AG416" s="174">
        <v>465.93</v>
      </c>
      <c r="AH416" s="178">
        <f>AG416-Table1[[#This Row],[Total Amount]]</f>
        <v>0</v>
      </c>
      <c r="AI416" s="171">
        <f t="shared" si="51"/>
        <v>0</v>
      </c>
    </row>
    <row r="417" spans="1:35" ht="30" customHeight="1" x14ac:dyDescent="0.3">
      <c r="A417" s="91" t="s">
        <v>91</v>
      </c>
      <c r="B417" s="91" t="s">
        <v>99</v>
      </c>
      <c r="C417" s="146" t="s">
        <v>583</v>
      </c>
      <c r="D417" s="146">
        <v>79134</v>
      </c>
      <c r="E417" s="146"/>
      <c r="F417" s="147" t="s">
        <v>582</v>
      </c>
      <c r="G417" s="17" t="s">
        <v>202</v>
      </c>
      <c r="H417" s="109" t="s">
        <v>129</v>
      </c>
      <c r="I417" s="146">
        <v>1</v>
      </c>
      <c r="J417" s="146">
        <v>6</v>
      </c>
      <c r="K417" s="146">
        <v>1</v>
      </c>
      <c r="L417" s="146">
        <v>1</v>
      </c>
      <c r="M417" s="146">
        <v>1</v>
      </c>
      <c r="N417" s="148" t="s">
        <v>162</v>
      </c>
      <c r="O417" s="148">
        <f t="shared" si="52"/>
        <v>6</v>
      </c>
      <c r="P417" s="125">
        <v>44908</v>
      </c>
      <c r="Q417" s="149"/>
      <c r="R417" s="150">
        <v>1</v>
      </c>
      <c r="S417" s="150">
        <v>1</v>
      </c>
      <c r="T417" s="150">
        <v>0</v>
      </c>
      <c r="U417" s="151">
        <f>IF(ISBLANK(Table1[[#This Row],[OHC Date]]),$B$7-Table1[[#This Row],[HOC Date]]+1,Table1[[#This Row],[OHC Date]]-Table1[[#This Row],[HOC Date]]+1)/7</f>
        <v>1.8571428571428572</v>
      </c>
      <c r="V417" s="152">
        <v>36.520000000000003</v>
      </c>
      <c r="W417" s="152">
        <v>2.94</v>
      </c>
      <c r="X417" s="152">
        <f>ROUND(0.7*Table1[[#This Row],[E&amp;D Rate per unit]]*R417*Table1[[#This Row],[Quantity]],2)</f>
        <v>153.38</v>
      </c>
      <c r="Y417" s="152">
        <f t="shared" si="53"/>
        <v>32.76</v>
      </c>
      <c r="Z417" s="152">
        <f>ROUND(0.3*T417*Table1[[#This Row],[E&amp;D Rate per unit]]*Table1[[#This Row],[Quantity]],2)</f>
        <v>0</v>
      </c>
      <c r="AA417" s="112">
        <v>1</v>
      </c>
      <c r="AB417" s="21">
        <f>ROUND(X417+Z417+Y417,2)*Table1[[#This Row],[Until WA Approved Only Approved this %]]</f>
        <v>186.14</v>
      </c>
      <c r="AC417" s="153"/>
      <c r="AD417" s="153">
        <f>Table1[[#This Row],[Total Amount]]-Table1[[#This Row],[Previous Amount]]</f>
        <v>186.14</v>
      </c>
      <c r="AE417" s="154"/>
      <c r="AG417" s="174">
        <v>186.14</v>
      </c>
      <c r="AH417" s="178">
        <f>AG417-Table1[[#This Row],[Total Amount]]</f>
        <v>0</v>
      </c>
      <c r="AI417" s="171">
        <f t="shared" si="51"/>
        <v>0</v>
      </c>
    </row>
    <row r="418" spans="1:35" ht="30" customHeight="1" x14ac:dyDescent="0.3">
      <c r="A418" s="91" t="s">
        <v>91</v>
      </c>
      <c r="B418" s="91" t="s">
        <v>99</v>
      </c>
      <c r="C418" s="146">
        <v>131</v>
      </c>
      <c r="D418" s="146">
        <v>79135</v>
      </c>
      <c r="E418" s="146"/>
      <c r="F418" s="147" t="s">
        <v>584</v>
      </c>
      <c r="G418" s="17" t="s">
        <v>202</v>
      </c>
      <c r="H418" s="109" t="s">
        <v>120</v>
      </c>
      <c r="I418" s="146">
        <v>1</v>
      </c>
      <c r="J418" s="146">
        <v>17.5</v>
      </c>
      <c r="K418" s="146">
        <v>2.5</v>
      </c>
      <c r="L418" s="146">
        <v>2</v>
      </c>
      <c r="M418" s="146">
        <v>1</v>
      </c>
      <c r="N418" s="92" t="s">
        <v>208</v>
      </c>
      <c r="O418" s="92">
        <f t="shared" si="52"/>
        <v>35</v>
      </c>
      <c r="P418" s="125">
        <v>44908</v>
      </c>
      <c r="Q418" s="149"/>
      <c r="R418" s="150">
        <v>1</v>
      </c>
      <c r="S418" s="150">
        <v>1</v>
      </c>
      <c r="T418" s="150">
        <v>0</v>
      </c>
      <c r="U418" s="151">
        <f>IF(ISBLANK(Table1[[#This Row],[OHC Date]]),$B$7-Table1[[#This Row],[HOC Date]]+1,Table1[[#This Row],[OHC Date]]-Table1[[#This Row],[HOC Date]]+1)/7</f>
        <v>1.8571428571428572</v>
      </c>
      <c r="V418" s="114">
        <v>16.760000000000002</v>
      </c>
      <c r="W418" s="114">
        <v>0.77</v>
      </c>
      <c r="X418" s="152">
        <f>ROUND(0.7*Table1[[#This Row],[E&amp;D Rate per unit]]*R418*Table1[[#This Row],[Quantity]],2)</f>
        <v>410.62</v>
      </c>
      <c r="Y418" s="152">
        <f t="shared" si="53"/>
        <v>50.05</v>
      </c>
      <c r="Z418" s="152">
        <f>ROUND(0.3*T418*Table1[[#This Row],[E&amp;D Rate per unit]]*Table1[[#This Row],[Quantity]],2)</f>
        <v>0</v>
      </c>
      <c r="AA418" s="112">
        <v>1</v>
      </c>
      <c r="AB418" s="21">
        <f>ROUND(X418+Z418+Y418,2)*Table1[[#This Row],[Until WA Approved Only Approved this %]]</f>
        <v>460.67</v>
      </c>
      <c r="AC418" s="153"/>
      <c r="AD418" s="153">
        <f>Table1[[#This Row],[Total Amount]]-Table1[[#This Row],[Previous Amount]]</f>
        <v>460.67</v>
      </c>
      <c r="AE418" s="154"/>
      <c r="AG418" s="174">
        <v>460.67</v>
      </c>
      <c r="AH418" s="178">
        <f>AG418-Table1[[#This Row],[Total Amount]]</f>
        <v>0</v>
      </c>
      <c r="AI418" s="171">
        <f t="shared" si="51"/>
        <v>0</v>
      </c>
    </row>
    <row r="419" spans="1:35" ht="30" customHeight="1" x14ac:dyDescent="0.3">
      <c r="A419" s="141" t="s">
        <v>511</v>
      </c>
      <c r="B419" s="91" t="s">
        <v>99</v>
      </c>
      <c r="C419" s="16">
        <v>132</v>
      </c>
      <c r="D419" s="146">
        <v>79136</v>
      </c>
      <c r="E419" s="146"/>
      <c r="F419" s="17" t="s">
        <v>587</v>
      </c>
      <c r="G419" s="17" t="s">
        <v>442</v>
      </c>
      <c r="H419" s="16" t="s">
        <v>588</v>
      </c>
      <c r="I419" s="146">
        <v>1</v>
      </c>
      <c r="J419" s="146">
        <v>10.8</v>
      </c>
      <c r="K419" s="146">
        <v>1.3</v>
      </c>
      <c r="L419" s="146">
        <v>4.2</v>
      </c>
      <c r="M419" s="146">
        <v>1</v>
      </c>
      <c r="N419" s="148" t="s">
        <v>56</v>
      </c>
      <c r="O419" s="148">
        <f t="shared" si="52"/>
        <v>1</v>
      </c>
      <c r="P419" s="125">
        <v>44908</v>
      </c>
      <c r="Q419" s="149"/>
      <c r="R419" s="150">
        <v>1</v>
      </c>
      <c r="S419" s="150">
        <v>1</v>
      </c>
      <c r="T419" s="150">
        <v>0</v>
      </c>
      <c r="U419" s="151">
        <f>IF(ISBLANK(Table1[[#This Row],[OHC Date]]),$B$7-Table1[[#This Row],[HOC Date]]+1,Table1[[#This Row],[OHC Date]]-Table1[[#This Row],[HOC Date]]+1)/7</f>
        <v>1.8571428571428572</v>
      </c>
      <c r="V419" s="152">
        <v>8208.92</v>
      </c>
      <c r="W419" s="152">
        <v>728.01</v>
      </c>
      <c r="X419" s="152">
        <f>ROUND(0.7*Table1[[#This Row],[E&amp;D Rate per unit]]*R419*Table1[[#This Row],[Quantity]],2)</f>
        <v>5746.24</v>
      </c>
      <c r="Y419" s="152">
        <f t="shared" si="53"/>
        <v>1352.02</v>
      </c>
      <c r="Z419" s="152">
        <f>ROUND(0.3*T419*Table1[[#This Row],[E&amp;D Rate per unit]]*Table1[[#This Row],[Quantity]],2)</f>
        <v>0</v>
      </c>
      <c r="AA419" s="19">
        <v>1</v>
      </c>
      <c r="AB419" s="163">
        <f>ROUND(X419+Z419+Y419,2)*Table1[[#This Row],[Until WA Approved Only Approved this %]]/(12.6*5)*(10.8*4.2)</f>
        <v>5110.7472000000007</v>
      </c>
      <c r="AC419" s="153"/>
      <c r="AD419" s="153">
        <f>Table1[[#This Row],[Total Amount]]-Table1[[#This Row],[Previous Amount]]</f>
        <v>5110.7472000000007</v>
      </c>
      <c r="AE419" s="142" t="s">
        <v>589</v>
      </c>
      <c r="AG419" s="174">
        <v>7098.26</v>
      </c>
      <c r="AH419" s="178">
        <f>AG419-Table1[[#This Row],[Total Amount]]</f>
        <v>1987.5127999999995</v>
      </c>
      <c r="AI419" s="171">
        <f t="shared" si="51"/>
        <v>0.27999999999999992</v>
      </c>
    </row>
    <row r="420" spans="1:35" ht="30" customHeight="1" x14ac:dyDescent="0.3">
      <c r="A420" s="141" t="s">
        <v>511</v>
      </c>
      <c r="B420" s="91" t="s">
        <v>99</v>
      </c>
      <c r="C420" s="16" t="s">
        <v>586</v>
      </c>
      <c r="D420" s="146">
        <v>79137</v>
      </c>
      <c r="E420" s="146">
        <v>80577</v>
      </c>
      <c r="F420" s="17" t="s">
        <v>587</v>
      </c>
      <c r="G420" s="17" t="s">
        <v>442</v>
      </c>
      <c r="H420" s="16" t="s">
        <v>588</v>
      </c>
      <c r="I420" s="146">
        <v>1</v>
      </c>
      <c r="J420" s="146">
        <v>5.4</v>
      </c>
      <c r="K420" s="146">
        <v>1.3</v>
      </c>
      <c r="L420" s="146">
        <v>4.2</v>
      </c>
      <c r="M420" s="146">
        <v>1</v>
      </c>
      <c r="N420" s="148" t="s">
        <v>56</v>
      </c>
      <c r="O420" s="148">
        <f t="shared" si="52"/>
        <v>1</v>
      </c>
      <c r="P420" s="125">
        <v>44908</v>
      </c>
      <c r="Q420" s="149">
        <v>44911</v>
      </c>
      <c r="R420" s="150">
        <v>1</v>
      </c>
      <c r="S420" s="150">
        <v>1</v>
      </c>
      <c r="T420" s="150">
        <v>1</v>
      </c>
      <c r="U420" s="151">
        <f>IF(ISBLANK(Table1[[#This Row],[OHC Date]]),$B$7-Table1[[#This Row],[HOC Date]]+1,Table1[[#This Row],[OHC Date]]-Table1[[#This Row],[HOC Date]]+1)/7</f>
        <v>0.5714285714285714</v>
      </c>
      <c r="V420" s="152">
        <v>0</v>
      </c>
      <c r="W420" s="152">
        <v>0</v>
      </c>
      <c r="X420" s="152">
        <f>ROUND(0.7*Table1[[#This Row],[E&amp;D Rate per unit]]*R420*Table1[[#This Row],[Quantity]],2)</f>
        <v>0</v>
      </c>
      <c r="Y420" s="152">
        <f t="shared" si="53"/>
        <v>0</v>
      </c>
      <c r="Z420" s="152">
        <f>ROUND(0.3*T420*Table1[[#This Row],[E&amp;D Rate per unit]]*Table1[[#This Row],[Quantity]],2)</f>
        <v>0</v>
      </c>
      <c r="AA420" s="19">
        <v>1</v>
      </c>
      <c r="AB420" s="21">
        <f>ROUND(X420+Z420+Y420,2)*Table1[[#This Row],[Until WA Approved Only Approved this %]]</f>
        <v>0</v>
      </c>
      <c r="AC420" s="153"/>
      <c r="AD420" s="153">
        <f>Table1[[#This Row],[Total Amount]]-Table1[[#This Row],[Previous Amount]]</f>
        <v>0</v>
      </c>
      <c r="AE420" s="142" t="s">
        <v>589</v>
      </c>
      <c r="AG420" s="174">
        <v>0</v>
      </c>
      <c r="AH420" s="178">
        <f>AG420-Table1[[#This Row],[Total Amount]]</f>
        <v>0</v>
      </c>
      <c r="AI420" s="171" t="e">
        <f t="shared" si="51"/>
        <v>#DIV/0!</v>
      </c>
    </row>
    <row r="421" spans="1:35" ht="30" customHeight="1" x14ac:dyDescent="0.3">
      <c r="A421" s="91" t="s">
        <v>91</v>
      </c>
      <c r="B421" s="91" t="s">
        <v>99</v>
      </c>
      <c r="C421" s="146">
        <v>133</v>
      </c>
      <c r="D421" s="146">
        <v>79138</v>
      </c>
      <c r="E421" s="146"/>
      <c r="F421" s="17" t="s">
        <v>590</v>
      </c>
      <c r="G421" s="17" t="s">
        <v>228</v>
      </c>
      <c r="H421" s="146" t="s">
        <v>207</v>
      </c>
      <c r="I421" s="146">
        <v>1</v>
      </c>
      <c r="J421" s="146">
        <v>7.3</v>
      </c>
      <c r="K421" s="146">
        <v>1.3</v>
      </c>
      <c r="L421" s="146">
        <v>5</v>
      </c>
      <c r="M421" s="146">
        <v>1</v>
      </c>
      <c r="N421" s="148" t="s">
        <v>208</v>
      </c>
      <c r="O421" s="148">
        <f t="shared" si="52"/>
        <v>36.5</v>
      </c>
      <c r="P421" s="125">
        <v>44909</v>
      </c>
      <c r="Q421" s="149"/>
      <c r="R421" s="150">
        <v>1</v>
      </c>
      <c r="S421" s="150">
        <v>1</v>
      </c>
      <c r="T421" s="150">
        <v>0</v>
      </c>
      <c r="U421" s="151">
        <f>IF(ISBLANK(Table1[[#This Row],[OHC Date]]),$B$7-Table1[[#This Row],[HOC Date]]+1,Table1[[#This Row],[OHC Date]]-Table1[[#This Row],[HOC Date]]+1)/7</f>
        <v>1.7142857142857142</v>
      </c>
      <c r="V421" s="152">
        <v>12.01</v>
      </c>
      <c r="W421" s="152">
        <v>0.49</v>
      </c>
      <c r="X421" s="152">
        <f>ROUND(0.7*Table1[[#This Row],[E&amp;D Rate per unit]]*R421*Table1[[#This Row],[Quantity]],2)</f>
        <v>306.86</v>
      </c>
      <c r="Y421" s="152">
        <f t="shared" si="53"/>
        <v>30.66</v>
      </c>
      <c r="Z421" s="152">
        <f>ROUND(0.3*T421*Table1[[#This Row],[E&amp;D Rate per unit]]*Table1[[#This Row],[Quantity]],2)</f>
        <v>0</v>
      </c>
      <c r="AA421" s="112">
        <v>1</v>
      </c>
      <c r="AB421" s="21">
        <f>ROUND(X421+Z421+Y421,2)*Table1[[#This Row],[Until WA Approved Only Approved this %]]</f>
        <v>337.52</v>
      </c>
      <c r="AC421" s="153"/>
      <c r="AD421" s="153">
        <f>Table1[[#This Row],[Total Amount]]-Table1[[#This Row],[Previous Amount]]</f>
        <v>337.52</v>
      </c>
      <c r="AE421" s="154"/>
      <c r="AG421" s="174">
        <v>337.52</v>
      </c>
      <c r="AH421" s="178">
        <f>AG421-Table1[[#This Row],[Total Amount]]</f>
        <v>0</v>
      </c>
      <c r="AI421" s="171">
        <f t="shared" si="51"/>
        <v>0</v>
      </c>
    </row>
    <row r="422" spans="1:35" ht="30" customHeight="1" x14ac:dyDescent="0.3">
      <c r="A422" s="91" t="s">
        <v>91</v>
      </c>
      <c r="B422" s="91" t="s">
        <v>99</v>
      </c>
      <c r="C422" s="146">
        <v>133</v>
      </c>
      <c r="D422" s="146">
        <v>79138</v>
      </c>
      <c r="E422" s="146"/>
      <c r="F422" s="17" t="s">
        <v>590</v>
      </c>
      <c r="G422" s="17" t="s">
        <v>228</v>
      </c>
      <c r="H422" s="146" t="s">
        <v>178</v>
      </c>
      <c r="I422" s="146">
        <v>1</v>
      </c>
      <c r="J422" s="146">
        <v>7.3</v>
      </c>
      <c r="K422" s="146">
        <v>1.3</v>
      </c>
      <c r="L422" s="146">
        <v>1</v>
      </c>
      <c r="M422" s="146">
        <v>1</v>
      </c>
      <c r="N422" s="148" t="s">
        <v>162</v>
      </c>
      <c r="O422" s="148">
        <f t="shared" si="52"/>
        <v>9.49</v>
      </c>
      <c r="P422" s="125">
        <v>44909</v>
      </c>
      <c r="Q422" s="149"/>
      <c r="R422" s="150">
        <v>1</v>
      </c>
      <c r="S422" s="150">
        <v>1</v>
      </c>
      <c r="T422" s="150">
        <v>0</v>
      </c>
      <c r="U422" s="151">
        <f>IF(ISBLANK(Table1[[#This Row],[OHC Date]]),$B$7-Table1[[#This Row],[HOC Date]]+1,Table1[[#This Row],[OHC Date]]-Table1[[#This Row],[HOC Date]]+1)/7</f>
        <v>1.7142857142857142</v>
      </c>
      <c r="V422" s="152">
        <v>6.63</v>
      </c>
      <c r="W422" s="152">
        <v>0.7</v>
      </c>
      <c r="X422" s="152">
        <f>ROUND(0.7*Table1[[#This Row],[E&amp;D Rate per unit]]*R422*Table1[[#This Row],[Quantity]],2)</f>
        <v>44.04</v>
      </c>
      <c r="Y422" s="152">
        <f t="shared" si="53"/>
        <v>11.39</v>
      </c>
      <c r="Z422" s="152">
        <f>ROUND(0.3*T422*Table1[[#This Row],[E&amp;D Rate per unit]]*Table1[[#This Row],[Quantity]],2)</f>
        <v>0</v>
      </c>
      <c r="AA422" s="112">
        <v>1</v>
      </c>
      <c r="AB422" s="21">
        <f>ROUND(X422+Z422+Y422,2)*Table1[[#This Row],[Until WA Approved Only Approved this %]]</f>
        <v>55.43</v>
      </c>
      <c r="AC422" s="153"/>
      <c r="AD422" s="153">
        <f>Table1[[#This Row],[Total Amount]]-Table1[[#This Row],[Previous Amount]]</f>
        <v>55.43</v>
      </c>
      <c r="AE422" s="154"/>
      <c r="AG422" s="174">
        <v>55.43</v>
      </c>
      <c r="AH422" s="178">
        <f>AG422-Table1[[#This Row],[Total Amount]]</f>
        <v>0</v>
      </c>
      <c r="AI422" s="171">
        <f t="shared" si="51"/>
        <v>0</v>
      </c>
    </row>
    <row r="423" spans="1:35" ht="30" customHeight="1" x14ac:dyDescent="0.3">
      <c r="A423" s="91" t="s">
        <v>91</v>
      </c>
      <c r="B423" s="91" t="s">
        <v>99</v>
      </c>
      <c r="C423" s="16" t="s">
        <v>591</v>
      </c>
      <c r="D423" s="146">
        <v>79138</v>
      </c>
      <c r="E423" s="146"/>
      <c r="F423" s="17" t="s">
        <v>590</v>
      </c>
      <c r="G423" s="17" t="s">
        <v>228</v>
      </c>
      <c r="H423" s="109" t="s">
        <v>128</v>
      </c>
      <c r="I423" s="146">
        <v>1</v>
      </c>
      <c r="J423" s="146">
        <v>7.3</v>
      </c>
      <c r="K423" s="146">
        <v>0.5</v>
      </c>
      <c r="L423" s="146">
        <v>1</v>
      </c>
      <c r="M423" s="146">
        <v>1</v>
      </c>
      <c r="N423" s="148" t="s">
        <v>162</v>
      </c>
      <c r="O423" s="148">
        <f t="shared" ref="O423:O458" si="54">ROUND(IF(N423="m3",I423*J423*K423*L423,IF(N423="m2-LxH",I423*J423*L423,IF(N423="m2-LxW",I423*J423*K423,IF(N423="rm",I423*L423,IF(N423="lm",I423*J423,IF(N423="unit",I423,"NA")))))),2)</f>
        <v>3.65</v>
      </c>
      <c r="P423" s="125">
        <v>44909</v>
      </c>
      <c r="Q423" s="149"/>
      <c r="R423" s="150">
        <v>1</v>
      </c>
      <c r="S423" s="150">
        <v>1</v>
      </c>
      <c r="T423" s="150">
        <v>0</v>
      </c>
      <c r="U423" s="151">
        <f>IF(ISBLANK(Table1[[#This Row],[OHC Date]]),$B$7-Table1[[#This Row],[HOC Date]]+1,Table1[[#This Row],[OHC Date]]-Table1[[#This Row],[HOC Date]]+1)/7</f>
        <v>1.7142857142857142</v>
      </c>
      <c r="V423" s="152">
        <v>32.75</v>
      </c>
      <c r="W423" s="152">
        <v>1.05</v>
      </c>
      <c r="X423" s="152">
        <f>ROUND(0.7*Table1[[#This Row],[E&amp;D Rate per unit]]*R423*Table1[[#This Row],[Quantity]],2)</f>
        <v>83.68</v>
      </c>
      <c r="Y423" s="152">
        <f t="shared" ref="Y423:Y458" si="55">ROUND(O423*U423*W423*S423,2)</f>
        <v>6.57</v>
      </c>
      <c r="Z423" s="152">
        <f>ROUND(0.3*T423*Table1[[#This Row],[E&amp;D Rate per unit]]*Table1[[#This Row],[Quantity]],2)</f>
        <v>0</v>
      </c>
      <c r="AA423" s="112">
        <v>1</v>
      </c>
      <c r="AB423" s="21">
        <f>ROUND(X423+Z423+Y423,2)*Table1[[#This Row],[Until WA Approved Only Approved this %]]</f>
        <v>90.25</v>
      </c>
      <c r="AC423" s="153"/>
      <c r="AD423" s="153">
        <f>Table1[[#This Row],[Total Amount]]-Table1[[#This Row],[Previous Amount]]</f>
        <v>90.25</v>
      </c>
      <c r="AE423" s="154"/>
      <c r="AG423" s="174">
        <v>90.25</v>
      </c>
      <c r="AH423" s="178">
        <f>AG423-Table1[[#This Row],[Total Amount]]</f>
        <v>0</v>
      </c>
      <c r="AI423" s="171">
        <f t="shared" si="51"/>
        <v>0</v>
      </c>
    </row>
    <row r="424" spans="1:35" ht="30" customHeight="1" x14ac:dyDescent="0.3">
      <c r="A424" s="91" t="s">
        <v>91</v>
      </c>
      <c r="B424" s="91" t="s">
        <v>99</v>
      </c>
      <c r="C424" s="16" t="s">
        <v>592</v>
      </c>
      <c r="D424" s="146">
        <v>79139</v>
      </c>
      <c r="E424" s="146">
        <v>80587</v>
      </c>
      <c r="F424" s="17" t="s">
        <v>577</v>
      </c>
      <c r="G424" s="17" t="s">
        <v>228</v>
      </c>
      <c r="H424" s="146" t="s">
        <v>222</v>
      </c>
      <c r="I424" s="146">
        <v>1</v>
      </c>
      <c r="J424" s="146">
        <v>2.5</v>
      </c>
      <c r="K424" s="146">
        <v>2.5</v>
      </c>
      <c r="L424" s="146">
        <v>3</v>
      </c>
      <c r="M424" s="146">
        <v>1</v>
      </c>
      <c r="N424" s="111" t="s">
        <v>223</v>
      </c>
      <c r="O424" s="111">
        <f t="shared" si="54"/>
        <v>3</v>
      </c>
      <c r="P424" s="125">
        <v>44909</v>
      </c>
      <c r="Q424" s="149">
        <v>44917</v>
      </c>
      <c r="R424" s="150">
        <v>1</v>
      </c>
      <c r="S424" s="150">
        <v>1</v>
      </c>
      <c r="T424" s="150">
        <v>1</v>
      </c>
      <c r="U424" s="151">
        <f>IF(ISBLANK(Table1[[#This Row],[OHC Date]]),$B$7-Table1[[#This Row],[HOC Date]]+1,Table1[[#This Row],[OHC Date]]-Table1[[#This Row],[HOC Date]]+1)/7</f>
        <v>1.2857142857142858</v>
      </c>
      <c r="V424" s="114">
        <v>63.34</v>
      </c>
      <c r="W424" s="114">
        <v>7.28</v>
      </c>
      <c r="X424" s="152">
        <f>ROUND(0.7*Table1[[#This Row],[E&amp;D Rate per unit]]*R424*Table1[[#This Row],[Quantity]],2)</f>
        <v>133.01</v>
      </c>
      <c r="Y424" s="152">
        <f t="shared" si="55"/>
        <v>28.08</v>
      </c>
      <c r="Z424" s="152">
        <f>ROUND(0.3*T424*Table1[[#This Row],[E&amp;D Rate per unit]]*Table1[[#This Row],[Quantity]],2)</f>
        <v>57.01</v>
      </c>
      <c r="AA424" s="112">
        <v>1</v>
      </c>
      <c r="AB424" s="21">
        <f>ROUND(X424+Z424+Y424,2)*Table1[[#This Row],[Until WA Approved Only Approved this %]]</f>
        <v>218.1</v>
      </c>
      <c r="AC424" s="153"/>
      <c r="AD424" s="153">
        <f>Table1[[#This Row],[Total Amount]]-Table1[[#This Row],[Previous Amount]]</f>
        <v>218.1</v>
      </c>
      <c r="AE424" s="154"/>
      <c r="AG424" s="174">
        <v>218.1</v>
      </c>
      <c r="AH424" s="178">
        <f>AG424-Table1[[#This Row],[Total Amount]]</f>
        <v>0</v>
      </c>
      <c r="AI424" s="171">
        <f t="shared" si="51"/>
        <v>0</v>
      </c>
    </row>
    <row r="425" spans="1:35" ht="30" customHeight="1" x14ac:dyDescent="0.3">
      <c r="A425" s="91" t="s">
        <v>91</v>
      </c>
      <c r="B425" s="91" t="s">
        <v>99</v>
      </c>
      <c r="C425" s="146">
        <v>134</v>
      </c>
      <c r="D425" s="146">
        <v>79140</v>
      </c>
      <c r="E425" s="146"/>
      <c r="F425" s="17" t="s">
        <v>242</v>
      </c>
      <c r="G425" s="17" t="s">
        <v>202</v>
      </c>
      <c r="H425" s="146" t="s">
        <v>207</v>
      </c>
      <c r="I425" s="146">
        <v>1</v>
      </c>
      <c r="J425" s="146">
        <v>3.8</v>
      </c>
      <c r="K425" s="146">
        <v>1.3</v>
      </c>
      <c r="L425" s="146">
        <v>4</v>
      </c>
      <c r="M425" s="146">
        <v>1</v>
      </c>
      <c r="N425" s="148" t="s">
        <v>208</v>
      </c>
      <c r="O425" s="148">
        <f t="shared" si="54"/>
        <v>15.2</v>
      </c>
      <c r="P425" s="125">
        <v>44909</v>
      </c>
      <c r="Q425" s="149"/>
      <c r="R425" s="150">
        <v>1</v>
      </c>
      <c r="S425" s="150">
        <v>1</v>
      </c>
      <c r="T425" s="150">
        <v>0</v>
      </c>
      <c r="U425" s="151">
        <f>IF(ISBLANK(Table1[[#This Row],[OHC Date]]),$B$7-Table1[[#This Row],[HOC Date]]+1,Table1[[#This Row],[OHC Date]]-Table1[[#This Row],[HOC Date]]+1)/7</f>
        <v>1.7142857142857142</v>
      </c>
      <c r="V425" s="152">
        <v>12.01</v>
      </c>
      <c r="W425" s="152">
        <v>0.49</v>
      </c>
      <c r="X425" s="152">
        <f>ROUND(0.7*Table1[[#This Row],[E&amp;D Rate per unit]]*R425*Table1[[#This Row],[Quantity]],2)</f>
        <v>127.79</v>
      </c>
      <c r="Y425" s="152">
        <f t="shared" si="55"/>
        <v>12.77</v>
      </c>
      <c r="Z425" s="152">
        <f>ROUND(0.3*T425*Table1[[#This Row],[E&amp;D Rate per unit]]*Table1[[#This Row],[Quantity]],2)</f>
        <v>0</v>
      </c>
      <c r="AA425" s="112">
        <v>1</v>
      </c>
      <c r="AB425" s="21">
        <f>ROUND(X425+Z425+Y425,2)*Table1[[#This Row],[Until WA Approved Only Approved this %]]</f>
        <v>140.56</v>
      </c>
      <c r="AC425" s="153"/>
      <c r="AD425" s="153">
        <f>Table1[[#This Row],[Total Amount]]-Table1[[#This Row],[Previous Amount]]</f>
        <v>140.56</v>
      </c>
      <c r="AE425" s="154"/>
      <c r="AG425" s="174">
        <v>140.56</v>
      </c>
      <c r="AH425" s="178">
        <f>AG425-Table1[[#This Row],[Total Amount]]</f>
        <v>0</v>
      </c>
      <c r="AI425" s="171">
        <f t="shared" si="51"/>
        <v>0</v>
      </c>
    </row>
    <row r="426" spans="1:35" ht="30" customHeight="1" x14ac:dyDescent="0.3">
      <c r="A426" s="91" t="s">
        <v>91</v>
      </c>
      <c r="B426" s="91" t="s">
        <v>99</v>
      </c>
      <c r="C426" s="146">
        <v>134</v>
      </c>
      <c r="D426" s="146">
        <v>79140</v>
      </c>
      <c r="E426" s="146"/>
      <c r="F426" s="17" t="s">
        <v>242</v>
      </c>
      <c r="G426" s="17" t="s">
        <v>202</v>
      </c>
      <c r="H426" s="146" t="s">
        <v>178</v>
      </c>
      <c r="I426" s="146">
        <v>1</v>
      </c>
      <c r="J426" s="146">
        <v>3.8</v>
      </c>
      <c r="K426" s="146">
        <v>1.3</v>
      </c>
      <c r="L426" s="146">
        <v>1</v>
      </c>
      <c r="M426" s="146">
        <v>1</v>
      </c>
      <c r="N426" s="148" t="s">
        <v>162</v>
      </c>
      <c r="O426" s="148">
        <f t="shared" si="54"/>
        <v>4.9400000000000004</v>
      </c>
      <c r="P426" s="125">
        <v>44909</v>
      </c>
      <c r="Q426" s="149"/>
      <c r="R426" s="150">
        <v>1</v>
      </c>
      <c r="S426" s="150">
        <v>1</v>
      </c>
      <c r="T426" s="150">
        <v>0</v>
      </c>
      <c r="U426" s="151">
        <f>IF(ISBLANK(Table1[[#This Row],[OHC Date]]),$B$7-Table1[[#This Row],[HOC Date]]+1,Table1[[#This Row],[OHC Date]]-Table1[[#This Row],[HOC Date]]+1)/7</f>
        <v>1.7142857142857142</v>
      </c>
      <c r="V426" s="152">
        <v>6.63</v>
      </c>
      <c r="W426" s="152">
        <v>0.7</v>
      </c>
      <c r="X426" s="152">
        <f>ROUND(0.7*Table1[[#This Row],[E&amp;D Rate per unit]]*R426*Table1[[#This Row],[Quantity]],2)</f>
        <v>22.93</v>
      </c>
      <c r="Y426" s="152">
        <f t="shared" si="55"/>
        <v>5.93</v>
      </c>
      <c r="Z426" s="152">
        <f>ROUND(0.3*T426*Table1[[#This Row],[E&amp;D Rate per unit]]*Table1[[#This Row],[Quantity]],2)</f>
        <v>0</v>
      </c>
      <c r="AA426" s="112">
        <v>1</v>
      </c>
      <c r="AB426" s="21">
        <f>ROUND(X426+Z426+Y426,2)*Table1[[#This Row],[Until WA Approved Only Approved this %]]</f>
        <v>28.86</v>
      </c>
      <c r="AC426" s="153"/>
      <c r="AD426" s="153">
        <f>Table1[[#This Row],[Total Amount]]-Table1[[#This Row],[Previous Amount]]</f>
        <v>28.86</v>
      </c>
      <c r="AE426" s="154"/>
      <c r="AG426" s="174">
        <v>28.86</v>
      </c>
      <c r="AH426" s="178">
        <f>AG426-Table1[[#This Row],[Total Amount]]</f>
        <v>0</v>
      </c>
      <c r="AI426" s="171">
        <f t="shared" si="51"/>
        <v>0</v>
      </c>
    </row>
    <row r="427" spans="1:35" ht="30" customHeight="1" x14ac:dyDescent="0.3">
      <c r="A427" s="91" t="s">
        <v>91</v>
      </c>
      <c r="B427" s="91" t="s">
        <v>99</v>
      </c>
      <c r="C427" s="146">
        <v>135</v>
      </c>
      <c r="D427" s="146">
        <v>79141</v>
      </c>
      <c r="E427" s="146"/>
      <c r="F427" s="17" t="s">
        <v>242</v>
      </c>
      <c r="G427" s="17" t="s">
        <v>202</v>
      </c>
      <c r="H427" s="146" t="s">
        <v>207</v>
      </c>
      <c r="I427" s="146">
        <v>1</v>
      </c>
      <c r="J427" s="146">
        <v>11.8</v>
      </c>
      <c r="K427" s="146">
        <v>1.3</v>
      </c>
      <c r="L427" s="146">
        <v>4</v>
      </c>
      <c r="M427" s="146">
        <v>1</v>
      </c>
      <c r="N427" s="148" t="s">
        <v>208</v>
      </c>
      <c r="O427" s="148">
        <f t="shared" si="54"/>
        <v>47.2</v>
      </c>
      <c r="P427" s="125">
        <v>44909</v>
      </c>
      <c r="Q427" s="149"/>
      <c r="R427" s="150">
        <v>1</v>
      </c>
      <c r="S427" s="150">
        <v>1</v>
      </c>
      <c r="T427" s="150">
        <v>0</v>
      </c>
      <c r="U427" s="151">
        <f>IF(ISBLANK(Table1[[#This Row],[OHC Date]]),$B$7-Table1[[#This Row],[HOC Date]]+1,Table1[[#This Row],[OHC Date]]-Table1[[#This Row],[HOC Date]]+1)/7</f>
        <v>1.7142857142857142</v>
      </c>
      <c r="V427" s="152">
        <v>12.01</v>
      </c>
      <c r="W427" s="152">
        <v>0.49</v>
      </c>
      <c r="X427" s="152">
        <f>ROUND(0.7*Table1[[#This Row],[E&amp;D Rate per unit]]*R427*Table1[[#This Row],[Quantity]],2)</f>
        <v>396.81</v>
      </c>
      <c r="Y427" s="152">
        <f t="shared" si="55"/>
        <v>39.65</v>
      </c>
      <c r="Z427" s="152">
        <f>ROUND(0.3*T427*Table1[[#This Row],[E&amp;D Rate per unit]]*Table1[[#This Row],[Quantity]],2)</f>
        <v>0</v>
      </c>
      <c r="AA427" s="112">
        <v>1</v>
      </c>
      <c r="AB427" s="21">
        <f>ROUND(X427+Z427+Y427,2)*Table1[[#This Row],[Until WA Approved Only Approved this %]]</f>
        <v>436.46</v>
      </c>
      <c r="AC427" s="153"/>
      <c r="AD427" s="153">
        <f>Table1[[#This Row],[Total Amount]]-Table1[[#This Row],[Previous Amount]]</f>
        <v>436.46</v>
      </c>
      <c r="AE427" s="154"/>
      <c r="AG427" s="174">
        <v>436.46</v>
      </c>
      <c r="AH427" s="178">
        <f>AG427-Table1[[#This Row],[Total Amount]]</f>
        <v>0</v>
      </c>
      <c r="AI427" s="171">
        <f t="shared" si="51"/>
        <v>0</v>
      </c>
    </row>
    <row r="428" spans="1:35" ht="30" customHeight="1" x14ac:dyDescent="0.3">
      <c r="A428" s="91" t="s">
        <v>91</v>
      </c>
      <c r="B428" s="91" t="s">
        <v>99</v>
      </c>
      <c r="C428" s="146">
        <v>135</v>
      </c>
      <c r="D428" s="146">
        <v>79141</v>
      </c>
      <c r="E428" s="146"/>
      <c r="F428" s="17" t="s">
        <v>242</v>
      </c>
      <c r="G428" s="17" t="s">
        <v>202</v>
      </c>
      <c r="H428" s="146" t="s">
        <v>178</v>
      </c>
      <c r="I428" s="146">
        <v>1</v>
      </c>
      <c r="J428" s="146">
        <v>11.8</v>
      </c>
      <c r="K428" s="146">
        <v>1.3</v>
      </c>
      <c r="L428" s="146">
        <v>1</v>
      </c>
      <c r="M428" s="146">
        <v>1</v>
      </c>
      <c r="N428" s="148" t="s">
        <v>162</v>
      </c>
      <c r="O428" s="148">
        <f t="shared" si="54"/>
        <v>15.34</v>
      </c>
      <c r="P428" s="125">
        <v>44909</v>
      </c>
      <c r="Q428" s="149"/>
      <c r="R428" s="150">
        <v>1</v>
      </c>
      <c r="S428" s="150">
        <v>1</v>
      </c>
      <c r="T428" s="150">
        <v>0</v>
      </c>
      <c r="U428" s="151">
        <f>IF(ISBLANK(Table1[[#This Row],[OHC Date]]),$B$7-Table1[[#This Row],[HOC Date]]+1,Table1[[#This Row],[OHC Date]]-Table1[[#This Row],[HOC Date]]+1)/7</f>
        <v>1.7142857142857142</v>
      </c>
      <c r="V428" s="152">
        <v>6.63</v>
      </c>
      <c r="W428" s="152">
        <v>0.7</v>
      </c>
      <c r="X428" s="152">
        <f>ROUND(0.7*Table1[[#This Row],[E&amp;D Rate per unit]]*R428*Table1[[#This Row],[Quantity]],2)</f>
        <v>71.19</v>
      </c>
      <c r="Y428" s="152">
        <f t="shared" si="55"/>
        <v>18.41</v>
      </c>
      <c r="Z428" s="152">
        <f>ROUND(0.3*T428*Table1[[#This Row],[E&amp;D Rate per unit]]*Table1[[#This Row],[Quantity]],2)</f>
        <v>0</v>
      </c>
      <c r="AA428" s="112">
        <v>1</v>
      </c>
      <c r="AB428" s="21">
        <f>ROUND(X428+Z428+Y428,2)*Table1[[#This Row],[Until WA Approved Only Approved this %]]</f>
        <v>89.6</v>
      </c>
      <c r="AC428" s="153"/>
      <c r="AD428" s="153">
        <f>Table1[[#This Row],[Total Amount]]-Table1[[#This Row],[Previous Amount]]</f>
        <v>89.6</v>
      </c>
      <c r="AE428" s="154"/>
      <c r="AG428" s="174">
        <v>89.6</v>
      </c>
      <c r="AH428" s="178">
        <f>AG428-Table1[[#This Row],[Total Amount]]</f>
        <v>0</v>
      </c>
      <c r="AI428" s="171">
        <f t="shared" si="51"/>
        <v>0</v>
      </c>
    </row>
    <row r="429" spans="1:35" ht="30" customHeight="1" x14ac:dyDescent="0.3">
      <c r="A429" s="155" t="s">
        <v>554</v>
      </c>
      <c r="B429" s="91" t="s">
        <v>99</v>
      </c>
      <c r="C429" s="16" t="s">
        <v>593</v>
      </c>
      <c r="D429" s="146">
        <v>79144</v>
      </c>
      <c r="E429" s="146">
        <v>80589</v>
      </c>
      <c r="F429" s="17" t="s">
        <v>556</v>
      </c>
      <c r="G429" s="17" t="s">
        <v>538</v>
      </c>
      <c r="H429" s="16" t="s">
        <v>594</v>
      </c>
      <c r="I429" s="146">
        <v>1</v>
      </c>
      <c r="J429" s="146">
        <v>4.3</v>
      </c>
      <c r="K429" s="146">
        <v>1</v>
      </c>
      <c r="L429" s="146">
        <v>1</v>
      </c>
      <c r="M429" s="146">
        <v>1</v>
      </c>
      <c r="N429" s="148" t="s">
        <v>56</v>
      </c>
      <c r="O429" s="148">
        <f t="shared" si="54"/>
        <v>1</v>
      </c>
      <c r="P429" s="125">
        <v>44910</v>
      </c>
      <c r="Q429" s="149">
        <v>44917</v>
      </c>
      <c r="R429" s="150">
        <v>1</v>
      </c>
      <c r="S429" s="150">
        <v>1</v>
      </c>
      <c r="T429" s="150">
        <v>1</v>
      </c>
      <c r="U429" s="151">
        <f>IF(ISBLANK(Table1[[#This Row],[OHC Date]]),$B$7-Table1[[#This Row],[HOC Date]]+1,Table1[[#This Row],[OHC Date]]-Table1[[#This Row],[HOC Date]]+1)/7</f>
        <v>1.1428571428571428</v>
      </c>
      <c r="V429" s="152">
        <v>3620.37</v>
      </c>
      <c r="W429" s="152">
        <v>54.93</v>
      </c>
      <c r="X429" s="152">
        <f>ROUND(0.7*Table1[[#This Row],[E&amp;D Rate per unit]]*R429*Table1[[#This Row],[Quantity]],2)</f>
        <v>2534.2600000000002</v>
      </c>
      <c r="Y429" s="152">
        <f t="shared" si="55"/>
        <v>62.78</v>
      </c>
      <c r="Z429" s="152">
        <f>ROUND(0.3*T429*Table1[[#This Row],[E&amp;D Rate per unit]]*Table1[[#This Row],[Quantity]],2)</f>
        <v>1086.1099999999999</v>
      </c>
      <c r="AA429" s="19">
        <v>1</v>
      </c>
      <c r="AB429" s="163">
        <f>ROUND(X429+Z429+Y429,2)*Table1[[#This Row],[Until WA Approved Only Approved this %]]/2.3*1</f>
        <v>1601.3695652173915</v>
      </c>
      <c r="AC429" s="153"/>
      <c r="AD429" s="153">
        <f>Table1[[#This Row],[Total Amount]]-Table1[[#This Row],[Previous Amount]]</f>
        <v>1601.3695652173915</v>
      </c>
      <c r="AE429" s="142" t="s">
        <v>561</v>
      </c>
      <c r="AG429" s="174">
        <v>3683.15</v>
      </c>
      <c r="AH429" s="178">
        <f>AG429-Table1[[#This Row],[Total Amount]]</f>
        <v>2081.7804347826086</v>
      </c>
      <c r="AI429" s="171">
        <f t="shared" si="51"/>
        <v>0.56521739130434778</v>
      </c>
    </row>
    <row r="430" spans="1:35" ht="30" customHeight="1" x14ac:dyDescent="0.3">
      <c r="A430" s="91" t="s">
        <v>91</v>
      </c>
      <c r="B430" s="91" t="s">
        <v>99</v>
      </c>
      <c r="C430" s="16" t="s">
        <v>595</v>
      </c>
      <c r="D430" s="146">
        <v>79147</v>
      </c>
      <c r="E430" s="146"/>
      <c r="F430" s="17" t="s">
        <v>596</v>
      </c>
      <c r="G430" s="17" t="s">
        <v>202</v>
      </c>
      <c r="H430" s="16" t="s">
        <v>178</v>
      </c>
      <c r="I430" s="146">
        <v>1</v>
      </c>
      <c r="J430" s="146">
        <v>4</v>
      </c>
      <c r="K430" s="146">
        <v>1</v>
      </c>
      <c r="L430" s="146">
        <v>1</v>
      </c>
      <c r="M430" s="146">
        <v>1</v>
      </c>
      <c r="N430" s="148" t="s">
        <v>162</v>
      </c>
      <c r="O430" s="148">
        <f t="shared" si="54"/>
        <v>4</v>
      </c>
      <c r="P430" s="125">
        <v>44910</v>
      </c>
      <c r="Q430" s="149"/>
      <c r="R430" s="150">
        <v>1</v>
      </c>
      <c r="S430" s="150">
        <v>1</v>
      </c>
      <c r="T430" s="150">
        <v>0</v>
      </c>
      <c r="U430" s="151">
        <f>IF(ISBLANK(Table1[[#This Row],[OHC Date]]),$B$7-Table1[[#This Row],[HOC Date]]+1,Table1[[#This Row],[OHC Date]]-Table1[[#This Row],[HOC Date]]+1)/7</f>
        <v>1.5714285714285714</v>
      </c>
      <c r="V430" s="152">
        <v>6.63</v>
      </c>
      <c r="W430" s="152">
        <v>0.7</v>
      </c>
      <c r="X430" s="152">
        <f>ROUND(0.7*Table1[[#This Row],[E&amp;D Rate per unit]]*R430*Table1[[#This Row],[Quantity]],2)</f>
        <v>18.559999999999999</v>
      </c>
      <c r="Y430" s="152">
        <f t="shared" si="55"/>
        <v>4.4000000000000004</v>
      </c>
      <c r="Z430" s="152">
        <f>ROUND(0.3*T430*Table1[[#This Row],[E&amp;D Rate per unit]]*Table1[[#This Row],[Quantity]],2)</f>
        <v>0</v>
      </c>
      <c r="AA430" s="112">
        <v>1</v>
      </c>
      <c r="AB430" s="21">
        <f>ROUND(X430+Z430+Y430,2)*Table1[[#This Row],[Until WA Approved Only Approved this %]]</f>
        <v>22.96</v>
      </c>
      <c r="AC430" s="153"/>
      <c r="AD430" s="153">
        <f>Table1[[#This Row],[Total Amount]]-Table1[[#This Row],[Previous Amount]]</f>
        <v>22.96</v>
      </c>
      <c r="AE430" s="154"/>
      <c r="AG430" s="174">
        <v>22.96</v>
      </c>
      <c r="AH430" s="178">
        <f>AG430-Table1[[#This Row],[Total Amount]]</f>
        <v>0</v>
      </c>
      <c r="AI430" s="171">
        <f t="shared" si="51"/>
        <v>0</v>
      </c>
    </row>
    <row r="431" spans="1:35" ht="30" customHeight="1" x14ac:dyDescent="0.3">
      <c r="A431" s="91" t="s">
        <v>91</v>
      </c>
      <c r="B431" s="91" t="s">
        <v>99</v>
      </c>
      <c r="C431" s="16" t="s">
        <v>597</v>
      </c>
      <c r="D431" s="146">
        <v>79148</v>
      </c>
      <c r="E431" s="146"/>
      <c r="F431" s="17" t="s">
        <v>596</v>
      </c>
      <c r="G431" s="17" t="s">
        <v>202</v>
      </c>
      <c r="H431" s="16" t="s">
        <v>178</v>
      </c>
      <c r="I431" s="146">
        <v>1</v>
      </c>
      <c r="J431" s="146">
        <v>4</v>
      </c>
      <c r="K431" s="146">
        <v>1</v>
      </c>
      <c r="L431" s="146">
        <v>1</v>
      </c>
      <c r="M431" s="146">
        <v>1</v>
      </c>
      <c r="N431" s="148" t="s">
        <v>162</v>
      </c>
      <c r="O431" s="148">
        <f t="shared" si="54"/>
        <v>4</v>
      </c>
      <c r="P431" s="125">
        <v>44910</v>
      </c>
      <c r="Q431" s="149"/>
      <c r="R431" s="150">
        <v>1</v>
      </c>
      <c r="S431" s="150">
        <v>1</v>
      </c>
      <c r="T431" s="150">
        <v>0</v>
      </c>
      <c r="U431" s="151">
        <f>IF(ISBLANK(Table1[[#This Row],[OHC Date]]),$B$7-Table1[[#This Row],[HOC Date]]+1,Table1[[#This Row],[OHC Date]]-Table1[[#This Row],[HOC Date]]+1)/7</f>
        <v>1.5714285714285714</v>
      </c>
      <c r="V431" s="152">
        <v>6.63</v>
      </c>
      <c r="W431" s="152">
        <v>0.7</v>
      </c>
      <c r="X431" s="152">
        <f>ROUND(0.7*Table1[[#This Row],[E&amp;D Rate per unit]]*R431*Table1[[#This Row],[Quantity]],2)</f>
        <v>18.559999999999999</v>
      </c>
      <c r="Y431" s="152">
        <f t="shared" si="55"/>
        <v>4.4000000000000004</v>
      </c>
      <c r="Z431" s="152">
        <f>ROUND(0.3*T431*Table1[[#This Row],[E&amp;D Rate per unit]]*Table1[[#This Row],[Quantity]],2)</f>
        <v>0</v>
      </c>
      <c r="AA431" s="112">
        <v>1</v>
      </c>
      <c r="AB431" s="21">
        <f>ROUND(X431+Z431+Y431,2)*Table1[[#This Row],[Until WA Approved Only Approved this %]]</f>
        <v>22.96</v>
      </c>
      <c r="AC431" s="153"/>
      <c r="AD431" s="153">
        <f>Table1[[#This Row],[Total Amount]]-Table1[[#This Row],[Previous Amount]]</f>
        <v>22.96</v>
      </c>
      <c r="AE431" s="154"/>
      <c r="AG431" s="174">
        <v>22.96</v>
      </c>
      <c r="AH431" s="178">
        <f>AG431-Table1[[#This Row],[Total Amount]]</f>
        <v>0</v>
      </c>
      <c r="AI431" s="171">
        <f t="shared" si="51"/>
        <v>0</v>
      </c>
    </row>
    <row r="432" spans="1:35" ht="30" customHeight="1" x14ac:dyDescent="0.3">
      <c r="A432" s="91" t="s">
        <v>91</v>
      </c>
      <c r="B432" s="91" t="s">
        <v>99</v>
      </c>
      <c r="C432" s="16">
        <v>137</v>
      </c>
      <c r="D432" s="146">
        <v>79149</v>
      </c>
      <c r="E432" s="146"/>
      <c r="F432" s="17" t="s">
        <v>598</v>
      </c>
      <c r="G432" s="17" t="s">
        <v>202</v>
      </c>
      <c r="H432" s="146" t="s">
        <v>207</v>
      </c>
      <c r="I432" s="146">
        <v>1</v>
      </c>
      <c r="J432" s="146">
        <v>3.5</v>
      </c>
      <c r="K432" s="146">
        <v>1.3</v>
      </c>
      <c r="L432" s="146">
        <v>1</v>
      </c>
      <c r="M432" s="146">
        <v>1</v>
      </c>
      <c r="N432" s="148" t="s">
        <v>208</v>
      </c>
      <c r="O432" s="148">
        <f t="shared" si="54"/>
        <v>3.5</v>
      </c>
      <c r="P432" s="125">
        <v>44910</v>
      </c>
      <c r="Q432" s="149"/>
      <c r="R432" s="150">
        <v>1</v>
      </c>
      <c r="S432" s="150">
        <v>1</v>
      </c>
      <c r="T432" s="150">
        <v>0</v>
      </c>
      <c r="U432" s="151">
        <f>IF(ISBLANK(Table1[[#This Row],[OHC Date]]),$B$7-Table1[[#This Row],[HOC Date]]+1,Table1[[#This Row],[OHC Date]]-Table1[[#This Row],[HOC Date]]+1)/7</f>
        <v>1.5714285714285714</v>
      </c>
      <c r="V432" s="152">
        <v>12.01</v>
      </c>
      <c r="W432" s="152">
        <v>0.49</v>
      </c>
      <c r="X432" s="152">
        <f>ROUND(0.7*Table1[[#This Row],[E&amp;D Rate per unit]]*R432*Table1[[#This Row],[Quantity]],2)</f>
        <v>29.42</v>
      </c>
      <c r="Y432" s="152">
        <f t="shared" si="55"/>
        <v>2.7</v>
      </c>
      <c r="Z432" s="152">
        <f>ROUND(0.3*T432*Table1[[#This Row],[E&amp;D Rate per unit]]*Table1[[#This Row],[Quantity]],2)</f>
        <v>0</v>
      </c>
      <c r="AA432" s="112">
        <v>1</v>
      </c>
      <c r="AB432" s="21">
        <f>ROUND(X432+Z432+Y432,2)*Table1[[#This Row],[Until WA Approved Only Approved this %]]</f>
        <v>32.119999999999997</v>
      </c>
      <c r="AC432" s="153"/>
      <c r="AD432" s="153">
        <f>Table1[[#This Row],[Total Amount]]-Table1[[#This Row],[Previous Amount]]</f>
        <v>32.119999999999997</v>
      </c>
      <c r="AE432" s="154"/>
      <c r="AG432" s="174">
        <v>32.119999999999997</v>
      </c>
      <c r="AH432" s="178">
        <f>AG432-Table1[[#This Row],[Total Amount]]</f>
        <v>0</v>
      </c>
      <c r="AI432" s="171">
        <f t="shared" si="51"/>
        <v>0</v>
      </c>
    </row>
    <row r="433" spans="1:35" ht="30" customHeight="1" x14ac:dyDescent="0.3">
      <c r="A433" s="91" t="s">
        <v>91</v>
      </c>
      <c r="B433" s="91" t="s">
        <v>99</v>
      </c>
      <c r="C433" s="16">
        <v>138</v>
      </c>
      <c r="D433" s="146">
        <v>79150</v>
      </c>
      <c r="E433" s="146"/>
      <c r="F433" s="17" t="s">
        <v>599</v>
      </c>
      <c r="G433" s="17" t="s">
        <v>202</v>
      </c>
      <c r="H433" s="16" t="s">
        <v>311</v>
      </c>
      <c r="I433" s="146">
        <v>1</v>
      </c>
      <c r="J433" s="146">
        <v>37.5</v>
      </c>
      <c r="K433" s="146"/>
      <c r="L433" s="146">
        <v>1</v>
      </c>
      <c r="M433" s="146"/>
      <c r="N433" s="148" t="s">
        <v>285</v>
      </c>
      <c r="O433" s="148">
        <f t="shared" si="54"/>
        <v>37.5</v>
      </c>
      <c r="P433" s="125">
        <v>44910</v>
      </c>
      <c r="Q433" s="149"/>
      <c r="R433" s="150">
        <v>1</v>
      </c>
      <c r="S433" s="150">
        <v>1</v>
      </c>
      <c r="T433" s="150">
        <v>0</v>
      </c>
      <c r="U433" s="151">
        <f>IF(ISBLANK(Table1[[#This Row],[OHC Date]]),$B$7-Table1[[#This Row],[HOC Date]]+1,Table1[[#This Row],[OHC Date]]-Table1[[#This Row],[HOC Date]]+1)/7</f>
        <v>1.5714285714285714</v>
      </c>
      <c r="V433" s="152">
        <v>15</v>
      </c>
      <c r="W433" s="152">
        <v>0.91</v>
      </c>
      <c r="X433" s="152">
        <f>ROUND(0.7*Table1[[#This Row],[E&amp;D Rate per unit]]*R433*Table1[[#This Row],[Quantity]],2)</f>
        <v>393.75</v>
      </c>
      <c r="Y433" s="152">
        <f t="shared" si="55"/>
        <v>53.63</v>
      </c>
      <c r="Z433" s="152">
        <f>ROUND(0.3*T433*Table1[[#This Row],[E&amp;D Rate per unit]]*Table1[[#This Row],[Quantity]],2)</f>
        <v>0</v>
      </c>
      <c r="AA433" s="112">
        <v>1</v>
      </c>
      <c r="AB433" s="21">
        <f>ROUND(X433+Z433+Y433,2)*Table1[[#This Row],[Until WA Approved Only Approved this %]]</f>
        <v>447.38</v>
      </c>
      <c r="AC433" s="153"/>
      <c r="AD433" s="153">
        <f>Table1[[#This Row],[Total Amount]]-Table1[[#This Row],[Previous Amount]]</f>
        <v>447.38</v>
      </c>
      <c r="AE433" s="154"/>
      <c r="AG433" s="174">
        <v>447.38</v>
      </c>
      <c r="AH433" s="178">
        <f>AG433-Table1[[#This Row],[Total Amount]]</f>
        <v>0</v>
      </c>
      <c r="AI433" s="171">
        <f t="shared" si="51"/>
        <v>0</v>
      </c>
    </row>
    <row r="434" spans="1:35" ht="30" customHeight="1" x14ac:dyDescent="0.3">
      <c r="A434" s="91" t="s">
        <v>91</v>
      </c>
      <c r="B434" s="91" t="s">
        <v>99</v>
      </c>
      <c r="C434" s="16">
        <v>136</v>
      </c>
      <c r="D434" s="146">
        <v>79152</v>
      </c>
      <c r="E434" s="146"/>
      <c r="F434" s="17" t="s">
        <v>584</v>
      </c>
      <c r="G434" s="17" t="s">
        <v>225</v>
      </c>
      <c r="H434" s="109" t="s">
        <v>120</v>
      </c>
      <c r="I434" s="146">
        <v>1</v>
      </c>
      <c r="J434" s="146">
        <v>10.8</v>
      </c>
      <c r="K434" s="146">
        <v>2.5</v>
      </c>
      <c r="L434" s="146">
        <v>2.5</v>
      </c>
      <c r="M434" s="146">
        <v>1</v>
      </c>
      <c r="N434" s="92" t="s">
        <v>208</v>
      </c>
      <c r="O434" s="92">
        <f t="shared" si="54"/>
        <v>27</v>
      </c>
      <c r="P434" s="125">
        <v>44909</v>
      </c>
      <c r="Q434" s="149"/>
      <c r="R434" s="150">
        <v>1</v>
      </c>
      <c r="S434" s="150">
        <v>1</v>
      </c>
      <c r="T434" s="150">
        <v>0</v>
      </c>
      <c r="U434" s="151">
        <f>IF(ISBLANK(Table1[[#This Row],[OHC Date]]),$B$7-Table1[[#This Row],[HOC Date]]+1,Table1[[#This Row],[OHC Date]]-Table1[[#This Row],[HOC Date]]+1)/7</f>
        <v>1.7142857142857142</v>
      </c>
      <c r="V434" s="114">
        <v>16.760000000000002</v>
      </c>
      <c r="W434" s="114">
        <v>0.77</v>
      </c>
      <c r="X434" s="152">
        <f>ROUND(0.7*Table1[[#This Row],[E&amp;D Rate per unit]]*R434*Table1[[#This Row],[Quantity]],2)</f>
        <v>316.76</v>
      </c>
      <c r="Y434" s="152">
        <f t="shared" si="55"/>
        <v>35.64</v>
      </c>
      <c r="Z434" s="152">
        <f>ROUND(0.3*T434*Table1[[#This Row],[E&amp;D Rate per unit]]*Table1[[#This Row],[Quantity]],2)</f>
        <v>0</v>
      </c>
      <c r="AA434" s="112">
        <v>1</v>
      </c>
      <c r="AB434" s="21">
        <f>ROUND(X434+Z434+Y434,2)*Table1[[#This Row],[Until WA Approved Only Approved this %]]</f>
        <v>352.4</v>
      </c>
      <c r="AC434" s="153"/>
      <c r="AD434" s="153">
        <f>Table1[[#This Row],[Total Amount]]-Table1[[#This Row],[Previous Amount]]</f>
        <v>352.4</v>
      </c>
      <c r="AE434" s="154"/>
      <c r="AG434" s="174">
        <v>352.4</v>
      </c>
      <c r="AH434" s="178">
        <f>AG434-Table1[[#This Row],[Total Amount]]</f>
        <v>0</v>
      </c>
      <c r="AI434" s="171">
        <f t="shared" si="51"/>
        <v>0</v>
      </c>
    </row>
    <row r="435" spans="1:35" ht="30" customHeight="1" x14ac:dyDescent="0.3">
      <c r="A435" s="91" t="s">
        <v>91</v>
      </c>
      <c r="B435" s="91" t="s">
        <v>99</v>
      </c>
      <c r="C435" s="16" t="s">
        <v>628</v>
      </c>
      <c r="D435" s="146">
        <v>79152</v>
      </c>
      <c r="E435" s="146"/>
      <c r="F435" s="17" t="s">
        <v>584</v>
      </c>
      <c r="G435" s="17" t="s">
        <v>225</v>
      </c>
      <c r="H435" s="16" t="s">
        <v>290</v>
      </c>
      <c r="I435" s="146">
        <v>1</v>
      </c>
      <c r="J435" s="146">
        <v>4.3</v>
      </c>
      <c r="K435" s="146">
        <v>1.8</v>
      </c>
      <c r="L435" s="146">
        <v>7</v>
      </c>
      <c r="M435" s="146"/>
      <c r="N435" s="148" t="s">
        <v>226</v>
      </c>
      <c r="O435" s="148">
        <f t="shared" si="54"/>
        <v>54.18</v>
      </c>
      <c r="P435" s="125">
        <v>44909</v>
      </c>
      <c r="Q435" s="149"/>
      <c r="R435" s="150">
        <v>1</v>
      </c>
      <c r="S435" s="150">
        <v>1</v>
      </c>
      <c r="T435" s="150">
        <v>0</v>
      </c>
      <c r="U435" s="151">
        <f>IF(ISBLANK(Table1[[#This Row],[OHC Date]]),$B$7-Table1[[#This Row],[HOC Date]]+1,Table1[[#This Row],[OHC Date]]-Table1[[#This Row],[HOC Date]]+1)/7</f>
        <v>1.7142857142857142</v>
      </c>
      <c r="V435" s="152">
        <v>5.29</v>
      </c>
      <c r="W435" s="152">
        <v>0.35</v>
      </c>
      <c r="X435" s="152">
        <f>ROUND(0.7*Table1[[#This Row],[E&amp;D Rate per unit]]*R435*Table1[[#This Row],[Quantity]],2)</f>
        <v>200.63</v>
      </c>
      <c r="Y435" s="152">
        <f t="shared" si="55"/>
        <v>32.51</v>
      </c>
      <c r="Z435" s="152">
        <f>ROUND(0.3*T435*Table1[[#This Row],[E&amp;D Rate per unit]]*Table1[[#This Row],[Quantity]],2)</f>
        <v>0</v>
      </c>
      <c r="AA435" s="112">
        <v>1</v>
      </c>
      <c r="AB435" s="21">
        <f>ROUND(X435+Z435+Y435,2)*Table1[[#This Row],[Until WA Approved Only Approved this %]]</f>
        <v>233.14</v>
      </c>
      <c r="AC435" s="153"/>
      <c r="AD435" s="153">
        <f>Table1[[#This Row],[Total Amount]]-Table1[[#This Row],[Previous Amount]]</f>
        <v>233.14</v>
      </c>
      <c r="AE435" s="154"/>
      <c r="AG435" s="174">
        <v>233.14</v>
      </c>
      <c r="AH435" s="178">
        <f>AG435-Table1[[#This Row],[Total Amount]]</f>
        <v>0</v>
      </c>
      <c r="AI435" s="171">
        <f t="shared" si="51"/>
        <v>0</v>
      </c>
    </row>
    <row r="436" spans="1:35" ht="30" customHeight="1" x14ac:dyDescent="0.3">
      <c r="A436" s="91" t="s">
        <v>91</v>
      </c>
      <c r="B436" s="91" t="s">
        <v>99</v>
      </c>
      <c r="C436" s="16" t="s">
        <v>629</v>
      </c>
      <c r="D436" s="146">
        <v>79162</v>
      </c>
      <c r="E436" s="146"/>
      <c r="F436" s="17" t="s">
        <v>584</v>
      </c>
      <c r="G436" s="17" t="s">
        <v>630</v>
      </c>
      <c r="H436" s="109" t="s">
        <v>120</v>
      </c>
      <c r="I436" s="146">
        <v>1</v>
      </c>
      <c r="J436" s="146">
        <v>3.8</v>
      </c>
      <c r="K436" s="146">
        <v>2.5</v>
      </c>
      <c r="L436" s="146">
        <v>4</v>
      </c>
      <c r="M436" s="146">
        <v>1</v>
      </c>
      <c r="N436" s="92" t="s">
        <v>208</v>
      </c>
      <c r="O436" s="92">
        <f t="shared" si="54"/>
        <v>15.2</v>
      </c>
      <c r="P436" s="125">
        <v>44909</v>
      </c>
      <c r="Q436" s="149"/>
      <c r="R436" s="150">
        <v>1</v>
      </c>
      <c r="S436" s="150">
        <v>1</v>
      </c>
      <c r="T436" s="150">
        <v>0</v>
      </c>
      <c r="U436" s="151">
        <f>IF(ISBLANK(Table1[[#This Row],[OHC Date]]),$B$7-Table1[[#This Row],[HOC Date]]+1,Table1[[#This Row],[OHC Date]]-Table1[[#This Row],[HOC Date]]+1)/7</f>
        <v>1.7142857142857142</v>
      </c>
      <c r="V436" s="114">
        <v>16.760000000000002</v>
      </c>
      <c r="W436" s="114">
        <v>0.77</v>
      </c>
      <c r="X436" s="152">
        <f>ROUND(0.7*Table1[[#This Row],[E&amp;D Rate per unit]]*R436*Table1[[#This Row],[Quantity]],2)</f>
        <v>178.33</v>
      </c>
      <c r="Y436" s="152">
        <f t="shared" si="55"/>
        <v>20.059999999999999</v>
      </c>
      <c r="Z436" s="152">
        <f>ROUND(0.3*T436*Table1[[#This Row],[E&amp;D Rate per unit]]*Table1[[#This Row],[Quantity]],2)</f>
        <v>0</v>
      </c>
      <c r="AA436" s="112">
        <v>1</v>
      </c>
      <c r="AB436" s="21">
        <f>ROUND(X436+Z436+Y436,2)*Table1[[#This Row],[Until WA Approved Only Approved this %]]</f>
        <v>198.39</v>
      </c>
      <c r="AC436" s="153"/>
      <c r="AD436" s="153">
        <f>Table1[[#This Row],[Total Amount]]-Table1[[#This Row],[Previous Amount]]</f>
        <v>198.39</v>
      </c>
      <c r="AE436" s="154"/>
      <c r="AG436" s="174">
        <v>198.39</v>
      </c>
      <c r="AH436" s="178">
        <f>AG436-Table1[[#This Row],[Total Amount]]</f>
        <v>0</v>
      </c>
      <c r="AI436" s="171">
        <f t="shared" si="51"/>
        <v>0</v>
      </c>
    </row>
    <row r="437" spans="1:35" ht="30" customHeight="1" x14ac:dyDescent="0.3">
      <c r="A437" s="91" t="s">
        <v>91</v>
      </c>
      <c r="B437" s="91" t="s">
        <v>99</v>
      </c>
      <c r="C437" s="16" t="s">
        <v>631</v>
      </c>
      <c r="D437" s="146">
        <v>79162</v>
      </c>
      <c r="E437" s="146"/>
      <c r="F437" s="17" t="s">
        <v>584</v>
      </c>
      <c r="G437" s="17" t="s">
        <v>630</v>
      </c>
      <c r="H437" s="109" t="s">
        <v>120</v>
      </c>
      <c r="I437" s="146">
        <v>1</v>
      </c>
      <c r="J437" s="146">
        <v>3.6</v>
      </c>
      <c r="K437" s="146">
        <v>2.5</v>
      </c>
      <c r="L437" s="146">
        <v>5</v>
      </c>
      <c r="M437" s="146">
        <v>1</v>
      </c>
      <c r="N437" s="92" t="s">
        <v>208</v>
      </c>
      <c r="O437" s="92">
        <f t="shared" si="54"/>
        <v>18</v>
      </c>
      <c r="P437" s="125">
        <v>44909</v>
      </c>
      <c r="Q437" s="149"/>
      <c r="R437" s="150">
        <v>1</v>
      </c>
      <c r="S437" s="150">
        <v>1</v>
      </c>
      <c r="T437" s="150">
        <v>0</v>
      </c>
      <c r="U437" s="151">
        <f>IF(ISBLANK(Table1[[#This Row],[OHC Date]]),$B$7-Table1[[#This Row],[HOC Date]]+1,Table1[[#This Row],[OHC Date]]-Table1[[#This Row],[HOC Date]]+1)/7</f>
        <v>1.7142857142857142</v>
      </c>
      <c r="V437" s="114">
        <v>16.760000000000002</v>
      </c>
      <c r="W437" s="114">
        <v>0.77</v>
      </c>
      <c r="X437" s="152">
        <f>ROUND(0.7*Table1[[#This Row],[E&amp;D Rate per unit]]*R437*Table1[[#This Row],[Quantity]],2)</f>
        <v>211.18</v>
      </c>
      <c r="Y437" s="152">
        <f t="shared" si="55"/>
        <v>23.76</v>
      </c>
      <c r="Z437" s="152">
        <f>ROUND(0.3*T437*Table1[[#This Row],[E&amp;D Rate per unit]]*Table1[[#This Row],[Quantity]],2)</f>
        <v>0</v>
      </c>
      <c r="AA437" s="112">
        <v>1</v>
      </c>
      <c r="AB437" s="21">
        <f>ROUND(X437+Z437+Y437,2)*Table1[[#This Row],[Until WA Approved Only Approved this %]]</f>
        <v>234.94</v>
      </c>
      <c r="AC437" s="153"/>
      <c r="AD437" s="153">
        <f>Table1[[#This Row],[Total Amount]]-Table1[[#This Row],[Previous Amount]]</f>
        <v>234.94</v>
      </c>
      <c r="AE437" s="154"/>
      <c r="AG437" s="174">
        <v>234.94</v>
      </c>
      <c r="AH437" s="178">
        <f>AG437-Table1[[#This Row],[Total Amount]]</f>
        <v>0</v>
      </c>
      <c r="AI437" s="171">
        <f t="shared" si="51"/>
        <v>0</v>
      </c>
    </row>
    <row r="438" spans="1:35" ht="30" customHeight="1" x14ac:dyDescent="0.3">
      <c r="A438" s="91" t="s">
        <v>91</v>
      </c>
      <c r="B438" s="91" t="s">
        <v>99</v>
      </c>
      <c r="C438" s="16" t="s">
        <v>600</v>
      </c>
      <c r="D438" s="146">
        <v>79154</v>
      </c>
      <c r="E438" s="146">
        <v>80588</v>
      </c>
      <c r="F438" s="17" t="s">
        <v>577</v>
      </c>
      <c r="G438" s="17" t="s">
        <v>228</v>
      </c>
      <c r="H438" s="146" t="s">
        <v>207</v>
      </c>
      <c r="I438" s="146">
        <v>1</v>
      </c>
      <c r="J438" s="146">
        <v>4.3</v>
      </c>
      <c r="K438" s="146">
        <v>1</v>
      </c>
      <c r="L438" s="146">
        <v>1.5</v>
      </c>
      <c r="M438" s="146">
        <v>1</v>
      </c>
      <c r="N438" s="148" t="s">
        <v>208</v>
      </c>
      <c r="O438" s="148">
        <f t="shared" si="54"/>
        <v>6.45</v>
      </c>
      <c r="P438" s="125">
        <v>44910</v>
      </c>
      <c r="Q438" s="149">
        <v>44917</v>
      </c>
      <c r="R438" s="150">
        <v>1</v>
      </c>
      <c r="S438" s="150">
        <v>1</v>
      </c>
      <c r="T438" s="150">
        <v>1</v>
      </c>
      <c r="U438" s="151">
        <f>IF(ISBLANK(Table1[[#This Row],[OHC Date]]),$B$7-Table1[[#This Row],[HOC Date]]+1,Table1[[#This Row],[OHC Date]]-Table1[[#This Row],[HOC Date]]+1)/7</f>
        <v>1.1428571428571428</v>
      </c>
      <c r="V438" s="152">
        <v>12.01</v>
      </c>
      <c r="W438" s="152">
        <v>0.49</v>
      </c>
      <c r="X438" s="152">
        <f>ROUND(0.7*Table1[[#This Row],[E&amp;D Rate per unit]]*R438*Table1[[#This Row],[Quantity]],2)</f>
        <v>54.23</v>
      </c>
      <c r="Y438" s="152">
        <f t="shared" si="55"/>
        <v>3.61</v>
      </c>
      <c r="Z438" s="152">
        <f>ROUND(0.3*T438*Table1[[#This Row],[E&amp;D Rate per unit]]*Table1[[#This Row],[Quantity]],2)</f>
        <v>23.24</v>
      </c>
      <c r="AA438" s="112">
        <v>1</v>
      </c>
      <c r="AB438" s="21">
        <f>ROUND(X438+Z438+Y438,2)*Table1[[#This Row],[Until WA Approved Only Approved this %]]</f>
        <v>81.08</v>
      </c>
      <c r="AC438" s="153"/>
      <c r="AD438" s="153">
        <f>Table1[[#This Row],[Total Amount]]-Table1[[#This Row],[Previous Amount]]</f>
        <v>81.08</v>
      </c>
      <c r="AE438" s="154"/>
      <c r="AG438" s="174">
        <v>81.08</v>
      </c>
      <c r="AH438" s="178">
        <f>AG438-Table1[[#This Row],[Total Amount]]</f>
        <v>0</v>
      </c>
      <c r="AI438" s="171">
        <f t="shared" si="51"/>
        <v>0</v>
      </c>
    </row>
    <row r="439" spans="1:35" ht="30" customHeight="1" x14ac:dyDescent="0.3">
      <c r="A439" s="91" t="s">
        <v>91</v>
      </c>
      <c r="B439" s="91" t="s">
        <v>99</v>
      </c>
      <c r="C439" s="16">
        <v>140</v>
      </c>
      <c r="D439" s="146">
        <v>79155</v>
      </c>
      <c r="E439" s="146">
        <v>80581</v>
      </c>
      <c r="F439" s="17" t="s">
        <v>601</v>
      </c>
      <c r="G439" s="17" t="s">
        <v>256</v>
      </c>
      <c r="H439" s="16" t="s">
        <v>222</v>
      </c>
      <c r="I439" s="146">
        <v>1</v>
      </c>
      <c r="J439" s="146">
        <v>1.8</v>
      </c>
      <c r="K439" s="146">
        <v>1.3</v>
      </c>
      <c r="L439" s="146">
        <v>1.5</v>
      </c>
      <c r="M439" s="146">
        <v>1</v>
      </c>
      <c r="N439" s="92" t="s">
        <v>223</v>
      </c>
      <c r="O439" s="148">
        <f t="shared" si="54"/>
        <v>1.5</v>
      </c>
      <c r="P439" s="125">
        <v>44911</v>
      </c>
      <c r="Q439" s="149">
        <v>44914</v>
      </c>
      <c r="R439" s="150">
        <v>1</v>
      </c>
      <c r="S439" s="150">
        <v>1</v>
      </c>
      <c r="T439" s="150">
        <v>1</v>
      </c>
      <c r="U439" s="151">
        <f>IF(ISBLANK(Table1[[#This Row],[OHC Date]]),$B$7-Table1[[#This Row],[HOC Date]]+1,Table1[[#This Row],[OHC Date]]-Table1[[#This Row],[HOC Date]]+1)/7</f>
        <v>0.5714285714285714</v>
      </c>
      <c r="V439" s="152">
        <v>63.34</v>
      </c>
      <c r="W439" s="152">
        <v>7.28</v>
      </c>
      <c r="X439" s="152">
        <f>ROUND(0.7*Table1[[#This Row],[E&amp;D Rate per unit]]*R439*Table1[[#This Row],[Quantity]],2)</f>
        <v>66.510000000000005</v>
      </c>
      <c r="Y439" s="152">
        <f t="shared" si="55"/>
        <v>6.24</v>
      </c>
      <c r="Z439" s="152">
        <f>ROUND(0.3*T439*Table1[[#This Row],[E&amp;D Rate per unit]]*Table1[[#This Row],[Quantity]],2)</f>
        <v>28.5</v>
      </c>
      <c r="AA439" s="112">
        <v>1</v>
      </c>
      <c r="AB439" s="21">
        <f>ROUND(X439+Z439+Y439,2)*Table1[[#This Row],[Until WA Approved Only Approved this %]]</f>
        <v>101.25</v>
      </c>
      <c r="AC439" s="153"/>
      <c r="AD439" s="153">
        <f>Table1[[#This Row],[Total Amount]]-Table1[[#This Row],[Previous Amount]]</f>
        <v>101.25</v>
      </c>
      <c r="AE439" s="154"/>
      <c r="AG439" s="174">
        <v>101.25</v>
      </c>
      <c r="AH439" s="178">
        <f>AG439-Table1[[#This Row],[Total Amount]]</f>
        <v>0</v>
      </c>
      <c r="AI439" s="171">
        <f t="shared" si="51"/>
        <v>0</v>
      </c>
    </row>
    <row r="440" spans="1:35" ht="30" customHeight="1" x14ac:dyDescent="0.3">
      <c r="A440" s="155" t="s">
        <v>554</v>
      </c>
      <c r="B440" s="91" t="s">
        <v>99</v>
      </c>
      <c r="C440" s="16" t="s">
        <v>602</v>
      </c>
      <c r="D440" s="146">
        <v>79156</v>
      </c>
      <c r="E440" s="146">
        <v>80583</v>
      </c>
      <c r="F440" s="17" t="s">
        <v>556</v>
      </c>
      <c r="G440" s="17" t="s">
        <v>450</v>
      </c>
      <c r="H440" s="16" t="s">
        <v>594</v>
      </c>
      <c r="I440" s="146">
        <v>1</v>
      </c>
      <c r="J440" s="146">
        <v>4.3</v>
      </c>
      <c r="K440" s="146">
        <v>1</v>
      </c>
      <c r="L440" s="146">
        <v>1</v>
      </c>
      <c r="M440" s="146">
        <v>1</v>
      </c>
      <c r="N440" s="148" t="s">
        <v>56</v>
      </c>
      <c r="O440" s="148">
        <f t="shared" si="54"/>
        <v>1</v>
      </c>
      <c r="P440" s="125">
        <v>44911</v>
      </c>
      <c r="Q440" s="149">
        <v>44916</v>
      </c>
      <c r="R440" s="150">
        <v>1</v>
      </c>
      <c r="S440" s="150">
        <v>1</v>
      </c>
      <c r="T440" s="150">
        <v>1</v>
      </c>
      <c r="U440" s="151">
        <f>IF(ISBLANK(Table1[[#This Row],[OHC Date]]),$B$7-Table1[[#This Row],[HOC Date]]+1,Table1[[#This Row],[OHC Date]]-Table1[[#This Row],[HOC Date]]+1)/7</f>
        <v>0.8571428571428571</v>
      </c>
      <c r="V440" s="152">
        <v>3620.37</v>
      </c>
      <c r="W440" s="152">
        <v>54.93</v>
      </c>
      <c r="X440" s="152">
        <f>ROUND(0.7*Table1[[#This Row],[E&amp;D Rate per unit]]*R440*Table1[[#This Row],[Quantity]],2)</f>
        <v>2534.2600000000002</v>
      </c>
      <c r="Y440" s="152">
        <f t="shared" si="55"/>
        <v>47.08</v>
      </c>
      <c r="Z440" s="152">
        <f>ROUND(0.3*T440*Table1[[#This Row],[E&amp;D Rate per unit]]*Table1[[#This Row],[Quantity]],2)</f>
        <v>1086.1099999999999</v>
      </c>
      <c r="AA440" s="19">
        <v>1</v>
      </c>
      <c r="AB440" s="163">
        <f>ROUND(X440+Z440+Y440,2)*Table1[[#This Row],[Until WA Approved Only Approved this %]]/2.3*1</f>
        <v>1594.5434782608695</v>
      </c>
      <c r="AC440" s="153"/>
      <c r="AD440" s="153">
        <f>Table1[[#This Row],[Total Amount]]-Table1[[#This Row],[Previous Amount]]</f>
        <v>1594.5434782608695</v>
      </c>
      <c r="AE440" s="142" t="s">
        <v>561</v>
      </c>
      <c r="AG440" s="174">
        <v>3667.45</v>
      </c>
      <c r="AH440" s="178">
        <f>AG440-Table1[[#This Row],[Total Amount]]</f>
        <v>2072.9065217391303</v>
      </c>
      <c r="AI440" s="171">
        <f t="shared" si="51"/>
        <v>0.56521739130434778</v>
      </c>
    </row>
    <row r="441" spans="1:35" ht="30" customHeight="1" x14ac:dyDescent="0.3">
      <c r="A441" s="155" t="s">
        <v>554</v>
      </c>
      <c r="B441" s="91" t="s">
        <v>99</v>
      </c>
      <c r="C441" s="16" t="s">
        <v>603</v>
      </c>
      <c r="D441" s="146">
        <v>79157</v>
      </c>
      <c r="E441" s="146">
        <v>80584</v>
      </c>
      <c r="F441" s="17" t="s">
        <v>556</v>
      </c>
      <c r="G441" s="17" t="s">
        <v>450</v>
      </c>
      <c r="H441" s="16" t="s">
        <v>594</v>
      </c>
      <c r="I441" s="146">
        <v>1</v>
      </c>
      <c r="J441" s="146">
        <v>4.3</v>
      </c>
      <c r="K441" s="146">
        <v>1</v>
      </c>
      <c r="L441" s="146">
        <v>1</v>
      </c>
      <c r="M441" s="146">
        <v>1</v>
      </c>
      <c r="N441" s="148" t="s">
        <v>56</v>
      </c>
      <c r="O441" s="148">
        <f t="shared" si="54"/>
        <v>1</v>
      </c>
      <c r="P441" s="125">
        <v>44911</v>
      </c>
      <c r="Q441" s="149">
        <v>44916</v>
      </c>
      <c r="R441" s="150">
        <v>1</v>
      </c>
      <c r="S441" s="150">
        <v>1</v>
      </c>
      <c r="T441" s="150">
        <v>1</v>
      </c>
      <c r="U441" s="151">
        <f>IF(ISBLANK(Table1[[#This Row],[OHC Date]]),$B$7-Table1[[#This Row],[HOC Date]]+1,Table1[[#This Row],[OHC Date]]-Table1[[#This Row],[HOC Date]]+1)/7</f>
        <v>0.8571428571428571</v>
      </c>
      <c r="V441" s="152">
        <v>3620.37</v>
      </c>
      <c r="W441" s="152">
        <v>54.93</v>
      </c>
      <c r="X441" s="152">
        <f>ROUND(0.7*Table1[[#This Row],[E&amp;D Rate per unit]]*R441*Table1[[#This Row],[Quantity]],2)</f>
        <v>2534.2600000000002</v>
      </c>
      <c r="Y441" s="152">
        <f t="shared" si="55"/>
        <v>47.08</v>
      </c>
      <c r="Z441" s="152">
        <f>ROUND(0.3*T441*Table1[[#This Row],[E&amp;D Rate per unit]]*Table1[[#This Row],[Quantity]],2)</f>
        <v>1086.1099999999999</v>
      </c>
      <c r="AA441" s="19">
        <v>1</v>
      </c>
      <c r="AB441" s="163">
        <f>ROUND(X441+Z441+Y441,2)*Table1[[#This Row],[Until WA Approved Only Approved this %]]/2.3*1</f>
        <v>1594.5434782608695</v>
      </c>
      <c r="AC441" s="153"/>
      <c r="AD441" s="153">
        <f>Table1[[#This Row],[Total Amount]]-Table1[[#This Row],[Previous Amount]]</f>
        <v>1594.5434782608695</v>
      </c>
      <c r="AE441" s="142" t="s">
        <v>561</v>
      </c>
      <c r="AG441" s="174">
        <v>3667.45</v>
      </c>
      <c r="AH441" s="178">
        <f>AG441-Table1[[#This Row],[Total Amount]]</f>
        <v>2072.9065217391303</v>
      </c>
      <c r="AI441" s="171">
        <f t="shared" si="51"/>
        <v>0.56521739130434778</v>
      </c>
    </row>
    <row r="442" spans="1:35" ht="30" customHeight="1" x14ac:dyDescent="0.3">
      <c r="A442" s="91" t="s">
        <v>91</v>
      </c>
      <c r="B442" s="91" t="s">
        <v>99</v>
      </c>
      <c r="C442" s="16">
        <v>143</v>
      </c>
      <c r="D442" s="146">
        <v>79159</v>
      </c>
      <c r="E442" s="146"/>
      <c r="F442" s="17" t="s">
        <v>604</v>
      </c>
      <c r="G442" s="17" t="s">
        <v>192</v>
      </c>
      <c r="H442" s="16" t="s">
        <v>222</v>
      </c>
      <c r="I442" s="146">
        <v>3</v>
      </c>
      <c r="J442" s="146">
        <v>1</v>
      </c>
      <c r="K442" s="146">
        <v>0.75</v>
      </c>
      <c r="L442" s="146">
        <v>0.6</v>
      </c>
      <c r="M442" s="146">
        <v>1</v>
      </c>
      <c r="N442" s="92" t="s">
        <v>223</v>
      </c>
      <c r="O442" s="148">
        <f t="shared" si="54"/>
        <v>1.8</v>
      </c>
      <c r="P442" s="125">
        <v>44912</v>
      </c>
      <c r="Q442" s="149"/>
      <c r="R442" s="150">
        <v>1</v>
      </c>
      <c r="S442" s="150">
        <v>1</v>
      </c>
      <c r="T442" s="150">
        <v>0</v>
      </c>
      <c r="U442" s="151">
        <f>IF(ISBLANK(Table1[[#This Row],[OHC Date]]),$B$7-Table1[[#This Row],[HOC Date]]+1,Table1[[#This Row],[OHC Date]]-Table1[[#This Row],[HOC Date]]+1)/7</f>
        <v>1.2857142857142858</v>
      </c>
      <c r="V442" s="152">
        <v>63.34</v>
      </c>
      <c r="W442" s="152">
        <v>7.28</v>
      </c>
      <c r="X442" s="152">
        <f>ROUND(0.7*Table1[[#This Row],[E&amp;D Rate per unit]]*R442*Table1[[#This Row],[Quantity]],2)</f>
        <v>79.81</v>
      </c>
      <c r="Y442" s="152">
        <f t="shared" si="55"/>
        <v>16.850000000000001</v>
      </c>
      <c r="Z442" s="152">
        <f>ROUND(0.3*T442*Table1[[#This Row],[E&amp;D Rate per unit]]*Table1[[#This Row],[Quantity]],2)</f>
        <v>0</v>
      </c>
      <c r="AA442" s="112">
        <v>1</v>
      </c>
      <c r="AB442" s="21">
        <f>ROUND(X442+Z442+Y442,2)*Table1[[#This Row],[Until WA Approved Only Approved this %]]</f>
        <v>96.66</v>
      </c>
      <c r="AC442" s="153"/>
      <c r="AD442" s="153">
        <f>Table1[[#This Row],[Total Amount]]-Table1[[#This Row],[Previous Amount]]</f>
        <v>96.66</v>
      </c>
      <c r="AE442" s="154"/>
      <c r="AG442" s="174">
        <v>96.66</v>
      </c>
      <c r="AH442" s="178">
        <f>AG442-Table1[[#This Row],[Total Amount]]</f>
        <v>0</v>
      </c>
      <c r="AI442" s="171">
        <f t="shared" si="51"/>
        <v>0</v>
      </c>
    </row>
    <row r="443" spans="1:35" ht="30" customHeight="1" x14ac:dyDescent="0.3">
      <c r="A443" s="91" t="s">
        <v>605</v>
      </c>
      <c r="B443" s="91" t="s">
        <v>99</v>
      </c>
      <c r="C443" s="16">
        <v>144</v>
      </c>
      <c r="D443" s="146">
        <v>79160</v>
      </c>
      <c r="E443" s="146"/>
      <c r="F443" s="17" t="s">
        <v>607</v>
      </c>
      <c r="G443" s="17" t="s">
        <v>192</v>
      </c>
      <c r="H443" s="16" t="s">
        <v>608</v>
      </c>
      <c r="I443" s="146">
        <v>1</v>
      </c>
      <c r="J443" s="146"/>
      <c r="K443" s="146"/>
      <c r="L443" s="146"/>
      <c r="M443" s="146"/>
      <c r="N443" s="148" t="s">
        <v>56</v>
      </c>
      <c r="O443" s="148">
        <f t="shared" si="54"/>
        <v>1</v>
      </c>
      <c r="P443" s="125">
        <v>44912</v>
      </c>
      <c r="Q443" s="149"/>
      <c r="R443" s="150">
        <v>1</v>
      </c>
      <c r="S443" s="150">
        <v>1</v>
      </c>
      <c r="T443" s="150">
        <v>0</v>
      </c>
      <c r="U443" s="151">
        <f>IF(ISBLANK(Table1[[#This Row],[OHC Date]]),$B$7-Table1[[#This Row],[HOC Date]]+1,Table1[[#This Row],[OHC Date]]-Table1[[#This Row],[HOC Date]]+1)/7</f>
        <v>1.2857142857142858</v>
      </c>
      <c r="V443" s="152">
        <v>3381.02</v>
      </c>
      <c r="W443" s="152">
        <v>181.02</v>
      </c>
      <c r="X443" s="152">
        <f>ROUND(0.7*Table1[[#This Row],[E&amp;D Rate per unit]]*R443*Table1[[#This Row],[Quantity]],2)</f>
        <v>2366.71</v>
      </c>
      <c r="Y443" s="152">
        <f t="shared" si="55"/>
        <v>232.74</v>
      </c>
      <c r="Z443" s="152">
        <f>ROUND(0.3*T443*Table1[[#This Row],[E&amp;D Rate per unit]]*Table1[[#This Row],[Quantity]],2)</f>
        <v>0</v>
      </c>
      <c r="AA443" s="19">
        <v>1</v>
      </c>
      <c r="AB443" s="21">
        <f>ROUND(X443+Z443+Y443,2)*Table1[[#This Row],[Until WA Approved Only Approved this %]]</f>
        <v>2599.4499999999998</v>
      </c>
      <c r="AC443" s="153"/>
      <c r="AD443" s="153">
        <f>Table1[[#This Row],[Total Amount]]-Table1[[#This Row],[Previous Amount]]</f>
        <v>2599.4499999999998</v>
      </c>
      <c r="AE443" s="142" t="s">
        <v>609</v>
      </c>
      <c r="AG443" s="174">
        <v>2599.4499999999998</v>
      </c>
      <c r="AH443" s="178">
        <f>AG443-Table1[[#This Row],[Total Amount]]</f>
        <v>0</v>
      </c>
      <c r="AI443" s="171">
        <f t="shared" si="51"/>
        <v>0</v>
      </c>
    </row>
    <row r="444" spans="1:35" ht="30" customHeight="1" x14ac:dyDescent="0.3">
      <c r="A444" s="91" t="s">
        <v>91</v>
      </c>
      <c r="B444" s="91" t="s">
        <v>99</v>
      </c>
      <c r="C444" s="16" t="s">
        <v>610</v>
      </c>
      <c r="D444" s="146">
        <v>79161</v>
      </c>
      <c r="E444" s="146"/>
      <c r="F444" s="17" t="s">
        <v>584</v>
      </c>
      <c r="G444" s="17" t="s">
        <v>202</v>
      </c>
      <c r="H444" s="16" t="s">
        <v>290</v>
      </c>
      <c r="I444" s="146">
        <v>1</v>
      </c>
      <c r="J444" s="146">
        <v>3.6</v>
      </c>
      <c r="K444" s="146">
        <v>1.3</v>
      </c>
      <c r="L444" s="146">
        <v>4</v>
      </c>
      <c r="M444" s="146"/>
      <c r="N444" s="148" t="s">
        <v>226</v>
      </c>
      <c r="O444" s="148">
        <f t="shared" si="54"/>
        <v>18.72</v>
      </c>
      <c r="P444" s="125">
        <v>44909</v>
      </c>
      <c r="Q444" s="149"/>
      <c r="R444" s="150">
        <v>1</v>
      </c>
      <c r="S444" s="150">
        <v>1</v>
      </c>
      <c r="T444" s="150">
        <v>0</v>
      </c>
      <c r="U444" s="151">
        <f>IF(ISBLANK(Table1[[#This Row],[OHC Date]]),$B$7-Table1[[#This Row],[HOC Date]]+1,Table1[[#This Row],[OHC Date]]-Table1[[#This Row],[HOC Date]]+1)/7</f>
        <v>1.7142857142857142</v>
      </c>
      <c r="V444" s="152">
        <v>5.29</v>
      </c>
      <c r="W444" s="152">
        <v>0.35</v>
      </c>
      <c r="X444" s="152">
        <f>ROUND(0.7*Table1[[#This Row],[E&amp;D Rate per unit]]*R444*Table1[[#This Row],[Quantity]],2)</f>
        <v>69.319999999999993</v>
      </c>
      <c r="Y444" s="152">
        <f t="shared" si="55"/>
        <v>11.23</v>
      </c>
      <c r="Z444" s="152">
        <f>ROUND(0.3*T444*Table1[[#This Row],[E&amp;D Rate per unit]]*Table1[[#This Row],[Quantity]],2)</f>
        <v>0</v>
      </c>
      <c r="AA444" s="112">
        <v>1</v>
      </c>
      <c r="AB444" s="21">
        <f>ROUND(X444+Z444+Y444,2)*Table1[[#This Row],[Until WA Approved Only Approved this %]]</f>
        <v>80.55</v>
      </c>
      <c r="AC444" s="153"/>
      <c r="AD444" s="153">
        <f>Table1[[#This Row],[Total Amount]]-Table1[[#This Row],[Previous Amount]]</f>
        <v>80.55</v>
      </c>
      <c r="AE444" s="154"/>
      <c r="AG444" s="174">
        <v>80.55</v>
      </c>
      <c r="AH444" s="178">
        <f>AG444-Table1[[#This Row],[Total Amount]]</f>
        <v>0</v>
      </c>
      <c r="AI444" s="171">
        <f t="shared" si="51"/>
        <v>0</v>
      </c>
    </row>
    <row r="445" spans="1:35" ht="30" customHeight="1" x14ac:dyDescent="0.3">
      <c r="A445" s="91" t="s">
        <v>91</v>
      </c>
      <c r="B445" s="91" t="s">
        <v>99</v>
      </c>
      <c r="C445" s="16" t="s">
        <v>611</v>
      </c>
      <c r="D445" s="146">
        <v>79161</v>
      </c>
      <c r="E445" s="146"/>
      <c r="F445" s="17" t="s">
        <v>584</v>
      </c>
      <c r="G445" s="17" t="s">
        <v>202</v>
      </c>
      <c r="H445" s="16" t="s">
        <v>290</v>
      </c>
      <c r="I445" s="146">
        <v>1</v>
      </c>
      <c r="J445" s="146">
        <v>3.6</v>
      </c>
      <c r="K445" s="146">
        <v>1.3</v>
      </c>
      <c r="L445" s="146">
        <v>2.5</v>
      </c>
      <c r="M445" s="146"/>
      <c r="N445" s="148" t="s">
        <v>226</v>
      </c>
      <c r="O445" s="148">
        <f t="shared" si="54"/>
        <v>11.7</v>
      </c>
      <c r="P445" s="125">
        <v>44909</v>
      </c>
      <c r="Q445" s="149"/>
      <c r="R445" s="150">
        <v>1</v>
      </c>
      <c r="S445" s="150">
        <v>1</v>
      </c>
      <c r="T445" s="150">
        <v>0</v>
      </c>
      <c r="U445" s="151">
        <f>IF(ISBLANK(Table1[[#This Row],[OHC Date]]),$B$7-Table1[[#This Row],[HOC Date]]+1,Table1[[#This Row],[OHC Date]]-Table1[[#This Row],[HOC Date]]+1)/7</f>
        <v>1.7142857142857142</v>
      </c>
      <c r="V445" s="152">
        <v>5.29</v>
      </c>
      <c r="W445" s="152">
        <v>0.35</v>
      </c>
      <c r="X445" s="152">
        <f>ROUND(0.7*Table1[[#This Row],[E&amp;D Rate per unit]]*R445*Table1[[#This Row],[Quantity]],2)</f>
        <v>43.33</v>
      </c>
      <c r="Y445" s="152">
        <f t="shared" si="55"/>
        <v>7.02</v>
      </c>
      <c r="Z445" s="152">
        <f>ROUND(0.3*T445*Table1[[#This Row],[E&amp;D Rate per unit]]*Table1[[#This Row],[Quantity]],2)</f>
        <v>0</v>
      </c>
      <c r="AA445" s="112">
        <v>1</v>
      </c>
      <c r="AB445" s="21">
        <f>ROUND(X445+Z445+Y445,2)*Table1[[#This Row],[Until WA Approved Only Approved this %]]</f>
        <v>50.35</v>
      </c>
      <c r="AC445" s="153"/>
      <c r="AD445" s="153">
        <f>Table1[[#This Row],[Total Amount]]-Table1[[#This Row],[Previous Amount]]</f>
        <v>50.35</v>
      </c>
      <c r="AE445" s="154"/>
      <c r="AG445" s="174">
        <v>50.35</v>
      </c>
      <c r="AH445" s="178">
        <f>AG445-Table1[[#This Row],[Total Amount]]</f>
        <v>0</v>
      </c>
      <c r="AI445" s="171">
        <f t="shared" si="51"/>
        <v>0</v>
      </c>
    </row>
    <row r="446" spans="1:35" ht="30" customHeight="1" x14ac:dyDescent="0.3">
      <c r="A446" s="91" t="s">
        <v>91</v>
      </c>
      <c r="B446" s="91" t="s">
        <v>99</v>
      </c>
      <c r="C446" s="16" t="s">
        <v>612</v>
      </c>
      <c r="D446" s="146">
        <v>79161</v>
      </c>
      <c r="E446" s="146"/>
      <c r="F446" s="17" t="s">
        <v>584</v>
      </c>
      <c r="G446" s="17" t="s">
        <v>202</v>
      </c>
      <c r="H446" s="16" t="s">
        <v>290</v>
      </c>
      <c r="I446" s="146">
        <v>1</v>
      </c>
      <c r="J446" s="146">
        <v>3.8</v>
      </c>
      <c r="K446" s="146">
        <v>0.9</v>
      </c>
      <c r="L446" s="146">
        <v>3</v>
      </c>
      <c r="M446" s="146"/>
      <c r="N446" s="148" t="s">
        <v>226</v>
      </c>
      <c r="O446" s="148">
        <f t="shared" si="54"/>
        <v>10.26</v>
      </c>
      <c r="P446" s="125">
        <v>44909</v>
      </c>
      <c r="Q446" s="149"/>
      <c r="R446" s="150">
        <v>1</v>
      </c>
      <c r="S446" s="150">
        <v>1</v>
      </c>
      <c r="T446" s="150">
        <v>0</v>
      </c>
      <c r="U446" s="151">
        <f>IF(ISBLANK(Table1[[#This Row],[OHC Date]]),$B$7-Table1[[#This Row],[HOC Date]]+1,Table1[[#This Row],[OHC Date]]-Table1[[#This Row],[HOC Date]]+1)/7</f>
        <v>1.7142857142857142</v>
      </c>
      <c r="V446" s="152">
        <v>5.29</v>
      </c>
      <c r="W446" s="152">
        <v>0.35</v>
      </c>
      <c r="X446" s="152">
        <f>ROUND(0.7*Table1[[#This Row],[E&amp;D Rate per unit]]*R446*Table1[[#This Row],[Quantity]],2)</f>
        <v>37.99</v>
      </c>
      <c r="Y446" s="152">
        <f t="shared" si="55"/>
        <v>6.16</v>
      </c>
      <c r="Z446" s="152">
        <f>ROUND(0.3*T446*Table1[[#This Row],[E&amp;D Rate per unit]]*Table1[[#This Row],[Quantity]],2)</f>
        <v>0</v>
      </c>
      <c r="AA446" s="112">
        <v>1</v>
      </c>
      <c r="AB446" s="21">
        <f>ROUND(X446+Z446+Y446,2)*Table1[[#This Row],[Until WA Approved Only Approved this %]]</f>
        <v>44.15</v>
      </c>
      <c r="AC446" s="153"/>
      <c r="AD446" s="153">
        <f>Table1[[#This Row],[Total Amount]]-Table1[[#This Row],[Previous Amount]]</f>
        <v>44.15</v>
      </c>
      <c r="AE446" s="154"/>
      <c r="AG446" s="174">
        <v>44.15</v>
      </c>
      <c r="AH446" s="178">
        <f>AG446-Table1[[#This Row],[Total Amount]]</f>
        <v>0</v>
      </c>
      <c r="AI446" s="171">
        <f t="shared" si="51"/>
        <v>0</v>
      </c>
    </row>
    <row r="447" spans="1:35" ht="30" customHeight="1" x14ac:dyDescent="0.3">
      <c r="A447" s="91" t="s">
        <v>91</v>
      </c>
      <c r="B447" s="91" t="s">
        <v>99</v>
      </c>
      <c r="C447" s="16" t="s">
        <v>613</v>
      </c>
      <c r="D447" s="146">
        <v>79163</v>
      </c>
      <c r="E447" s="146"/>
      <c r="F447" s="17" t="s">
        <v>525</v>
      </c>
      <c r="G447" s="17" t="s">
        <v>202</v>
      </c>
      <c r="H447" s="109" t="s">
        <v>129</v>
      </c>
      <c r="I447" s="146">
        <v>1</v>
      </c>
      <c r="J447" s="146">
        <v>6</v>
      </c>
      <c r="K447" s="146">
        <v>1</v>
      </c>
      <c r="L447" s="146">
        <v>1</v>
      </c>
      <c r="M447" s="146">
        <v>1</v>
      </c>
      <c r="N447" s="148" t="s">
        <v>162</v>
      </c>
      <c r="O447" s="148">
        <f t="shared" si="54"/>
        <v>6</v>
      </c>
      <c r="P447" s="125">
        <v>44914</v>
      </c>
      <c r="Q447" s="149"/>
      <c r="R447" s="150">
        <v>1</v>
      </c>
      <c r="S447" s="150">
        <v>1</v>
      </c>
      <c r="T447" s="150">
        <v>0</v>
      </c>
      <c r="U447" s="151">
        <f>IF(ISBLANK(Table1[[#This Row],[OHC Date]]),$B$7-Table1[[#This Row],[HOC Date]]+1,Table1[[#This Row],[OHC Date]]-Table1[[#This Row],[HOC Date]]+1)/7</f>
        <v>1</v>
      </c>
      <c r="V447" s="152">
        <v>36.520000000000003</v>
      </c>
      <c r="W447" s="152">
        <v>2.94</v>
      </c>
      <c r="X447" s="152">
        <f>ROUND(0.7*Table1[[#This Row],[E&amp;D Rate per unit]]*R447*Table1[[#This Row],[Quantity]],2)</f>
        <v>153.38</v>
      </c>
      <c r="Y447" s="152">
        <f t="shared" si="55"/>
        <v>17.64</v>
      </c>
      <c r="Z447" s="152">
        <f>ROUND(0.3*T447*Table1[[#This Row],[E&amp;D Rate per unit]]*Table1[[#This Row],[Quantity]],2)</f>
        <v>0</v>
      </c>
      <c r="AA447" s="112">
        <v>1</v>
      </c>
      <c r="AB447" s="21">
        <f>ROUND(X447+Z447+Y447,2)*Table1[[#This Row],[Until WA Approved Only Approved this %]]</f>
        <v>171.02</v>
      </c>
      <c r="AC447" s="153"/>
      <c r="AD447" s="153">
        <f>Table1[[#This Row],[Total Amount]]-Table1[[#This Row],[Previous Amount]]</f>
        <v>171.02</v>
      </c>
      <c r="AE447" s="154"/>
      <c r="AG447" s="174">
        <v>171.02</v>
      </c>
      <c r="AH447" s="178">
        <f>AG447-Table1[[#This Row],[Total Amount]]</f>
        <v>0</v>
      </c>
      <c r="AI447" s="171">
        <f t="shared" si="51"/>
        <v>0</v>
      </c>
    </row>
    <row r="448" spans="1:35" ht="30" customHeight="1" x14ac:dyDescent="0.3">
      <c r="A448" s="91" t="s">
        <v>91</v>
      </c>
      <c r="B448" s="91" t="s">
        <v>99</v>
      </c>
      <c r="C448" s="16">
        <v>145</v>
      </c>
      <c r="D448" s="146">
        <v>79164</v>
      </c>
      <c r="E448" s="146"/>
      <c r="F448" s="17" t="s">
        <v>614</v>
      </c>
      <c r="G448" s="17" t="s">
        <v>192</v>
      </c>
      <c r="H448" s="109" t="s">
        <v>120</v>
      </c>
      <c r="I448" s="146">
        <v>1</v>
      </c>
      <c r="J448" s="146">
        <v>17.8</v>
      </c>
      <c r="K448" s="146">
        <v>1.8</v>
      </c>
      <c r="L448" s="146">
        <v>5</v>
      </c>
      <c r="M448" s="146">
        <v>1</v>
      </c>
      <c r="N448" s="148" t="s">
        <v>208</v>
      </c>
      <c r="O448" s="148">
        <f t="shared" si="54"/>
        <v>89</v>
      </c>
      <c r="P448" s="125">
        <v>44914</v>
      </c>
      <c r="Q448" s="149"/>
      <c r="R448" s="150">
        <v>1</v>
      </c>
      <c r="S448" s="150">
        <v>1</v>
      </c>
      <c r="T448" s="150">
        <v>0</v>
      </c>
      <c r="U448" s="151">
        <f>IF(ISBLANK(Table1[[#This Row],[OHC Date]]),$B$7-Table1[[#This Row],[HOC Date]]+1,Table1[[#This Row],[OHC Date]]-Table1[[#This Row],[HOC Date]]+1)/7</f>
        <v>1</v>
      </c>
      <c r="V448" s="152">
        <v>12.01</v>
      </c>
      <c r="W448" s="152">
        <v>0.49</v>
      </c>
      <c r="X448" s="152">
        <f>ROUND(0.7*Table1[[#This Row],[E&amp;D Rate per unit]]*R448*Table1[[#This Row],[Quantity]],2)</f>
        <v>748.22</v>
      </c>
      <c r="Y448" s="152">
        <f t="shared" si="55"/>
        <v>43.61</v>
      </c>
      <c r="Z448" s="152">
        <f>ROUND(0.3*T448*Table1[[#This Row],[E&amp;D Rate per unit]]*Table1[[#This Row],[Quantity]],2)</f>
        <v>0</v>
      </c>
      <c r="AA448" s="112">
        <v>1</v>
      </c>
      <c r="AB448" s="21">
        <f>ROUND(X448+Z448+Y448,2)*Table1[[#This Row],[Until WA Approved Only Approved this %]]</f>
        <v>791.83</v>
      </c>
      <c r="AC448" s="153"/>
      <c r="AD448" s="153">
        <f>Table1[[#This Row],[Total Amount]]-Table1[[#This Row],[Previous Amount]]</f>
        <v>791.83</v>
      </c>
      <c r="AE448" s="154"/>
      <c r="AG448" s="174">
        <v>791.83</v>
      </c>
      <c r="AH448" s="178">
        <f>AG448-Table1[[#This Row],[Total Amount]]</f>
        <v>0</v>
      </c>
      <c r="AI448" s="171">
        <f t="shared" si="51"/>
        <v>0</v>
      </c>
    </row>
    <row r="449" spans="1:35" ht="30" customHeight="1" x14ac:dyDescent="0.3">
      <c r="A449" s="91" t="s">
        <v>91</v>
      </c>
      <c r="B449" s="91" t="s">
        <v>99</v>
      </c>
      <c r="C449" s="16">
        <v>146</v>
      </c>
      <c r="D449" s="146">
        <v>79165</v>
      </c>
      <c r="E449" s="146"/>
      <c r="F449" s="17" t="s">
        <v>604</v>
      </c>
      <c r="G449" s="17" t="s">
        <v>192</v>
      </c>
      <c r="H449" s="16" t="s">
        <v>222</v>
      </c>
      <c r="I449" s="146">
        <v>1</v>
      </c>
      <c r="J449" s="146">
        <v>1</v>
      </c>
      <c r="K449" s="146">
        <v>1</v>
      </c>
      <c r="L449" s="146">
        <v>1</v>
      </c>
      <c r="M449" s="146">
        <v>1</v>
      </c>
      <c r="N449" s="92" t="s">
        <v>223</v>
      </c>
      <c r="O449" s="148">
        <f t="shared" si="54"/>
        <v>1</v>
      </c>
      <c r="P449" s="125">
        <v>44914</v>
      </c>
      <c r="Q449" s="149"/>
      <c r="R449" s="150">
        <v>1</v>
      </c>
      <c r="S449" s="150">
        <v>1</v>
      </c>
      <c r="T449" s="150">
        <v>0</v>
      </c>
      <c r="U449" s="151">
        <f>IF(ISBLANK(Table1[[#This Row],[OHC Date]]),$B$7-Table1[[#This Row],[HOC Date]]+1,Table1[[#This Row],[OHC Date]]-Table1[[#This Row],[HOC Date]]+1)/7</f>
        <v>1</v>
      </c>
      <c r="V449" s="152">
        <v>63.34</v>
      </c>
      <c r="W449" s="152">
        <v>7.28</v>
      </c>
      <c r="X449" s="152">
        <f>ROUND(0.7*Table1[[#This Row],[E&amp;D Rate per unit]]*R449*Table1[[#This Row],[Quantity]],2)</f>
        <v>44.34</v>
      </c>
      <c r="Y449" s="152">
        <f t="shared" si="55"/>
        <v>7.28</v>
      </c>
      <c r="Z449" s="152">
        <f>ROUND(0.3*T449*Table1[[#This Row],[E&amp;D Rate per unit]]*Table1[[#This Row],[Quantity]],2)</f>
        <v>0</v>
      </c>
      <c r="AA449" s="112">
        <v>1</v>
      </c>
      <c r="AB449" s="21">
        <f>ROUND(X449+Z449+Y449,2)*Table1[[#This Row],[Until WA Approved Only Approved this %]]</f>
        <v>51.62</v>
      </c>
      <c r="AC449" s="153"/>
      <c r="AD449" s="153">
        <f>Table1[[#This Row],[Total Amount]]-Table1[[#This Row],[Previous Amount]]</f>
        <v>51.62</v>
      </c>
      <c r="AE449" s="154"/>
      <c r="AG449" s="174">
        <v>51.62</v>
      </c>
      <c r="AH449" s="178">
        <f>AG449-Table1[[#This Row],[Total Amount]]</f>
        <v>0</v>
      </c>
      <c r="AI449" s="171">
        <f t="shared" si="51"/>
        <v>0</v>
      </c>
    </row>
    <row r="450" spans="1:35" ht="30" customHeight="1" x14ac:dyDescent="0.3">
      <c r="A450" s="91" t="s">
        <v>91</v>
      </c>
      <c r="B450" s="91" t="s">
        <v>99</v>
      </c>
      <c r="C450" s="16">
        <v>147</v>
      </c>
      <c r="D450" s="146">
        <v>79166</v>
      </c>
      <c r="E450" s="146"/>
      <c r="F450" s="17" t="s">
        <v>604</v>
      </c>
      <c r="G450" s="17" t="s">
        <v>192</v>
      </c>
      <c r="H450" s="16" t="s">
        <v>222</v>
      </c>
      <c r="I450" s="146">
        <v>1</v>
      </c>
      <c r="J450" s="146">
        <v>1</v>
      </c>
      <c r="K450" s="146">
        <v>1</v>
      </c>
      <c r="L450" s="146">
        <v>1</v>
      </c>
      <c r="M450" s="146">
        <v>1</v>
      </c>
      <c r="N450" s="92" t="s">
        <v>223</v>
      </c>
      <c r="O450" s="148">
        <f t="shared" si="54"/>
        <v>1</v>
      </c>
      <c r="P450" s="125">
        <v>44914</v>
      </c>
      <c r="Q450" s="149"/>
      <c r="R450" s="150">
        <v>1</v>
      </c>
      <c r="S450" s="150">
        <v>1</v>
      </c>
      <c r="T450" s="150">
        <v>0</v>
      </c>
      <c r="U450" s="151">
        <f>IF(ISBLANK(Table1[[#This Row],[OHC Date]]),$B$7-Table1[[#This Row],[HOC Date]]+1,Table1[[#This Row],[OHC Date]]-Table1[[#This Row],[HOC Date]]+1)/7</f>
        <v>1</v>
      </c>
      <c r="V450" s="152">
        <v>63.34</v>
      </c>
      <c r="W450" s="152">
        <v>7.28</v>
      </c>
      <c r="X450" s="152">
        <f>ROUND(0.7*Table1[[#This Row],[E&amp;D Rate per unit]]*R450*Table1[[#This Row],[Quantity]],2)</f>
        <v>44.34</v>
      </c>
      <c r="Y450" s="152">
        <f t="shared" si="55"/>
        <v>7.28</v>
      </c>
      <c r="Z450" s="152">
        <f>ROUND(0.3*T450*Table1[[#This Row],[E&amp;D Rate per unit]]*Table1[[#This Row],[Quantity]],2)</f>
        <v>0</v>
      </c>
      <c r="AA450" s="112">
        <v>1</v>
      </c>
      <c r="AB450" s="21">
        <f>ROUND(X450+Z450+Y450,2)*Table1[[#This Row],[Until WA Approved Only Approved this %]]</f>
        <v>51.62</v>
      </c>
      <c r="AC450" s="153"/>
      <c r="AD450" s="153">
        <f>Table1[[#This Row],[Total Amount]]-Table1[[#This Row],[Previous Amount]]</f>
        <v>51.62</v>
      </c>
      <c r="AE450" s="154"/>
      <c r="AG450" s="174">
        <v>51.62</v>
      </c>
      <c r="AH450" s="178">
        <f>AG450-Table1[[#This Row],[Total Amount]]</f>
        <v>0</v>
      </c>
      <c r="AI450" s="171">
        <f t="shared" si="51"/>
        <v>0</v>
      </c>
    </row>
    <row r="451" spans="1:35" ht="30" customHeight="1" x14ac:dyDescent="0.3">
      <c r="A451" s="91" t="s">
        <v>91</v>
      </c>
      <c r="B451" s="91" t="s">
        <v>99</v>
      </c>
      <c r="C451" s="16">
        <v>148</v>
      </c>
      <c r="D451" s="146">
        <v>79167</v>
      </c>
      <c r="E451" s="146"/>
      <c r="F451" s="17" t="s">
        <v>596</v>
      </c>
      <c r="G451" s="17" t="s">
        <v>202</v>
      </c>
      <c r="H451" s="146" t="s">
        <v>207</v>
      </c>
      <c r="I451" s="146">
        <v>1</v>
      </c>
      <c r="J451" s="146">
        <v>6.3</v>
      </c>
      <c r="K451" s="146">
        <v>1.3</v>
      </c>
      <c r="L451" s="146">
        <v>4</v>
      </c>
      <c r="M451" s="146">
        <v>1</v>
      </c>
      <c r="N451" s="148" t="s">
        <v>208</v>
      </c>
      <c r="O451" s="148">
        <f t="shared" si="54"/>
        <v>25.2</v>
      </c>
      <c r="P451" s="125">
        <v>44915</v>
      </c>
      <c r="Q451" s="149"/>
      <c r="R451" s="150">
        <v>1</v>
      </c>
      <c r="S451" s="150">
        <v>1</v>
      </c>
      <c r="T451" s="150">
        <v>0</v>
      </c>
      <c r="U451" s="151">
        <f>IF(ISBLANK(Table1[[#This Row],[OHC Date]]),$B$7-Table1[[#This Row],[HOC Date]]+1,Table1[[#This Row],[OHC Date]]-Table1[[#This Row],[HOC Date]]+1)/7</f>
        <v>0.8571428571428571</v>
      </c>
      <c r="V451" s="152">
        <v>12.01</v>
      </c>
      <c r="W451" s="152">
        <v>0.49</v>
      </c>
      <c r="X451" s="152">
        <f>ROUND(0.7*Table1[[#This Row],[E&amp;D Rate per unit]]*R451*Table1[[#This Row],[Quantity]],2)</f>
        <v>211.86</v>
      </c>
      <c r="Y451" s="152">
        <f t="shared" si="55"/>
        <v>10.58</v>
      </c>
      <c r="Z451" s="152">
        <f>ROUND(0.3*T451*Table1[[#This Row],[E&amp;D Rate per unit]]*Table1[[#This Row],[Quantity]],2)</f>
        <v>0</v>
      </c>
      <c r="AA451" s="112">
        <v>1</v>
      </c>
      <c r="AB451" s="21">
        <f>ROUND(X451+Z451+Y451,2)*Table1[[#This Row],[Until WA Approved Only Approved this %]]</f>
        <v>222.44</v>
      </c>
      <c r="AC451" s="153"/>
      <c r="AD451" s="153">
        <f>Table1[[#This Row],[Total Amount]]-Table1[[#This Row],[Previous Amount]]</f>
        <v>222.44</v>
      </c>
      <c r="AE451" s="154"/>
      <c r="AG451" s="174">
        <v>222.44</v>
      </c>
      <c r="AH451" s="178">
        <f>AG451-Table1[[#This Row],[Total Amount]]</f>
        <v>0</v>
      </c>
      <c r="AI451" s="171">
        <f t="shared" si="51"/>
        <v>0</v>
      </c>
    </row>
    <row r="452" spans="1:35" ht="30" customHeight="1" x14ac:dyDescent="0.3">
      <c r="A452" s="91" t="s">
        <v>91</v>
      </c>
      <c r="B452" s="91" t="s">
        <v>99</v>
      </c>
      <c r="C452" s="16" t="s">
        <v>615</v>
      </c>
      <c r="D452" s="146">
        <v>79168</v>
      </c>
      <c r="E452" s="146"/>
      <c r="F452" s="17" t="s">
        <v>616</v>
      </c>
      <c r="G452" s="17" t="s">
        <v>225</v>
      </c>
      <c r="H452" s="16" t="s">
        <v>178</v>
      </c>
      <c r="I452" s="146">
        <v>1</v>
      </c>
      <c r="J452" s="146">
        <v>2.5</v>
      </c>
      <c r="K452" s="146">
        <v>1.3</v>
      </c>
      <c r="L452" s="146">
        <v>1</v>
      </c>
      <c r="M452" s="146">
        <v>1</v>
      </c>
      <c r="N452" s="148" t="s">
        <v>162</v>
      </c>
      <c r="O452" s="148">
        <f t="shared" si="54"/>
        <v>3.25</v>
      </c>
      <c r="P452" s="125">
        <v>44915</v>
      </c>
      <c r="Q452" s="149"/>
      <c r="R452" s="150">
        <v>1</v>
      </c>
      <c r="S452" s="150">
        <v>1</v>
      </c>
      <c r="T452" s="150">
        <v>0</v>
      </c>
      <c r="U452" s="151">
        <f>IF(ISBLANK(Table1[[#This Row],[OHC Date]]),$B$7-Table1[[#This Row],[HOC Date]]+1,Table1[[#This Row],[OHC Date]]-Table1[[#This Row],[HOC Date]]+1)/7</f>
        <v>0.8571428571428571</v>
      </c>
      <c r="V452" s="152">
        <v>6.63</v>
      </c>
      <c r="W452" s="152">
        <v>0.7</v>
      </c>
      <c r="X452" s="152">
        <f>ROUND(0.7*Table1[[#This Row],[E&amp;D Rate per unit]]*R452*Table1[[#This Row],[Quantity]],2)</f>
        <v>15.08</v>
      </c>
      <c r="Y452" s="152">
        <f t="shared" si="55"/>
        <v>1.95</v>
      </c>
      <c r="Z452" s="152">
        <f>ROUND(0.3*T452*Table1[[#This Row],[E&amp;D Rate per unit]]*Table1[[#This Row],[Quantity]],2)</f>
        <v>0</v>
      </c>
      <c r="AA452" s="112">
        <v>1</v>
      </c>
      <c r="AB452" s="21">
        <f>ROUND(X452+Z452+Y452,2)*Table1[[#This Row],[Until WA Approved Only Approved this %]]</f>
        <v>17.03</v>
      </c>
      <c r="AC452" s="153"/>
      <c r="AD452" s="153">
        <f>Table1[[#This Row],[Total Amount]]-Table1[[#This Row],[Previous Amount]]</f>
        <v>17.03</v>
      </c>
      <c r="AE452" s="154"/>
      <c r="AG452" s="174">
        <v>17.03</v>
      </c>
      <c r="AH452" s="178">
        <f>AG452-Table1[[#This Row],[Total Amount]]</f>
        <v>0</v>
      </c>
      <c r="AI452" s="171">
        <f t="shared" si="51"/>
        <v>0</v>
      </c>
    </row>
    <row r="453" spans="1:35" ht="30" customHeight="1" x14ac:dyDescent="0.3">
      <c r="A453" s="91" t="s">
        <v>91</v>
      </c>
      <c r="B453" s="91" t="s">
        <v>99</v>
      </c>
      <c r="C453" s="16">
        <v>149</v>
      </c>
      <c r="D453" s="146">
        <v>79169</v>
      </c>
      <c r="E453" s="146"/>
      <c r="F453" s="17" t="s">
        <v>617</v>
      </c>
      <c r="G453" s="17" t="s">
        <v>202</v>
      </c>
      <c r="H453" s="16" t="s">
        <v>222</v>
      </c>
      <c r="I453" s="146">
        <v>1</v>
      </c>
      <c r="J453" s="146">
        <v>1.8</v>
      </c>
      <c r="K453" s="146">
        <v>1.3</v>
      </c>
      <c r="L453" s="146">
        <v>1.25</v>
      </c>
      <c r="M453" s="146">
        <v>1</v>
      </c>
      <c r="N453" s="92" t="s">
        <v>223</v>
      </c>
      <c r="O453" s="148">
        <f t="shared" si="54"/>
        <v>1.25</v>
      </c>
      <c r="P453" s="125">
        <v>44916</v>
      </c>
      <c r="Q453" s="149"/>
      <c r="R453" s="150">
        <v>1</v>
      </c>
      <c r="S453" s="150">
        <v>1</v>
      </c>
      <c r="T453" s="150">
        <v>0</v>
      </c>
      <c r="U453" s="151">
        <f>IF(ISBLANK(Table1[[#This Row],[OHC Date]]),$B$7-Table1[[#This Row],[HOC Date]]+1,Table1[[#This Row],[OHC Date]]-Table1[[#This Row],[HOC Date]]+1)/7</f>
        <v>0.7142857142857143</v>
      </c>
      <c r="V453" s="152">
        <v>63.34</v>
      </c>
      <c r="W453" s="152">
        <v>7.28</v>
      </c>
      <c r="X453" s="152">
        <f>ROUND(0.7*Table1[[#This Row],[E&amp;D Rate per unit]]*R453*Table1[[#This Row],[Quantity]],2)</f>
        <v>55.42</v>
      </c>
      <c r="Y453" s="152">
        <f t="shared" si="55"/>
        <v>6.5</v>
      </c>
      <c r="Z453" s="152">
        <f>ROUND(0.3*T453*Table1[[#This Row],[E&amp;D Rate per unit]]*Table1[[#This Row],[Quantity]],2)</f>
        <v>0</v>
      </c>
      <c r="AA453" s="112">
        <v>1</v>
      </c>
      <c r="AB453" s="21">
        <f>ROUND(X453+Z453+Y453,2)*Table1[[#This Row],[Until WA Approved Only Approved this %]]</f>
        <v>61.92</v>
      </c>
      <c r="AC453" s="153"/>
      <c r="AD453" s="153">
        <f>Table1[[#This Row],[Total Amount]]-Table1[[#This Row],[Previous Amount]]</f>
        <v>61.92</v>
      </c>
      <c r="AE453" s="154"/>
      <c r="AG453" s="174">
        <v>61.92</v>
      </c>
      <c r="AH453" s="178">
        <f>AG453-Table1[[#This Row],[Total Amount]]</f>
        <v>0</v>
      </c>
      <c r="AI453" s="171">
        <f t="shared" si="51"/>
        <v>0</v>
      </c>
    </row>
    <row r="454" spans="1:35" ht="30" customHeight="1" x14ac:dyDescent="0.3">
      <c r="A454" s="91" t="s">
        <v>618</v>
      </c>
      <c r="B454" s="91" t="s">
        <v>99</v>
      </c>
      <c r="C454" s="16" t="s">
        <v>632</v>
      </c>
      <c r="D454" s="146">
        <v>79170</v>
      </c>
      <c r="E454" s="146"/>
      <c r="F454" s="17" t="s">
        <v>620</v>
      </c>
      <c r="G454" s="17" t="s">
        <v>621</v>
      </c>
      <c r="H454" s="16" t="s">
        <v>622</v>
      </c>
      <c r="I454" s="146">
        <v>1</v>
      </c>
      <c r="J454" s="146"/>
      <c r="K454" s="146"/>
      <c r="L454" s="146"/>
      <c r="M454" s="146"/>
      <c r="N454" s="92" t="s">
        <v>56</v>
      </c>
      <c r="O454" s="148">
        <f t="shared" si="54"/>
        <v>1</v>
      </c>
      <c r="P454" s="125">
        <v>44916</v>
      </c>
      <c r="Q454" s="149"/>
      <c r="R454" s="150">
        <v>1</v>
      </c>
      <c r="S454" s="150">
        <v>1</v>
      </c>
      <c r="T454" s="150">
        <v>0</v>
      </c>
      <c r="U454" s="151">
        <f>IF(ISBLANK(Table1[[#This Row],[OHC Date]]),$B$7-Table1[[#This Row],[HOC Date]]+1,Table1[[#This Row],[OHC Date]]-Table1[[#This Row],[HOC Date]]+1)/7</f>
        <v>0.7142857142857143</v>
      </c>
      <c r="V454" s="152">
        <v>34922.6</v>
      </c>
      <c r="W454" s="152">
        <v>1384.55</v>
      </c>
      <c r="X454" s="152">
        <f>ROUND(0.7*Table1[[#This Row],[E&amp;D Rate per unit]]*R454*Table1[[#This Row],[Quantity]],2)</f>
        <v>24445.82</v>
      </c>
      <c r="Y454" s="152">
        <f t="shared" si="55"/>
        <v>988.96</v>
      </c>
      <c r="Z454" s="152">
        <f>ROUND(0.3*T454*Table1[[#This Row],[E&amp;D Rate per unit]]*Table1[[#This Row],[Quantity]],2)</f>
        <v>0</v>
      </c>
      <c r="AA454" s="19">
        <v>1</v>
      </c>
      <c r="AB454" s="21">
        <f>ROUND(X454+Z454+Y454,2)*Table1[[#This Row],[Until WA Approved Only Approved this %]]</f>
        <v>25434.78</v>
      </c>
      <c r="AC454" s="153"/>
      <c r="AD454" s="153">
        <f>Table1[[#This Row],[Total Amount]]-Table1[[#This Row],[Previous Amount]]</f>
        <v>25434.78</v>
      </c>
      <c r="AE454" s="142" t="s">
        <v>623</v>
      </c>
      <c r="AG454" s="174">
        <v>25434.78</v>
      </c>
      <c r="AH454" s="178">
        <f>AG454-Table1[[#This Row],[Total Amount]]</f>
        <v>0</v>
      </c>
      <c r="AI454" s="171">
        <f t="shared" si="51"/>
        <v>0</v>
      </c>
    </row>
    <row r="455" spans="1:35" ht="30" customHeight="1" x14ac:dyDescent="0.3">
      <c r="A455" s="91" t="s">
        <v>91</v>
      </c>
      <c r="B455" s="91" t="s">
        <v>99</v>
      </c>
      <c r="C455" s="16" t="s">
        <v>624</v>
      </c>
      <c r="D455" s="146">
        <v>79171</v>
      </c>
      <c r="E455" s="146"/>
      <c r="F455" s="17" t="s">
        <v>430</v>
      </c>
      <c r="G455" s="17" t="s">
        <v>625</v>
      </c>
      <c r="H455" s="16" t="s">
        <v>178</v>
      </c>
      <c r="I455" s="146">
        <v>1</v>
      </c>
      <c r="J455" s="146">
        <v>1.8</v>
      </c>
      <c r="K455" s="146">
        <v>1.8</v>
      </c>
      <c r="L455" s="146">
        <v>1</v>
      </c>
      <c r="M455" s="146">
        <v>1</v>
      </c>
      <c r="N455" s="92" t="s">
        <v>162</v>
      </c>
      <c r="O455" s="148">
        <f t="shared" si="54"/>
        <v>3.24</v>
      </c>
      <c r="P455" s="125">
        <v>44916</v>
      </c>
      <c r="Q455" s="149"/>
      <c r="R455" s="150">
        <v>1</v>
      </c>
      <c r="S455" s="150">
        <v>1</v>
      </c>
      <c r="T455" s="150">
        <v>0</v>
      </c>
      <c r="U455" s="151">
        <f>IF(ISBLANK(Table1[[#This Row],[OHC Date]]),$B$7-Table1[[#This Row],[HOC Date]]+1,Table1[[#This Row],[OHC Date]]-Table1[[#This Row],[HOC Date]]+1)/7</f>
        <v>0.7142857142857143</v>
      </c>
      <c r="V455" s="152">
        <v>6.63</v>
      </c>
      <c r="W455" s="152">
        <v>0.7</v>
      </c>
      <c r="X455" s="152">
        <f>ROUND(0.7*Table1[[#This Row],[E&amp;D Rate per unit]]*R455*Table1[[#This Row],[Quantity]],2)</f>
        <v>15.04</v>
      </c>
      <c r="Y455" s="152">
        <f t="shared" si="55"/>
        <v>1.62</v>
      </c>
      <c r="Z455" s="152">
        <f>ROUND(0.3*T455*Table1[[#This Row],[E&amp;D Rate per unit]]*Table1[[#This Row],[Quantity]],2)</f>
        <v>0</v>
      </c>
      <c r="AA455" s="112">
        <v>1</v>
      </c>
      <c r="AB455" s="21">
        <f>ROUND(X455+Z455+Y455,2)*Table1[[#This Row],[Until WA Approved Only Approved this %]]</f>
        <v>16.66</v>
      </c>
      <c r="AC455" s="153"/>
      <c r="AD455" s="153">
        <f>Table1[[#This Row],[Total Amount]]-Table1[[#This Row],[Previous Amount]]</f>
        <v>16.66</v>
      </c>
      <c r="AE455" s="154"/>
      <c r="AG455" s="174">
        <v>16.66</v>
      </c>
      <c r="AH455" s="178">
        <f>AG455-Table1[[#This Row],[Total Amount]]</f>
        <v>0</v>
      </c>
      <c r="AI455" s="171">
        <f t="shared" si="51"/>
        <v>0</v>
      </c>
    </row>
    <row r="456" spans="1:35" ht="30" customHeight="1" x14ac:dyDescent="0.3">
      <c r="A456" s="91" t="s">
        <v>91</v>
      </c>
      <c r="B456" s="91" t="s">
        <v>99</v>
      </c>
      <c r="C456" s="16" t="s">
        <v>626</v>
      </c>
      <c r="D456" s="146">
        <v>79172</v>
      </c>
      <c r="E456" s="146"/>
      <c r="F456" s="17" t="s">
        <v>430</v>
      </c>
      <c r="G456" s="17" t="s">
        <v>625</v>
      </c>
      <c r="H456" s="109" t="s">
        <v>129</v>
      </c>
      <c r="I456" s="146">
        <v>1</v>
      </c>
      <c r="J456" s="146">
        <v>1.8</v>
      </c>
      <c r="K456" s="146">
        <v>1</v>
      </c>
      <c r="L456" s="146">
        <v>1</v>
      </c>
      <c r="M456" s="146">
        <v>1</v>
      </c>
      <c r="N456" s="92" t="s">
        <v>162</v>
      </c>
      <c r="O456" s="148">
        <f t="shared" si="54"/>
        <v>1.8</v>
      </c>
      <c r="P456" s="125">
        <v>44916</v>
      </c>
      <c r="Q456" s="149"/>
      <c r="R456" s="150">
        <v>1</v>
      </c>
      <c r="S456" s="150">
        <v>1</v>
      </c>
      <c r="T456" s="150">
        <v>0</v>
      </c>
      <c r="U456" s="151">
        <f>IF(ISBLANK(Table1[[#This Row],[OHC Date]]),$B$7-Table1[[#This Row],[HOC Date]]+1,Table1[[#This Row],[OHC Date]]-Table1[[#This Row],[HOC Date]]+1)/7</f>
        <v>0.7142857142857143</v>
      </c>
      <c r="V456" s="152">
        <v>36.520000000000003</v>
      </c>
      <c r="W456" s="152">
        <v>2.94</v>
      </c>
      <c r="X456" s="152">
        <f>ROUND(0.7*Table1[[#This Row],[E&amp;D Rate per unit]]*R456*Table1[[#This Row],[Quantity]],2)</f>
        <v>46.02</v>
      </c>
      <c r="Y456" s="152">
        <f t="shared" si="55"/>
        <v>3.78</v>
      </c>
      <c r="Z456" s="152">
        <f>ROUND(0.3*T456*Table1[[#This Row],[E&amp;D Rate per unit]]*Table1[[#This Row],[Quantity]],2)</f>
        <v>0</v>
      </c>
      <c r="AA456" s="112">
        <v>1</v>
      </c>
      <c r="AB456" s="21">
        <f>ROUND(X456+Z456+Y456,2)*Table1[[#This Row],[Until WA Approved Only Approved this %]]</f>
        <v>49.8</v>
      </c>
      <c r="AC456" s="153"/>
      <c r="AD456" s="153">
        <f>Table1[[#This Row],[Total Amount]]-Table1[[#This Row],[Previous Amount]]</f>
        <v>49.8</v>
      </c>
      <c r="AE456" s="154"/>
      <c r="AG456" s="174">
        <v>49.8</v>
      </c>
      <c r="AH456" s="178">
        <f>AG456-Table1[[#This Row],[Total Amount]]</f>
        <v>0</v>
      </c>
      <c r="AI456" s="171">
        <f t="shared" si="51"/>
        <v>0</v>
      </c>
    </row>
    <row r="457" spans="1:35" ht="30" customHeight="1" x14ac:dyDescent="0.3">
      <c r="A457" s="91" t="s">
        <v>91</v>
      </c>
      <c r="B457" s="91" t="s">
        <v>99</v>
      </c>
      <c r="C457" s="157">
        <v>151</v>
      </c>
      <c r="D457" s="146">
        <v>79173</v>
      </c>
      <c r="E457" s="146"/>
      <c r="F457" s="17" t="s">
        <v>556</v>
      </c>
      <c r="G457" s="17" t="s">
        <v>211</v>
      </c>
      <c r="H457" s="159" t="s">
        <v>222</v>
      </c>
      <c r="I457" s="146">
        <v>1</v>
      </c>
      <c r="J457" s="146">
        <v>2.5</v>
      </c>
      <c r="K457" s="146">
        <v>1.3</v>
      </c>
      <c r="L457" s="146">
        <v>2</v>
      </c>
      <c r="M457" s="146">
        <v>1</v>
      </c>
      <c r="N457" s="92" t="s">
        <v>223</v>
      </c>
      <c r="O457" s="148">
        <f t="shared" si="54"/>
        <v>2</v>
      </c>
      <c r="P457" s="125">
        <v>44917</v>
      </c>
      <c r="Q457" s="149"/>
      <c r="R457" s="150">
        <v>1</v>
      </c>
      <c r="S457" s="150">
        <v>1</v>
      </c>
      <c r="T457" s="150">
        <v>0</v>
      </c>
      <c r="U457" s="151">
        <f>IF(ISBLANK(Table1[[#This Row],[OHC Date]]),$B$7-Table1[[#This Row],[HOC Date]]+1,Table1[[#This Row],[OHC Date]]-Table1[[#This Row],[HOC Date]]+1)/7</f>
        <v>0.5714285714285714</v>
      </c>
      <c r="V457" s="152">
        <v>63.34</v>
      </c>
      <c r="W457" s="152">
        <v>7.28</v>
      </c>
      <c r="X457" s="152">
        <f>ROUND(0.7*Table1[[#This Row],[E&amp;D Rate per unit]]*R457*Table1[[#This Row],[Quantity]],2)</f>
        <v>88.68</v>
      </c>
      <c r="Y457" s="152">
        <f t="shared" si="55"/>
        <v>8.32</v>
      </c>
      <c r="Z457" s="152">
        <f>ROUND(0.3*T457*Table1[[#This Row],[E&amp;D Rate per unit]]*Table1[[#This Row],[Quantity]],2)</f>
        <v>0</v>
      </c>
      <c r="AA457" s="112">
        <v>1</v>
      </c>
      <c r="AB457" s="21">
        <f>ROUND(X457+Z457+Y457,2)*Table1[[#This Row],[Until WA Approved Only Approved this %]]</f>
        <v>97</v>
      </c>
      <c r="AC457" s="153"/>
      <c r="AD457" s="153">
        <f>Table1[[#This Row],[Total Amount]]-Table1[[#This Row],[Previous Amount]]</f>
        <v>97</v>
      </c>
      <c r="AE457" s="154"/>
      <c r="AG457" s="174">
        <v>97</v>
      </c>
      <c r="AH457" s="178">
        <f>AG457-Table1[[#This Row],[Total Amount]]</f>
        <v>0</v>
      </c>
      <c r="AI457" s="171">
        <f t="shared" si="51"/>
        <v>0</v>
      </c>
    </row>
    <row r="458" spans="1:35" ht="30" customHeight="1" x14ac:dyDescent="0.3">
      <c r="A458" s="91" t="s">
        <v>91</v>
      </c>
      <c r="B458" s="91" t="s">
        <v>99</v>
      </c>
      <c r="C458" s="156">
        <v>152</v>
      </c>
      <c r="D458" s="146">
        <v>79174</v>
      </c>
      <c r="E458" s="146"/>
      <c r="F458" s="17" t="s">
        <v>556</v>
      </c>
      <c r="G458" s="17" t="s">
        <v>339</v>
      </c>
      <c r="H458" s="159" t="s">
        <v>222</v>
      </c>
      <c r="I458" s="146">
        <v>1</v>
      </c>
      <c r="J458" s="146">
        <v>2.5</v>
      </c>
      <c r="K458" s="146">
        <v>1.3</v>
      </c>
      <c r="L458" s="146">
        <v>2</v>
      </c>
      <c r="M458" s="146">
        <v>1</v>
      </c>
      <c r="N458" s="92" t="s">
        <v>223</v>
      </c>
      <c r="O458" s="148">
        <f t="shared" si="54"/>
        <v>2</v>
      </c>
      <c r="P458" s="125">
        <v>44917</v>
      </c>
      <c r="Q458" s="149"/>
      <c r="R458" s="150">
        <v>1</v>
      </c>
      <c r="S458" s="150">
        <v>1</v>
      </c>
      <c r="T458" s="150">
        <v>0</v>
      </c>
      <c r="U458" s="151">
        <f>IF(ISBLANK(Table1[[#This Row],[OHC Date]]),$B$7-Table1[[#This Row],[HOC Date]]+1,Table1[[#This Row],[OHC Date]]-Table1[[#This Row],[HOC Date]]+1)/7</f>
        <v>0.5714285714285714</v>
      </c>
      <c r="V458" s="152">
        <v>63.34</v>
      </c>
      <c r="W458" s="152">
        <v>7.28</v>
      </c>
      <c r="X458" s="152">
        <f>ROUND(0.7*Table1[[#This Row],[E&amp;D Rate per unit]]*R458*Table1[[#This Row],[Quantity]],2)</f>
        <v>88.68</v>
      </c>
      <c r="Y458" s="152">
        <f t="shared" si="55"/>
        <v>8.32</v>
      </c>
      <c r="Z458" s="152">
        <f>ROUND(0.3*T458*Table1[[#This Row],[E&amp;D Rate per unit]]*Table1[[#This Row],[Quantity]],2)</f>
        <v>0</v>
      </c>
      <c r="AA458" s="112">
        <v>1</v>
      </c>
      <c r="AB458" s="21">
        <f>ROUND(X458+Z458+Y458,2)*Table1[[#This Row],[Until WA Approved Only Approved this %]]</f>
        <v>97</v>
      </c>
      <c r="AC458" s="153"/>
      <c r="AD458" s="153">
        <f>Table1[[#This Row],[Total Amount]]-Table1[[#This Row],[Previous Amount]]</f>
        <v>97</v>
      </c>
      <c r="AE458" s="154"/>
      <c r="AG458" s="174">
        <v>97</v>
      </c>
      <c r="AH458" s="178">
        <f>AG458-Table1[[#This Row],[Total Amount]]</f>
        <v>0</v>
      </c>
      <c r="AI458" s="171">
        <f t="shared" si="51"/>
        <v>0</v>
      </c>
    </row>
    <row r="459" spans="1:35" ht="30" customHeight="1" x14ac:dyDescent="0.3">
      <c r="A459" s="91" t="s">
        <v>91</v>
      </c>
      <c r="B459" s="91" t="s">
        <v>98</v>
      </c>
      <c r="C459" s="146" t="s">
        <v>527</v>
      </c>
      <c r="D459" s="146">
        <v>79060</v>
      </c>
      <c r="E459" s="146">
        <v>80836</v>
      </c>
      <c r="F459" s="147" t="s">
        <v>277</v>
      </c>
      <c r="G459" s="17" t="s">
        <v>278</v>
      </c>
      <c r="H459" s="146" t="s">
        <v>222</v>
      </c>
      <c r="I459" s="146">
        <v>1</v>
      </c>
      <c r="J459" s="146">
        <v>2.5</v>
      </c>
      <c r="K459" s="146">
        <v>1.3</v>
      </c>
      <c r="L459" s="146">
        <v>1.5</v>
      </c>
      <c r="M459" s="146">
        <v>1</v>
      </c>
      <c r="N459" s="148" t="s">
        <v>223</v>
      </c>
      <c r="O459" s="148">
        <f t="shared" si="49"/>
        <v>1.5</v>
      </c>
      <c r="P459" s="125">
        <v>44891</v>
      </c>
      <c r="Q459" s="149">
        <v>44916</v>
      </c>
      <c r="R459" s="150">
        <v>1</v>
      </c>
      <c r="S459" s="150">
        <v>1</v>
      </c>
      <c r="T459" s="150">
        <v>1</v>
      </c>
      <c r="U459" s="151">
        <f>IF(ISBLANK(Table1[[#This Row],[OHC Date]]),$B$7-Table1[[#This Row],[HOC Date]]+1,Table1[[#This Row],[OHC Date]]-Table1[[#This Row],[HOC Date]]+1)/7</f>
        <v>3.7142857142857144</v>
      </c>
      <c r="V459" s="152">
        <v>63.34</v>
      </c>
      <c r="W459" s="152">
        <v>7.28</v>
      </c>
      <c r="X459" s="152">
        <f>ROUND(0.7*Table1[[#This Row],[E&amp;D Rate per unit]]*R459*Table1[[#This Row],[Quantity]],2)</f>
        <v>66.510000000000005</v>
      </c>
      <c r="Y459" s="152">
        <f t="shared" si="50"/>
        <v>40.56</v>
      </c>
      <c r="Z459" s="152">
        <f>ROUND(0.3*T459*Table1[[#This Row],[E&amp;D Rate per unit]]*Table1[[#This Row],[Quantity]],2)</f>
        <v>28.5</v>
      </c>
      <c r="AA459" s="112">
        <v>1</v>
      </c>
      <c r="AB459" s="21">
        <f>ROUND(X459+Z459+Y459,2)*Table1[[#This Row],[Until WA Approved Only Approved this %]]</f>
        <v>135.57</v>
      </c>
      <c r="AC459" s="153"/>
      <c r="AD459" s="153">
        <f>Table1[[#This Row],[Total Amount]]-Table1[[#This Row],[Previous Amount]]</f>
        <v>135.57</v>
      </c>
      <c r="AE459" s="154"/>
      <c r="AG459" s="174">
        <v>135.57</v>
      </c>
      <c r="AH459" s="178">
        <f>AG459-Table1[[#This Row],[Total Amount]]</f>
        <v>0</v>
      </c>
      <c r="AI459" s="171">
        <f t="shared" ref="AI459:AI497" si="56">AH459/AG459</f>
        <v>0</v>
      </c>
    </row>
    <row r="460" spans="1:35" ht="30" customHeight="1" x14ac:dyDescent="0.3">
      <c r="A460" s="155" t="s">
        <v>429</v>
      </c>
      <c r="B460" s="91" t="s">
        <v>98</v>
      </c>
      <c r="C460" s="146">
        <v>60</v>
      </c>
      <c r="D460" s="146">
        <v>79061</v>
      </c>
      <c r="E460" s="146"/>
      <c r="F460" s="147" t="s">
        <v>430</v>
      </c>
      <c r="G460" s="17" t="s">
        <v>528</v>
      </c>
      <c r="H460" s="146" t="s">
        <v>222</v>
      </c>
      <c r="I460" s="146">
        <v>1</v>
      </c>
      <c r="J460" s="146">
        <v>2.5</v>
      </c>
      <c r="K460" s="146">
        <v>1.3</v>
      </c>
      <c r="L460" s="146">
        <v>3.7</v>
      </c>
      <c r="M460" s="146">
        <v>1</v>
      </c>
      <c r="N460" s="148" t="s">
        <v>56</v>
      </c>
      <c r="O460" s="148">
        <f t="shared" si="49"/>
        <v>1</v>
      </c>
      <c r="P460" s="125">
        <v>44891</v>
      </c>
      <c r="Q460" s="149"/>
      <c r="R460" s="150">
        <v>1</v>
      </c>
      <c r="S460" s="150">
        <v>1</v>
      </c>
      <c r="T460" s="150">
        <v>0</v>
      </c>
      <c r="U460" s="151">
        <f>IF(ISBLANK(Table1[[#This Row],[OHC Date]]),$B$7-Table1[[#This Row],[HOC Date]]+1,Table1[[#This Row],[OHC Date]]-Table1[[#This Row],[HOC Date]]+1)/7</f>
        <v>4.2857142857142856</v>
      </c>
      <c r="V460" s="152">
        <v>1278.3599999999999</v>
      </c>
      <c r="W460" s="152">
        <v>29.12</v>
      </c>
      <c r="X460" s="152">
        <f>ROUND(0.7*Table1[[#This Row],[E&amp;D Rate per unit]]*R460*Table1[[#This Row],[Quantity]],2)</f>
        <v>894.85</v>
      </c>
      <c r="Y460" s="152">
        <f t="shared" si="50"/>
        <v>124.8</v>
      </c>
      <c r="Z460" s="152">
        <f>ROUND(0.3*T460*Table1[[#This Row],[E&amp;D Rate per unit]]*Table1[[#This Row],[Quantity]],2)</f>
        <v>0</v>
      </c>
      <c r="AA460" s="19">
        <v>1</v>
      </c>
      <c r="AB460" s="163">
        <f>ROUND(X460+Z460+Y460,2)*Table1[[#This Row],[Until WA Approved Only Approved this %]]/4*3.7</f>
        <v>943.17624999999998</v>
      </c>
      <c r="AC460" s="153"/>
      <c r="AD460" s="153">
        <f>Table1[[#This Row],[Total Amount]]-Table1[[#This Row],[Previous Amount]]</f>
        <v>943.17624999999998</v>
      </c>
      <c r="AE460" s="182" t="s">
        <v>529</v>
      </c>
      <c r="AG460" s="174">
        <v>1019.65</v>
      </c>
      <c r="AH460" s="178">
        <f>AG460-Table1[[#This Row],[Total Amount]]</f>
        <v>76.473749999999995</v>
      </c>
      <c r="AI460" s="171">
        <f t="shared" si="56"/>
        <v>7.4999999999999997E-2</v>
      </c>
    </row>
    <row r="461" spans="1:35" ht="30" customHeight="1" x14ac:dyDescent="0.3">
      <c r="A461" s="91" t="s">
        <v>91</v>
      </c>
      <c r="B461" s="91" t="s">
        <v>98</v>
      </c>
      <c r="C461" s="146" t="s">
        <v>350</v>
      </c>
      <c r="D461" s="146">
        <v>79061</v>
      </c>
      <c r="E461" s="146"/>
      <c r="F461" s="147" t="s">
        <v>430</v>
      </c>
      <c r="G461" s="17" t="s">
        <v>528</v>
      </c>
      <c r="H461" s="109" t="s">
        <v>129</v>
      </c>
      <c r="I461" s="146">
        <v>1</v>
      </c>
      <c r="J461" s="146">
        <v>2</v>
      </c>
      <c r="K461" s="146">
        <v>1.3</v>
      </c>
      <c r="L461" s="146">
        <v>1</v>
      </c>
      <c r="M461" s="146">
        <v>1</v>
      </c>
      <c r="N461" s="148" t="s">
        <v>162</v>
      </c>
      <c r="O461" s="148">
        <f t="shared" ref="O461:O471" si="57">ROUND(IF(N461="m3",I461*J461*K461*L461,IF(N461="m2-LxH",I461*J461*L461,IF(N461="m2-LxW",I461*J461*K461,IF(N461="rm",I461*L461,IF(N461="lm",I461*J461,IF(N461="unit",I461,"NA")))))),2)</f>
        <v>2.6</v>
      </c>
      <c r="P461" s="125">
        <v>44891</v>
      </c>
      <c r="Q461" s="149"/>
      <c r="R461" s="150">
        <v>1</v>
      </c>
      <c r="S461" s="150">
        <v>1</v>
      </c>
      <c r="T461" s="150">
        <v>0</v>
      </c>
      <c r="U461" s="151">
        <f>IF(ISBLANK(Table1[[#This Row],[OHC Date]]),$B$7-Table1[[#This Row],[HOC Date]]+1,Table1[[#This Row],[OHC Date]]-Table1[[#This Row],[HOC Date]]+1)/7</f>
        <v>4.2857142857142856</v>
      </c>
      <c r="V461" s="152">
        <v>36.520000000000003</v>
      </c>
      <c r="W461" s="152">
        <v>2.94</v>
      </c>
      <c r="X461" s="152">
        <f>ROUND(0.7*Table1[[#This Row],[E&amp;D Rate per unit]]*R461*Table1[[#This Row],[Quantity]],2)</f>
        <v>66.47</v>
      </c>
      <c r="Y461" s="152">
        <f t="shared" ref="Y461:Y471" si="58">ROUND(O461*U461*W461*S461,2)</f>
        <v>32.76</v>
      </c>
      <c r="Z461" s="152">
        <f>ROUND(0.3*T461*Table1[[#This Row],[E&amp;D Rate per unit]]*Table1[[#This Row],[Quantity]],2)</f>
        <v>0</v>
      </c>
      <c r="AA461" s="112">
        <v>1</v>
      </c>
      <c r="AB461" s="21">
        <f>ROUND(X461+Z461+Y461,2)*Table1[[#This Row],[Until WA Approved Only Approved this %]]</f>
        <v>99.23</v>
      </c>
      <c r="AC461" s="153"/>
      <c r="AD461" s="153">
        <f>Table1[[#This Row],[Total Amount]]-Table1[[#This Row],[Previous Amount]]</f>
        <v>99.23</v>
      </c>
      <c r="AE461" s="154"/>
      <c r="AG461" s="174">
        <v>99.23</v>
      </c>
      <c r="AH461" s="178">
        <f>AG461-Table1[[#This Row],[Total Amount]]</f>
        <v>0</v>
      </c>
      <c r="AI461" s="171">
        <f t="shared" si="56"/>
        <v>0</v>
      </c>
    </row>
    <row r="462" spans="1:35" ht="30" customHeight="1" x14ac:dyDescent="0.3">
      <c r="A462" s="91" t="s">
        <v>91</v>
      </c>
      <c r="B462" s="91" t="s">
        <v>98</v>
      </c>
      <c r="C462" s="146">
        <v>61</v>
      </c>
      <c r="D462" s="146">
        <v>79062</v>
      </c>
      <c r="E462" s="146">
        <v>76840</v>
      </c>
      <c r="F462" s="147" t="s">
        <v>530</v>
      </c>
      <c r="G462" s="17" t="s">
        <v>228</v>
      </c>
      <c r="H462" s="109" t="s">
        <v>120</v>
      </c>
      <c r="I462" s="146">
        <v>1</v>
      </c>
      <c r="J462" s="146">
        <v>29.3</v>
      </c>
      <c r="K462" s="146">
        <v>2.5</v>
      </c>
      <c r="L462" s="146">
        <v>2</v>
      </c>
      <c r="M462" s="146">
        <v>1</v>
      </c>
      <c r="N462" s="92" t="s">
        <v>208</v>
      </c>
      <c r="O462" s="92">
        <f t="shared" si="57"/>
        <v>58.6</v>
      </c>
      <c r="P462" s="125">
        <v>44893</v>
      </c>
      <c r="Q462" s="149">
        <v>44900</v>
      </c>
      <c r="R462" s="150">
        <v>1</v>
      </c>
      <c r="S462" s="150">
        <v>1</v>
      </c>
      <c r="T462" s="150">
        <v>1</v>
      </c>
      <c r="U462" s="151">
        <f>IF(ISBLANK(Table1[[#This Row],[OHC Date]]),$B$7-Table1[[#This Row],[HOC Date]]+1,Table1[[#This Row],[OHC Date]]-Table1[[#This Row],[HOC Date]]+1)/7</f>
        <v>1.1428571428571428</v>
      </c>
      <c r="V462" s="114">
        <v>16.760000000000002</v>
      </c>
      <c r="W462" s="114">
        <v>0.77</v>
      </c>
      <c r="X462" s="152">
        <f>ROUND(0.7*Table1[[#This Row],[E&amp;D Rate per unit]]*R462*Table1[[#This Row],[Quantity]],2)</f>
        <v>687.5</v>
      </c>
      <c r="Y462" s="152">
        <f t="shared" si="58"/>
        <v>51.57</v>
      </c>
      <c r="Z462" s="152">
        <f>ROUND(0.3*T462*Table1[[#This Row],[E&amp;D Rate per unit]]*Table1[[#This Row],[Quantity]],2)</f>
        <v>294.64</v>
      </c>
      <c r="AA462" s="112">
        <v>1</v>
      </c>
      <c r="AB462" s="21">
        <f>ROUND(X462+Z462+Y462,2)*Table1[[#This Row],[Until WA Approved Only Approved this %]]</f>
        <v>1033.71</v>
      </c>
      <c r="AC462" s="153"/>
      <c r="AD462" s="153">
        <f>Table1[[#This Row],[Total Amount]]-Table1[[#This Row],[Previous Amount]]</f>
        <v>1033.71</v>
      </c>
      <c r="AE462" s="154"/>
      <c r="AG462" s="174">
        <v>1033.71</v>
      </c>
      <c r="AH462" s="178">
        <f>AG462-Table1[[#This Row],[Total Amount]]</f>
        <v>0</v>
      </c>
      <c r="AI462" s="171">
        <f t="shared" si="56"/>
        <v>0</v>
      </c>
    </row>
    <row r="463" spans="1:35" ht="30" customHeight="1" x14ac:dyDescent="0.3">
      <c r="A463" s="155" t="s">
        <v>429</v>
      </c>
      <c r="B463" s="91" t="s">
        <v>98</v>
      </c>
      <c r="C463" s="146">
        <v>62</v>
      </c>
      <c r="D463" s="146">
        <v>79063</v>
      </c>
      <c r="E463" s="146"/>
      <c r="F463" s="147" t="s">
        <v>499</v>
      </c>
      <c r="G463" s="17" t="s">
        <v>531</v>
      </c>
      <c r="H463" s="146" t="s">
        <v>222</v>
      </c>
      <c r="I463" s="146">
        <v>1</v>
      </c>
      <c r="J463" s="146">
        <v>2.5</v>
      </c>
      <c r="K463" s="146">
        <v>1.8</v>
      </c>
      <c r="L463" s="146">
        <v>4</v>
      </c>
      <c r="M463" s="146">
        <v>1</v>
      </c>
      <c r="N463" s="148" t="s">
        <v>56</v>
      </c>
      <c r="O463" s="148">
        <f t="shared" si="57"/>
        <v>1</v>
      </c>
      <c r="P463" s="125">
        <v>44893</v>
      </c>
      <c r="Q463" s="149"/>
      <c r="R463" s="150">
        <v>1</v>
      </c>
      <c r="S463" s="150">
        <v>1</v>
      </c>
      <c r="T463" s="150">
        <v>0</v>
      </c>
      <c r="U463" s="151">
        <f>IF(ISBLANK(Table1[[#This Row],[OHC Date]]),$B$7-Table1[[#This Row],[HOC Date]]+1,Table1[[#This Row],[OHC Date]]-Table1[[#This Row],[HOC Date]]+1)/7</f>
        <v>4</v>
      </c>
      <c r="V463" s="152">
        <v>1278.3599999999999</v>
      </c>
      <c r="W463" s="152">
        <v>29.12</v>
      </c>
      <c r="X463" s="152">
        <f>ROUND(0.7*Table1[[#This Row],[E&amp;D Rate per unit]]*R463*Table1[[#This Row],[Quantity]],2)</f>
        <v>894.85</v>
      </c>
      <c r="Y463" s="152">
        <f t="shared" si="58"/>
        <v>116.48</v>
      </c>
      <c r="Z463" s="152">
        <f>ROUND(0.3*T463*Table1[[#This Row],[E&amp;D Rate per unit]]*Table1[[#This Row],[Quantity]],2)</f>
        <v>0</v>
      </c>
      <c r="AA463" s="19">
        <v>1</v>
      </c>
      <c r="AB463" s="21">
        <f>ROUND(X463+Z463+Y463,2)*Table1[[#This Row],[Until WA Approved Only Approved this %]]</f>
        <v>1011.33</v>
      </c>
      <c r="AC463" s="153"/>
      <c r="AD463" s="153">
        <f>Table1[[#This Row],[Total Amount]]-Table1[[#This Row],[Previous Amount]]</f>
        <v>1011.33</v>
      </c>
      <c r="AE463" s="182" t="s">
        <v>532</v>
      </c>
      <c r="AG463" s="174">
        <v>1011.33</v>
      </c>
      <c r="AH463" s="178">
        <f>AG463-Table1[[#This Row],[Total Amount]]</f>
        <v>0</v>
      </c>
      <c r="AI463" s="171">
        <f t="shared" si="56"/>
        <v>0</v>
      </c>
    </row>
    <row r="464" spans="1:35" ht="30" customHeight="1" x14ac:dyDescent="0.3">
      <c r="A464" s="91" t="s">
        <v>91</v>
      </c>
      <c r="B464" s="91" t="s">
        <v>98</v>
      </c>
      <c r="C464" s="146" t="s">
        <v>533</v>
      </c>
      <c r="D464" s="146">
        <v>79063</v>
      </c>
      <c r="E464" s="146"/>
      <c r="F464" s="147" t="s">
        <v>499</v>
      </c>
      <c r="G464" s="17" t="s">
        <v>531</v>
      </c>
      <c r="H464" s="109" t="s">
        <v>129</v>
      </c>
      <c r="I464" s="146">
        <v>1</v>
      </c>
      <c r="J464" s="146">
        <v>1.5</v>
      </c>
      <c r="K464" s="146">
        <v>1</v>
      </c>
      <c r="L464" s="146">
        <v>1</v>
      </c>
      <c r="M464" s="146">
        <v>1</v>
      </c>
      <c r="N464" s="148" t="s">
        <v>162</v>
      </c>
      <c r="O464" s="148">
        <f t="shared" si="57"/>
        <v>1.5</v>
      </c>
      <c r="P464" s="125">
        <v>44893</v>
      </c>
      <c r="Q464" s="149"/>
      <c r="R464" s="150">
        <v>1</v>
      </c>
      <c r="S464" s="150">
        <v>1</v>
      </c>
      <c r="T464" s="150">
        <v>0</v>
      </c>
      <c r="U464" s="151">
        <f>IF(ISBLANK(Table1[[#This Row],[OHC Date]]),$B$7-Table1[[#This Row],[HOC Date]]+1,Table1[[#This Row],[OHC Date]]-Table1[[#This Row],[HOC Date]]+1)/7</f>
        <v>4</v>
      </c>
      <c r="V464" s="152">
        <v>36.520000000000003</v>
      </c>
      <c r="W464" s="152">
        <v>2.94</v>
      </c>
      <c r="X464" s="152">
        <f>ROUND(0.7*Table1[[#This Row],[E&amp;D Rate per unit]]*R464*Table1[[#This Row],[Quantity]],2)</f>
        <v>38.35</v>
      </c>
      <c r="Y464" s="152">
        <f t="shared" si="58"/>
        <v>17.64</v>
      </c>
      <c r="Z464" s="152">
        <f>ROUND(0.3*T464*Table1[[#This Row],[E&amp;D Rate per unit]]*Table1[[#This Row],[Quantity]],2)</f>
        <v>0</v>
      </c>
      <c r="AA464" s="112">
        <v>1</v>
      </c>
      <c r="AB464" s="21">
        <f>ROUND(X464+Z464+Y464,2)*Table1[[#This Row],[Until WA Approved Only Approved this %]]</f>
        <v>55.99</v>
      </c>
      <c r="AC464" s="153"/>
      <c r="AD464" s="153">
        <f>Table1[[#This Row],[Total Amount]]-Table1[[#This Row],[Previous Amount]]</f>
        <v>55.99</v>
      </c>
      <c r="AE464" s="154"/>
      <c r="AG464" s="174">
        <v>55.99</v>
      </c>
      <c r="AH464" s="178">
        <f>AG464-Table1[[#This Row],[Total Amount]]</f>
        <v>0</v>
      </c>
      <c r="AI464" s="171">
        <f t="shared" si="56"/>
        <v>0</v>
      </c>
    </row>
    <row r="465" spans="1:35" ht="30" customHeight="1" x14ac:dyDescent="0.3">
      <c r="A465" s="91" t="s">
        <v>91</v>
      </c>
      <c r="B465" s="91" t="s">
        <v>98</v>
      </c>
      <c r="C465" s="146">
        <v>63</v>
      </c>
      <c r="D465" s="146">
        <v>79064</v>
      </c>
      <c r="E465" s="146">
        <v>76841</v>
      </c>
      <c r="F465" s="147" t="s">
        <v>534</v>
      </c>
      <c r="G465" s="17" t="s">
        <v>228</v>
      </c>
      <c r="H465" s="146" t="s">
        <v>222</v>
      </c>
      <c r="I465" s="146">
        <v>1</v>
      </c>
      <c r="J465" s="146">
        <v>2.5</v>
      </c>
      <c r="K465" s="146">
        <v>1.3</v>
      </c>
      <c r="L465" s="146">
        <v>3.5</v>
      </c>
      <c r="M465" s="146">
        <v>1</v>
      </c>
      <c r="N465" s="148" t="s">
        <v>223</v>
      </c>
      <c r="O465" s="148">
        <f t="shared" si="57"/>
        <v>3.5</v>
      </c>
      <c r="P465" s="125">
        <v>44894</v>
      </c>
      <c r="Q465" s="149">
        <v>44900</v>
      </c>
      <c r="R465" s="150">
        <v>1</v>
      </c>
      <c r="S465" s="150">
        <v>1</v>
      </c>
      <c r="T465" s="150">
        <v>1</v>
      </c>
      <c r="U465" s="151">
        <f>IF(ISBLANK(Table1[[#This Row],[OHC Date]]),$B$7-Table1[[#This Row],[HOC Date]]+1,Table1[[#This Row],[OHC Date]]-Table1[[#This Row],[HOC Date]]+1)/7</f>
        <v>1</v>
      </c>
      <c r="V465" s="152">
        <v>63.34</v>
      </c>
      <c r="W465" s="152">
        <v>7.28</v>
      </c>
      <c r="X465" s="152">
        <f>ROUND(0.7*Table1[[#This Row],[E&amp;D Rate per unit]]*R465*Table1[[#This Row],[Quantity]],2)</f>
        <v>155.18</v>
      </c>
      <c r="Y465" s="152">
        <f t="shared" si="58"/>
        <v>25.48</v>
      </c>
      <c r="Z465" s="152">
        <f>ROUND(0.3*T465*Table1[[#This Row],[E&amp;D Rate per unit]]*Table1[[#This Row],[Quantity]],2)</f>
        <v>66.510000000000005</v>
      </c>
      <c r="AA465" s="112">
        <v>1</v>
      </c>
      <c r="AB465" s="21">
        <f>ROUND(X465+Z465+Y465,2)*Table1[[#This Row],[Until WA Approved Only Approved this %]]</f>
        <v>247.17</v>
      </c>
      <c r="AC465" s="153"/>
      <c r="AD465" s="153">
        <f>Table1[[#This Row],[Total Amount]]-Table1[[#This Row],[Previous Amount]]</f>
        <v>247.17</v>
      </c>
      <c r="AE465" s="154"/>
      <c r="AG465" s="174">
        <v>247.17</v>
      </c>
      <c r="AH465" s="178">
        <f>AG465-Table1[[#This Row],[Total Amount]]</f>
        <v>0</v>
      </c>
      <c r="AI465" s="171">
        <f t="shared" si="56"/>
        <v>0</v>
      </c>
    </row>
    <row r="466" spans="1:35" ht="30" customHeight="1" x14ac:dyDescent="0.3">
      <c r="A466" s="91" t="s">
        <v>91</v>
      </c>
      <c r="B466" s="91" t="s">
        <v>98</v>
      </c>
      <c r="C466" s="146" t="s">
        <v>384</v>
      </c>
      <c r="D466" s="146">
        <v>79065</v>
      </c>
      <c r="E466" s="146">
        <v>76838</v>
      </c>
      <c r="F466" s="147" t="s">
        <v>530</v>
      </c>
      <c r="G466" s="17" t="s">
        <v>228</v>
      </c>
      <c r="H466" s="109" t="s">
        <v>120</v>
      </c>
      <c r="I466" s="146">
        <v>1</v>
      </c>
      <c r="J466" s="146">
        <v>15</v>
      </c>
      <c r="K466" s="146">
        <v>2.5</v>
      </c>
      <c r="L466" s="146">
        <v>2.2999999999999998</v>
      </c>
      <c r="M466" s="146">
        <v>1</v>
      </c>
      <c r="N466" s="92" t="s">
        <v>208</v>
      </c>
      <c r="O466" s="92">
        <f t="shared" si="57"/>
        <v>34.5</v>
      </c>
      <c r="P466" s="125">
        <v>44894</v>
      </c>
      <c r="Q466" s="149">
        <v>44895</v>
      </c>
      <c r="R466" s="150">
        <v>1</v>
      </c>
      <c r="S466" s="150">
        <v>1</v>
      </c>
      <c r="T466" s="150">
        <v>1</v>
      </c>
      <c r="U466" s="151">
        <f>IF(ISBLANK(Table1[[#This Row],[OHC Date]]),$B$7-Table1[[#This Row],[HOC Date]]+1,Table1[[#This Row],[OHC Date]]-Table1[[#This Row],[HOC Date]]+1)/7</f>
        <v>0.2857142857142857</v>
      </c>
      <c r="V466" s="114">
        <v>16.760000000000002</v>
      </c>
      <c r="W466" s="114">
        <v>0.77</v>
      </c>
      <c r="X466" s="152">
        <f>ROUND(0.7*Table1[[#This Row],[E&amp;D Rate per unit]]*R466*Table1[[#This Row],[Quantity]],2)</f>
        <v>404.75</v>
      </c>
      <c r="Y466" s="152">
        <f t="shared" si="58"/>
        <v>7.59</v>
      </c>
      <c r="Z466" s="152">
        <f>ROUND(0.3*T466*Table1[[#This Row],[E&amp;D Rate per unit]]*Table1[[#This Row],[Quantity]],2)</f>
        <v>173.47</v>
      </c>
      <c r="AA466" s="112">
        <v>1</v>
      </c>
      <c r="AB466" s="21">
        <f>ROUND(X466+Z466+Y466,2)*Table1[[#This Row],[Until WA Approved Only Approved this %]]</f>
        <v>585.80999999999995</v>
      </c>
      <c r="AC466" s="153"/>
      <c r="AD466" s="153">
        <f>Table1[[#This Row],[Total Amount]]-Table1[[#This Row],[Previous Amount]]</f>
        <v>585.80999999999995</v>
      </c>
      <c r="AE466" s="154"/>
      <c r="AG466" s="174">
        <v>585.80999999999995</v>
      </c>
      <c r="AH466" s="178">
        <f>AG466-Table1[[#This Row],[Total Amount]]</f>
        <v>0</v>
      </c>
      <c r="AI466" s="171">
        <f t="shared" si="56"/>
        <v>0</v>
      </c>
    </row>
    <row r="467" spans="1:35" ht="30" customHeight="1" x14ac:dyDescent="0.3">
      <c r="A467" s="91" t="s">
        <v>91</v>
      </c>
      <c r="B467" s="91" t="s">
        <v>98</v>
      </c>
      <c r="C467" s="146" t="s">
        <v>535</v>
      </c>
      <c r="D467" s="146">
        <v>79066</v>
      </c>
      <c r="E467" s="146"/>
      <c r="F467" s="147" t="s">
        <v>310</v>
      </c>
      <c r="G467" s="17" t="s">
        <v>450</v>
      </c>
      <c r="H467" s="146" t="s">
        <v>311</v>
      </c>
      <c r="I467" s="146">
        <v>1</v>
      </c>
      <c r="J467" s="146">
        <v>8</v>
      </c>
      <c r="K467" s="146">
        <v>1</v>
      </c>
      <c r="L467" s="146">
        <v>1</v>
      </c>
      <c r="M467" s="146"/>
      <c r="N467" s="148" t="s">
        <v>285</v>
      </c>
      <c r="O467" s="148">
        <f t="shared" si="57"/>
        <v>8</v>
      </c>
      <c r="P467" s="125">
        <v>44895</v>
      </c>
      <c r="Q467" s="149"/>
      <c r="R467" s="150">
        <v>1</v>
      </c>
      <c r="S467" s="150">
        <v>1</v>
      </c>
      <c r="T467" s="150">
        <v>0</v>
      </c>
      <c r="U467" s="151">
        <f>IF(ISBLANK(Table1[[#This Row],[OHC Date]]),$B$7-Table1[[#This Row],[HOC Date]]+1,Table1[[#This Row],[OHC Date]]-Table1[[#This Row],[HOC Date]]+1)/7</f>
        <v>3.7142857142857144</v>
      </c>
      <c r="V467" s="152">
        <v>15</v>
      </c>
      <c r="W467" s="152">
        <v>0.91</v>
      </c>
      <c r="X467" s="152">
        <f>ROUND(0.7*Table1[[#This Row],[E&amp;D Rate per unit]]*R467*Table1[[#This Row],[Quantity]],2)</f>
        <v>84</v>
      </c>
      <c r="Y467" s="152">
        <f t="shared" si="58"/>
        <v>27.04</v>
      </c>
      <c r="Z467" s="152">
        <f>ROUND(0.3*T467*Table1[[#This Row],[E&amp;D Rate per unit]]*Table1[[#This Row],[Quantity]],2)</f>
        <v>0</v>
      </c>
      <c r="AA467" s="112">
        <v>1</v>
      </c>
      <c r="AB467" s="21">
        <f>ROUND(X467+Z467+Y467,2)*Table1[[#This Row],[Until WA Approved Only Approved this %]]</f>
        <v>111.04</v>
      </c>
      <c r="AC467" s="153"/>
      <c r="AD467" s="153">
        <f>Table1[[#This Row],[Total Amount]]-Table1[[#This Row],[Previous Amount]]</f>
        <v>111.04</v>
      </c>
      <c r="AE467" s="154"/>
      <c r="AG467" s="174">
        <v>111.04</v>
      </c>
      <c r="AH467" s="178">
        <f>AG467-Table1[[#This Row],[Total Amount]]</f>
        <v>0</v>
      </c>
      <c r="AI467" s="171">
        <f t="shared" si="56"/>
        <v>0</v>
      </c>
    </row>
    <row r="468" spans="1:35" ht="30" customHeight="1" x14ac:dyDescent="0.3">
      <c r="A468" s="91" t="s">
        <v>91</v>
      </c>
      <c r="B468" s="91" t="s">
        <v>98</v>
      </c>
      <c r="C468" s="146" t="s">
        <v>536</v>
      </c>
      <c r="D468" s="146">
        <v>79067</v>
      </c>
      <c r="E468" s="146"/>
      <c r="F468" s="147" t="s">
        <v>537</v>
      </c>
      <c r="G468" s="17" t="s">
        <v>538</v>
      </c>
      <c r="H468" s="146" t="s">
        <v>222</v>
      </c>
      <c r="I468" s="146">
        <v>1</v>
      </c>
      <c r="J468" s="146">
        <v>2.5</v>
      </c>
      <c r="K468" s="146">
        <v>1</v>
      </c>
      <c r="L468" s="146">
        <v>1.5</v>
      </c>
      <c r="M468" s="146">
        <v>1</v>
      </c>
      <c r="N468" s="148" t="s">
        <v>223</v>
      </c>
      <c r="O468" s="148">
        <f t="shared" si="57"/>
        <v>1.5</v>
      </c>
      <c r="P468" s="125">
        <v>44895</v>
      </c>
      <c r="Q468" s="149"/>
      <c r="R468" s="150">
        <v>1</v>
      </c>
      <c r="S468" s="150">
        <v>1</v>
      </c>
      <c r="T468" s="150">
        <v>0</v>
      </c>
      <c r="U468" s="151">
        <f>IF(ISBLANK(Table1[[#This Row],[OHC Date]]),$B$7-Table1[[#This Row],[HOC Date]]+1,Table1[[#This Row],[OHC Date]]-Table1[[#This Row],[HOC Date]]+1)/7</f>
        <v>3.7142857142857144</v>
      </c>
      <c r="V468" s="152">
        <v>63.34</v>
      </c>
      <c r="W468" s="152">
        <v>7.28</v>
      </c>
      <c r="X468" s="152">
        <f>ROUND(0.7*Table1[[#This Row],[E&amp;D Rate per unit]]*R468*Table1[[#This Row],[Quantity]],2)</f>
        <v>66.510000000000005</v>
      </c>
      <c r="Y468" s="152">
        <f t="shared" si="58"/>
        <v>40.56</v>
      </c>
      <c r="Z468" s="152">
        <f>ROUND(0.3*T468*Table1[[#This Row],[E&amp;D Rate per unit]]*Table1[[#This Row],[Quantity]],2)</f>
        <v>0</v>
      </c>
      <c r="AA468" s="112">
        <v>1</v>
      </c>
      <c r="AB468" s="21">
        <f>ROUND(X468+Z468+Y468,2)*Table1[[#This Row],[Until WA Approved Only Approved this %]]</f>
        <v>107.07</v>
      </c>
      <c r="AC468" s="153"/>
      <c r="AD468" s="153">
        <f>Table1[[#This Row],[Total Amount]]-Table1[[#This Row],[Previous Amount]]</f>
        <v>107.07</v>
      </c>
      <c r="AE468" s="154"/>
      <c r="AG468" s="174">
        <v>107.07</v>
      </c>
      <c r="AH468" s="178">
        <f>AG468-Table1[[#This Row],[Total Amount]]</f>
        <v>0</v>
      </c>
      <c r="AI468" s="171">
        <f t="shared" si="56"/>
        <v>0</v>
      </c>
    </row>
    <row r="469" spans="1:35" ht="30" customHeight="1" x14ac:dyDescent="0.3">
      <c r="A469" s="91" t="s">
        <v>91</v>
      </c>
      <c r="B469" s="91" t="s">
        <v>98</v>
      </c>
      <c r="C469" s="146" t="s">
        <v>539</v>
      </c>
      <c r="D469" s="146">
        <v>79068</v>
      </c>
      <c r="E469" s="146"/>
      <c r="F469" s="147" t="s">
        <v>540</v>
      </c>
      <c r="G469" s="17" t="s">
        <v>202</v>
      </c>
      <c r="H469" s="109" t="s">
        <v>129</v>
      </c>
      <c r="I469" s="146">
        <v>1</v>
      </c>
      <c r="J469" s="146">
        <v>14.5</v>
      </c>
      <c r="K469" s="146">
        <v>0.75</v>
      </c>
      <c r="L469" s="146">
        <v>1</v>
      </c>
      <c r="M469" s="146">
        <v>1</v>
      </c>
      <c r="N469" s="148" t="s">
        <v>162</v>
      </c>
      <c r="O469" s="148">
        <f t="shared" si="57"/>
        <v>10.88</v>
      </c>
      <c r="P469" s="125">
        <v>44900</v>
      </c>
      <c r="Q469" s="149"/>
      <c r="R469" s="150">
        <v>1</v>
      </c>
      <c r="S469" s="150">
        <v>1</v>
      </c>
      <c r="T469" s="150">
        <v>0</v>
      </c>
      <c r="U469" s="151">
        <f>IF(ISBLANK(Table1[[#This Row],[OHC Date]]),$B$7-Table1[[#This Row],[HOC Date]]+1,Table1[[#This Row],[OHC Date]]-Table1[[#This Row],[HOC Date]]+1)/7</f>
        <v>3</v>
      </c>
      <c r="V469" s="152">
        <v>36.520000000000003</v>
      </c>
      <c r="W469" s="152">
        <v>2.94</v>
      </c>
      <c r="X469" s="152">
        <f>ROUND(0.7*Table1[[#This Row],[E&amp;D Rate per unit]]*R469*Table1[[#This Row],[Quantity]],2)</f>
        <v>278.14</v>
      </c>
      <c r="Y469" s="152">
        <f t="shared" si="58"/>
        <v>95.96</v>
      </c>
      <c r="Z469" s="152">
        <f>ROUND(0.3*T469*Table1[[#This Row],[E&amp;D Rate per unit]]*Table1[[#This Row],[Quantity]],2)</f>
        <v>0</v>
      </c>
      <c r="AA469" s="112">
        <v>1</v>
      </c>
      <c r="AB469" s="21">
        <f>ROUND(X469+Z469+Y469,2)*Table1[[#This Row],[Until WA Approved Only Approved this %]]</f>
        <v>374.1</v>
      </c>
      <c r="AC469" s="153"/>
      <c r="AD469" s="153">
        <f>Table1[[#This Row],[Total Amount]]-Table1[[#This Row],[Previous Amount]]</f>
        <v>374.1</v>
      </c>
      <c r="AE469" s="154"/>
      <c r="AG469" s="174">
        <v>374.1</v>
      </c>
      <c r="AH469" s="178">
        <f>AG469-Table1[[#This Row],[Total Amount]]</f>
        <v>0</v>
      </c>
      <c r="AI469" s="171">
        <f t="shared" si="56"/>
        <v>0</v>
      </c>
    </row>
    <row r="470" spans="1:35" ht="30" customHeight="1" x14ac:dyDescent="0.3">
      <c r="A470" s="91" t="s">
        <v>91</v>
      </c>
      <c r="B470" s="91" t="s">
        <v>98</v>
      </c>
      <c r="C470" s="146">
        <v>64</v>
      </c>
      <c r="D470" s="146">
        <v>79069</v>
      </c>
      <c r="E470" s="146"/>
      <c r="F470" s="147" t="s">
        <v>541</v>
      </c>
      <c r="G470" s="17" t="s">
        <v>202</v>
      </c>
      <c r="H470" s="146" t="s">
        <v>207</v>
      </c>
      <c r="I470" s="146">
        <v>1</v>
      </c>
      <c r="J470" s="146">
        <v>6.8</v>
      </c>
      <c r="K470" s="146">
        <v>0.9</v>
      </c>
      <c r="L470" s="146">
        <v>3</v>
      </c>
      <c r="M470" s="146">
        <v>1</v>
      </c>
      <c r="N470" s="148" t="s">
        <v>208</v>
      </c>
      <c r="O470" s="148">
        <f t="shared" si="57"/>
        <v>20.399999999999999</v>
      </c>
      <c r="P470" s="125">
        <v>44902</v>
      </c>
      <c r="Q470" s="149"/>
      <c r="R470" s="150">
        <v>1</v>
      </c>
      <c r="S470" s="150">
        <v>1</v>
      </c>
      <c r="T470" s="150">
        <v>0</v>
      </c>
      <c r="U470" s="151">
        <f>IF(ISBLANK(Table1[[#This Row],[OHC Date]]),$B$7-Table1[[#This Row],[HOC Date]]+1,Table1[[#This Row],[OHC Date]]-Table1[[#This Row],[HOC Date]]+1)/7</f>
        <v>2.7142857142857144</v>
      </c>
      <c r="V470" s="152">
        <v>12.01</v>
      </c>
      <c r="W470" s="152">
        <v>0.49</v>
      </c>
      <c r="X470" s="152">
        <f>ROUND(0.7*Table1[[#This Row],[E&amp;D Rate per unit]]*R470*Table1[[#This Row],[Quantity]],2)</f>
        <v>171.5</v>
      </c>
      <c r="Y470" s="152">
        <f t="shared" si="58"/>
        <v>27.13</v>
      </c>
      <c r="Z470" s="152">
        <f>ROUND(0.3*T470*Table1[[#This Row],[E&amp;D Rate per unit]]*Table1[[#This Row],[Quantity]],2)</f>
        <v>0</v>
      </c>
      <c r="AA470" s="112">
        <v>1</v>
      </c>
      <c r="AB470" s="21">
        <f>ROUND(X470+Z470+Y470,2)*Table1[[#This Row],[Until WA Approved Only Approved this %]]</f>
        <v>198.63</v>
      </c>
      <c r="AC470" s="153"/>
      <c r="AD470" s="153">
        <f>Table1[[#This Row],[Total Amount]]-Table1[[#This Row],[Previous Amount]]</f>
        <v>198.63</v>
      </c>
      <c r="AE470" s="154"/>
      <c r="AG470" s="174">
        <v>198.63</v>
      </c>
      <c r="AH470" s="178">
        <f>AG470-Table1[[#This Row],[Total Amount]]</f>
        <v>0</v>
      </c>
      <c r="AI470" s="171">
        <f t="shared" si="56"/>
        <v>0</v>
      </c>
    </row>
    <row r="471" spans="1:35" ht="30" customHeight="1" x14ac:dyDescent="0.3">
      <c r="A471" s="91" t="s">
        <v>91</v>
      </c>
      <c r="B471" s="91" t="s">
        <v>98</v>
      </c>
      <c r="C471" s="146" t="s">
        <v>542</v>
      </c>
      <c r="D471" s="146">
        <v>79069</v>
      </c>
      <c r="E471" s="146"/>
      <c r="F471" s="147" t="s">
        <v>541</v>
      </c>
      <c r="G471" s="17" t="s">
        <v>202</v>
      </c>
      <c r="H471" s="146" t="s">
        <v>178</v>
      </c>
      <c r="I471" s="146">
        <v>1</v>
      </c>
      <c r="J471" s="146">
        <v>2.5</v>
      </c>
      <c r="K471" s="146">
        <v>0.9</v>
      </c>
      <c r="L471" s="146">
        <v>1</v>
      </c>
      <c r="M471" s="146">
        <v>1</v>
      </c>
      <c r="N471" s="148" t="s">
        <v>162</v>
      </c>
      <c r="O471" s="148">
        <f t="shared" si="57"/>
        <v>2.25</v>
      </c>
      <c r="P471" s="125">
        <v>44902</v>
      </c>
      <c r="Q471" s="149"/>
      <c r="R471" s="150">
        <v>1</v>
      </c>
      <c r="S471" s="150">
        <v>1</v>
      </c>
      <c r="T471" s="150">
        <v>0</v>
      </c>
      <c r="U471" s="151">
        <f>IF(ISBLANK(Table1[[#This Row],[OHC Date]]),$B$7-Table1[[#This Row],[HOC Date]]+1,Table1[[#This Row],[OHC Date]]-Table1[[#This Row],[HOC Date]]+1)/7</f>
        <v>2.7142857142857144</v>
      </c>
      <c r="V471" s="152">
        <v>6.63</v>
      </c>
      <c r="W471" s="152">
        <v>0.7</v>
      </c>
      <c r="X471" s="152">
        <f>ROUND(0.7*Table1[[#This Row],[E&amp;D Rate per unit]]*R471*Table1[[#This Row],[Quantity]],2)</f>
        <v>10.44</v>
      </c>
      <c r="Y471" s="152">
        <f t="shared" si="58"/>
        <v>4.28</v>
      </c>
      <c r="Z471" s="152">
        <f>ROUND(0.3*T471*Table1[[#This Row],[E&amp;D Rate per unit]]*Table1[[#This Row],[Quantity]],2)</f>
        <v>0</v>
      </c>
      <c r="AA471" s="112">
        <v>1</v>
      </c>
      <c r="AB471" s="21">
        <f>ROUND(X471+Z471+Y471,2)*Table1[[#This Row],[Until WA Approved Only Approved this %]]</f>
        <v>14.72</v>
      </c>
      <c r="AC471" s="153"/>
      <c r="AD471" s="153">
        <f>Table1[[#This Row],[Total Amount]]-Table1[[#This Row],[Previous Amount]]</f>
        <v>14.72</v>
      </c>
      <c r="AE471" s="154"/>
      <c r="AG471" s="174">
        <v>14.72</v>
      </c>
      <c r="AH471" s="178">
        <f>AG471-Table1[[#This Row],[Total Amount]]</f>
        <v>0</v>
      </c>
      <c r="AI471" s="171">
        <f t="shared" si="56"/>
        <v>0</v>
      </c>
    </row>
    <row r="472" spans="1:35" ht="30" customHeight="1" x14ac:dyDescent="0.3">
      <c r="A472" s="91" t="s">
        <v>91</v>
      </c>
      <c r="B472" s="91" t="s">
        <v>98</v>
      </c>
      <c r="C472" s="146">
        <v>65</v>
      </c>
      <c r="D472" s="146">
        <v>79070</v>
      </c>
      <c r="E472" s="146"/>
      <c r="F472" s="147" t="s">
        <v>543</v>
      </c>
      <c r="G472" s="17" t="s">
        <v>225</v>
      </c>
      <c r="H472" s="146" t="s">
        <v>207</v>
      </c>
      <c r="I472" s="146">
        <v>1</v>
      </c>
      <c r="J472" s="146">
        <v>4</v>
      </c>
      <c r="K472" s="146">
        <v>1</v>
      </c>
      <c r="L472" s="146">
        <v>5.5</v>
      </c>
      <c r="M472" s="146">
        <v>1</v>
      </c>
      <c r="N472" s="148" t="s">
        <v>208</v>
      </c>
      <c r="O472" s="148">
        <f t="shared" ref="O472:O480" si="59">ROUND(IF(N472="m3",I472*J472*K472*L472,IF(N472="m2-LxH",I472*J472*L472,IF(N472="m2-LxW",I472*J472*K472,IF(N472="rm",I472*L472,IF(N472="lm",I472*J472,IF(N472="unit",I472,"NA")))))),2)</f>
        <v>22</v>
      </c>
      <c r="P472" s="125">
        <v>44904</v>
      </c>
      <c r="Q472" s="149"/>
      <c r="R472" s="150">
        <v>1</v>
      </c>
      <c r="S472" s="150">
        <v>1</v>
      </c>
      <c r="T472" s="150">
        <v>0</v>
      </c>
      <c r="U472" s="151">
        <f>IF(ISBLANK(Table1[[#This Row],[OHC Date]]),$B$7-Table1[[#This Row],[HOC Date]]+1,Table1[[#This Row],[OHC Date]]-Table1[[#This Row],[HOC Date]]+1)/7</f>
        <v>2.4285714285714284</v>
      </c>
      <c r="V472" s="152">
        <v>12.01</v>
      </c>
      <c r="W472" s="152">
        <v>0.49</v>
      </c>
      <c r="X472" s="152">
        <f>ROUND(0.7*Table1[[#This Row],[E&amp;D Rate per unit]]*R472*Table1[[#This Row],[Quantity]],2)</f>
        <v>184.95</v>
      </c>
      <c r="Y472" s="152">
        <f t="shared" ref="Y472:Y480" si="60">ROUND(O472*U472*W472*S472,2)</f>
        <v>26.18</v>
      </c>
      <c r="Z472" s="152">
        <f>ROUND(0.3*T472*Table1[[#This Row],[E&amp;D Rate per unit]]*Table1[[#This Row],[Quantity]],2)</f>
        <v>0</v>
      </c>
      <c r="AA472" s="112">
        <v>1</v>
      </c>
      <c r="AB472" s="21">
        <f>ROUND(X472+Z472+Y472,2)*Table1[[#This Row],[Until WA Approved Only Approved this %]]</f>
        <v>211.13</v>
      </c>
      <c r="AC472" s="153"/>
      <c r="AD472" s="153">
        <f>Table1[[#This Row],[Total Amount]]-Table1[[#This Row],[Previous Amount]]</f>
        <v>211.13</v>
      </c>
      <c r="AE472" s="154"/>
      <c r="AG472" s="174">
        <v>211.13</v>
      </c>
      <c r="AH472" s="178">
        <f>AG472-Table1[[#This Row],[Total Amount]]</f>
        <v>0</v>
      </c>
      <c r="AI472" s="171">
        <f t="shared" si="56"/>
        <v>0</v>
      </c>
    </row>
    <row r="473" spans="1:35" ht="30" customHeight="1" x14ac:dyDescent="0.3">
      <c r="A473" s="91" t="s">
        <v>91</v>
      </c>
      <c r="B473" s="91" t="s">
        <v>98</v>
      </c>
      <c r="C473" s="146">
        <v>65</v>
      </c>
      <c r="D473" s="146">
        <v>79070</v>
      </c>
      <c r="E473" s="146"/>
      <c r="F473" s="147" t="s">
        <v>543</v>
      </c>
      <c r="G473" s="17" t="s">
        <v>225</v>
      </c>
      <c r="H473" s="146" t="s">
        <v>178</v>
      </c>
      <c r="I473" s="146">
        <v>2</v>
      </c>
      <c r="J473" s="146">
        <v>4</v>
      </c>
      <c r="K473" s="146">
        <v>1</v>
      </c>
      <c r="L473" s="146">
        <v>1</v>
      </c>
      <c r="M473" s="146">
        <v>2</v>
      </c>
      <c r="N473" s="148" t="s">
        <v>162</v>
      </c>
      <c r="O473" s="148">
        <f t="shared" si="59"/>
        <v>8</v>
      </c>
      <c r="P473" s="125">
        <v>44904</v>
      </c>
      <c r="Q473" s="149"/>
      <c r="R473" s="150">
        <v>1</v>
      </c>
      <c r="S473" s="150">
        <v>1</v>
      </c>
      <c r="T473" s="150">
        <v>0</v>
      </c>
      <c r="U473" s="151">
        <f>IF(ISBLANK(Table1[[#This Row],[OHC Date]]),$B$7-Table1[[#This Row],[HOC Date]]+1,Table1[[#This Row],[OHC Date]]-Table1[[#This Row],[HOC Date]]+1)/7</f>
        <v>2.4285714285714284</v>
      </c>
      <c r="V473" s="152">
        <v>6.63</v>
      </c>
      <c r="W473" s="152">
        <v>0.7</v>
      </c>
      <c r="X473" s="152">
        <f>ROUND(0.7*Table1[[#This Row],[E&amp;D Rate per unit]]*R473*Table1[[#This Row],[Quantity]],2)</f>
        <v>37.130000000000003</v>
      </c>
      <c r="Y473" s="152">
        <f t="shared" si="60"/>
        <v>13.6</v>
      </c>
      <c r="Z473" s="152">
        <f>ROUND(0.3*T473*Table1[[#This Row],[E&amp;D Rate per unit]]*Table1[[#This Row],[Quantity]],2)</f>
        <v>0</v>
      </c>
      <c r="AA473" s="112">
        <v>1</v>
      </c>
      <c r="AB473" s="21">
        <f>ROUND(X473+Z473+Y473,2)*Table1[[#This Row],[Until WA Approved Only Approved this %]]</f>
        <v>50.73</v>
      </c>
      <c r="AC473" s="153"/>
      <c r="AD473" s="153">
        <f>Table1[[#This Row],[Total Amount]]-Table1[[#This Row],[Previous Amount]]</f>
        <v>50.73</v>
      </c>
      <c r="AE473" s="154"/>
      <c r="AG473" s="174">
        <v>50.73</v>
      </c>
      <c r="AH473" s="178">
        <f>AG473-Table1[[#This Row],[Total Amount]]</f>
        <v>0</v>
      </c>
      <c r="AI473" s="171">
        <f t="shared" si="56"/>
        <v>0</v>
      </c>
    </row>
    <row r="474" spans="1:35" ht="30" customHeight="1" x14ac:dyDescent="0.3">
      <c r="A474" s="91" t="s">
        <v>91</v>
      </c>
      <c r="B474" s="91" t="s">
        <v>98</v>
      </c>
      <c r="C474" s="146">
        <v>66</v>
      </c>
      <c r="D474" s="146">
        <v>79071</v>
      </c>
      <c r="E474" s="146"/>
      <c r="F474" s="147" t="s">
        <v>544</v>
      </c>
      <c r="G474" s="17" t="s">
        <v>225</v>
      </c>
      <c r="H474" s="146" t="s">
        <v>207</v>
      </c>
      <c r="I474" s="146">
        <v>1</v>
      </c>
      <c r="J474" s="146">
        <v>13.6</v>
      </c>
      <c r="K474" s="146">
        <v>0.9</v>
      </c>
      <c r="L474" s="146">
        <v>1.5</v>
      </c>
      <c r="M474" s="146">
        <v>1</v>
      </c>
      <c r="N474" s="148" t="s">
        <v>208</v>
      </c>
      <c r="O474" s="148">
        <f t="shared" si="59"/>
        <v>20.399999999999999</v>
      </c>
      <c r="P474" s="125">
        <v>44904</v>
      </c>
      <c r="Q474" s="149"/>
      <c r="R474" s="150">
        <v>1</v>
      </c>
      <c r="S474" s="150">
        <v>1</v>
      </c>
      <c r="T474" s="150">
        <v>0</v>
      </c>
      <c r="U474" s="151">
        <f>IF(ISBLANK(Table1[[#This Row],[OHC Date]]),$B$7-Table1[[#This Row],[HOC Date]]+1,Table1[[#This Row],[OHC Date]]-Table1[[#This Row],[HOC Date]]+1)/7</f>
        <v>2.4285714285714284</v>
      </c>
      <c r="V474" s="152">
        <v>12.01</v>
      </c>
      <c r="W474" s="152">
        <v>0.49</v>
      </c>
      <c r="X474" s="152">
        <f>ROUND(0.7*Table1[[#This Row],[E&amp;D Rate per unit]]*R474*Table1[[#This Row],[Quantity]],2)</f>
        <v>171.5</v>
      </c>
      <c r="Y474" s="152">
        <f t="shared" si="60"/>
        <v>24.28</v>
      </c>
      <c r="Z474" s="152">
        <f>ROUND(0.3*T474*Table1[[#This Row],[E&amp;D Rate per unit]]*Table1[[#This Row],[Quantity]],2)</f>
        <v>0</v>
      </c>
      <c r="AA474" s="112">
        <v>1</v>
      </c>
      <c r="AB474" s="21">
        <f>ROUND(X474+Z474+Y474,2)*Table1[[#This Row],[Until WA Approved Only Approved this %]]</f>
        <v>195.78</v>
      </c>
      <c r="AC474" s="153"/>
      <c r="AD474" s="153">
        <f>Table1[[#This Row],[Total Amount]]-Table1[[#This Row],[Previous Amount]]</f>
        <v>195.78</v>
      </c>
      <c r="AE474" s="154"/>
      <c r="AG474" s="174">
        <v>195.78</v>
      </c>
      <c r="AH474" s="178">
        <f>AG474-Table1[[#This Row],[Total Amount]]</f>
        <v>0</v>
      </c>
      <c r="AI474" s="171">
        <f t="shared" si="56"/>
        <v>0</v>
      </c>
    </row>
    <row r="475" spans="1:35" ht="30" customHeight="1" x14ac:dyDescent="0.3">
      <c r="A475" s="91" t="s">
        <v>91</v>
      </c>
      <c r="B475" s="91" t="s">
        <v>98</v>
      </c>
      <c r="C475" s="146" t="s">
        <v>545</v>
      </c>
      <c r="D475" s="146">
        <v>79072</v>
      </c>
      <c r="E475" s="146"/>
      <c r="F475" s="147" t="s">
        <v>544</v>
      </c>
      <c r="G475" s="17" t="s">
        <v>225</v>
      </c>
      <c r="H475" s="109" t="s">
        <v>128</v>
      </c>
      <c r="I475" s="146">
        <v>1</v>
      </c>
      <c r="J475" s="146">
        <v>14.5</v>
      </c>
      <c r="K475" s="146">
        <v>0.5</v>
      </c>
      <c r="L475" s="146">
        <v>1</v>
      </c>
      <c r="M475" s="146">
        <v>1</v>
      </c>
      <c r="N475" s="148" t="s">
        <v>162</v>
      </c>
      <c r="O475" s="148">
        <f t="shared" si="59"/>
        <v>7.25</v>
      </c>
      <c r="P475" s="125">
        <v>44904</v>
      </c>
      <c r="Q475" s="149"/>
      <c r="R475" s="150">
        <v>1</v>
      </c>
      <c r="S475" s="150">
        <v>1</v>
      </c>
      <c r="T475" s="150">
        <v>0</v>
      </c>
      <c r="U475" s="151">
        <f>IF(ISBLANK(Table1[[#This Row],[OHC Date]]),$B$7-Table1[[#This Row],[HOC Date]]+1,Table1[[#This Row],[OHC Date]]-Table1[[#This Row],[HOC Date]]+1)/7</f>
        <v>2.4285714285714284</v>
      </c>
      <c r="V475" s="152">
        <v>32.75</v>
      </c>
      <c r="W475" s="152">
        <v>1.05</v>
      </c>
      <c r="X475" s="152">
        <f>ROUND(0.7*Table1[[#This Row],[E&amp;D Rate per unit]]*R475*Table1[[#This Row],[Quantity]],2)</f>
        <v>166.21</v>
      </c>
      <c r="Y475" s="152">
        <f t="shared" si="60"/>
        <v>18.489999999999998</v>
      </c>
      <c r="Z475" s="152">
        <f>ROUND(0.3*T475*Table1[[#This Row],[E&amp;D Rate per unit]]*Table1[[#This Row],[Quantity]],2)</f>
        <v>0</v>
      </c>
      <c r="AA475" s="112">
        <v>1</v>
      </c>
      <c r="AB475" s="21">
        <f>ROUND(X475+Z475+Y475,2)*Table1[[#This Row],[Until WA Approved Only Approved this %]]</f>
        <v>184.7</v>
      </c>
      <c r="AC475" s="153"/>
      <c r="AD475" s="153">
        <f>Table1[[#This Row],[Total Amount]]-Table1[[#This Row],[Previous Amount]]</f>
        <v>184.7</v>
      </c>
      <c r="AE475" s="154"/>
      <c r="AG475" s="174">
        <v>184.7</v>
      </c>
      <c r="AH475" s="178">
        <f>AG475-Table1[[#This Row],[Total Amount]]</f>
        <v>0</v>
      </c>
      <c r="AI475" s="171">
        <f t="shared" si="56"/>
        <v>0</v>
      </c>
    </row>
    <row r="476" spans="1:35" ht="30" customHeight="1" x14ac:dyDescent="0.3">
      <c r="A476" s="91" t="s">
        <v>91</v>
      </c>
      <c r="B476" s="91" t="s">
        <v>98</v>
      </c>
      <c r="C476" s="146" t="s">
        <v>546</v>
      </c>
      <c r="D476" s="146">
        <v>79073</v>
      </c>
      <c r="E476" s="146"/>
      <c r="F476" s="147" t="s">
        <v>544</v>
      </c>
      <c r="G476" s="17" t="s">
        <v>225</v>
      </c>
      <c r="H476" s="109" t="s">
        <v>129</v>
      </c>
      <c r="I476" s="146">
        <v>1</v>
      </c>
      <c r="J476" s="146">
        <v>1.8</v>
      </c>
      <c r="K476" s="146">
        <v>1.4</v>
      </c>
      <c r="L476" s="146">
        <v>1</v>
      </c>
      <c r="M476" s="146">
        <v>1</v>
      </c>
      <c r="N476" s="148" t="s">
        <v>162</v>
      </c>
      <c r="O476" s="148">
        <f t="shared" si="59"/>
        <v>2.52</v>
      </c>
      <c r="P476" s="125">
        <v>44904</v>
      </c>
      <c r="Q476" s="149"/>
      <c r="R476" s="150">
        <v>1</v>
      </c>
      <c r="S476" s="150">
        <v>1</v>
      </c>
      <c r="T476" s="150">
        <v>0</v>
      </c>
      <c r="U476" s="151">
        <f>IF(ISBLANK(Table1[[#This Row],[OHC Date]]),$B$7-Table1[[#This Row],[HOC Date]]+1,Table1[[#This Row],[OHC Date]]-Table1[[#This Row],[HOC Date]]+1)/7</f>
        <v>2.4285714285714284</v>
      </c>
      <c r="V476" s="152">
        <v>32.75</v>
      </c>
      <c r="W476" s="152">
        <v>1.05</v>
      </c>
      <c r="X476" s="152">
        <f>ROUND(0.7*Table1[[#This Row],[E&amp;D Rate per unit]]*R476*Table1[[#This Row],[Quantity]],2)</f>
        <v>57.77</v>
      </c>
      <c r="Y476" s="152">
        <f t="shared" si="60"/>
        <v>6.43</v>
      </c>
      <c r="Z476" s="152">
        <f>ROUND(0.3*T476*Table1[[#This Row],[E&amp;D Rate per unit]]*Table1[[#This Row],[Quantity]],2)</f>
        <v>0</v>
      </c>
      <c r="AA476" s="112">
        <v>1</v>
      </c>
      <c r="AB476" s="21">
        <f>ROUND(X476+Z476+Y476,2)*Table1[[#This Row],[Until WA Approved Only Approved this %]]</f>
        <v>64.2</v>
      </c>
      <c r="AC476" s="153"/>
      <c r="AD476" s="153">
        <f>Table1[[#This Row],[Total Amount]]-Table1[[#This Row],[Previous Amount]]</f>
        <v>64.2</v>
      </c>
      <c r="AE476" s="154"/>
      <c r="AG476" s="174">
        <v>64.2</v>
      </c>
      <c r="AH476" s="178">
        <f>AG476-Table1[[#This Row],[Total Amount]]</f>
        <v>0</v>
      </c>
      <c r="AI476" s="171">
        <f t="shared" si="56"/>
        <v>0</v>
      </c>
    </row>
    <row r="477" spans="1:35" ht="30" customHeight="1" x14ac:dyDescent="0.3">
      <c r="A477" s="155" t="s">
        <v>429</v>
      </c>
      <c r="B477" s="91" t="s">
        <v>98</v>
      </c>
      <c r="C477" s="146">
        <v>67</v>
      </c>
      <c r="D477" s="146">
        <v>79074</v>
      </c>
      <c r="E477" s="146"/>
      <c r="F477" s="147" t="s">
        <v>430</v>
      </c>
      <c r="G477" s="17" t="s">
        <v>211</v>
      </c>
      <c r="H477" s="146" t="s">
        <v>222</v>
      </c>
      <c r="I477" s="146">
        <v>1</v>
      </c>
      <c r="J477" s="146">
        <v>2.5</v>
      </c>
      <c r="K477" s="146">
        <v>1.3</v>
      </c>
      <c r="L477" s="146">
        <v>3.5</v>
      </c>
      <c r="M477" s="146">
        <v>1</v>
      </c>
      <c r="N477" s="148" t="s">
        <v>56</v>
      </c>
      <c r="O477" s="148">
        <f t="shared" si="59"/>
        <v>1</v>
      </c>
      <c r="P477" s="125">
        <v>44904</v>
      </c>
      <c r="Q477" s="149"/>
      <c r="R477" s="150">
        <v>1</v>
      </c>
      <c r="S477" s="150">
        <v>1</v>
      </c>
      <c r="T477" s="150">
        <v>0</v>
      </c>
      <c r="U477" s="151">
        <f>IF(ISBLANK(Table1[[#This Row],[OHC Date]]),$B$7-Table1[[#This Row],[HOC Date]]+1,Table1[[#This Row],[OHC Date]]-Table1[[#This Row],[HOC Date]]+1)/7</f>
        <v>2.4285714285714284</v>
      </c>
      <c r="V477" s="152">
        <v>1278.3599999999999</v>
      </c>
      <c r="W477" s="152">
        <v>29.12</v>
      </c>
      <c r="X477" s="152">
        <f>ROUND(0.7*Table1[[#This Row],[E&amp;D Rate per unit]]*R477*Table1[[#This Row],[Quantity]],2)</f>
        <v>894.85</v>
      </c>
      <c r="Y477" s="152">
        <f t="shared" si="60"/>
        <v>70.72</v>
      </c>
      <c r="Z477" s="152">
        <f>ROUND(0.3*T477*Table1[[#This Row],[E&amp;D Rate per unit]]*Table1[[#This Row],[Quantity]],2)</f>
        <v>0</v>
      </c>
      <c r="AA477" s="19">
        <v>1</v>
      </c>
      <c r="AB477" s="163">
        <f>ROUND(X477+Z477+Y477,2)*Table1[[#This Row],[Until WA Approved Only Approved this %]]/4*3.5</f>
        <v>844.87375000000009</v>
      </c>
      <c r="AC477" s="153"/>
      <c r="AD477" s="153">
        <f>Table1[[#This Row],[Total Amount]]-Table1[[#This Row],[Previous Amount]]</f>
        <v>844.87375000000009</v>
      </c>
      <c r="AE477" s="182" t="s">
        <v>547</v>
      </c>
      <c r="AG477" s="174">
        <v>965.57</v>
      </c>
      <c r="AH477" s="178">
        <f>AG477-Table1[[#This Row],[Total Amount]]</f>
        <v>120.69624999999996</v>
      </c>
      <c r="AI477" s="171">
        <f t="shared" si="56"/>
        <v>0.12499999999999996</v>
      </c>
    </row>
    <row r="478" spans="1:35" ht="30" customHeight="1" x14ac:dyDescent="0.3">
      <c r="A478" s="91" t="s">
        <v>91</v>
      </c>
      <c r="B478" s="91" t="s">
        <v>98</v>
      </c>
      <c r="C478" s="146" t="s">
        <v>548</v>
      </c>
      <c r="D478" s="146">
        <v>79074</v>
      </c>
      <c r="E478" s="146"/>
      <c r="F478" s="147" t="s">
        <v>430</v>
      </c>
      <c r="G478" s="17" t="s">
        <v>339</v>
      </c>
      <c r="H478" s="109" t="s">
        <v>129</v>
      </c>
      <c r="I478" s="146">
        <v>1</v>
      </c>
      <c r="J478" s="146">
        <v>2</v>
      </c>
      <c r="K478" s="146">
        <v>1.5</v>
      </c>
      <c r="L478" s="146">
        <v>1</v>
      </c>
      <c r="M478" s="146">
        <v>1</v>
      </c>
      <c r="N478" s="148" t="s">
        <v>162</v>
      </c>
      <c r="O478" s="148">
        <f t="shared" si="59"/>
        <v>3</v>
      </c>
      <c r="P478" s="125">
        <v>44904</v>
      </c>
      <c r="Q478" s="149"/>
      <c r="R478" s="150">
        <v>1</v>
      </c>
      <c r="S478" s="150">
        <v>1</v>
      </c>
      <c r="T478" s="150">
        <v>0</v>
      </c>
      <c r="U478" s="151">
        <f>IF(ISBLANK(Table1[[#This Row],[OHC Date]]),$B$7-Table1[[#This Row],[HOC Date]]+1,Table1[[#This Row],[OHC Date]]-Table1[[#This Row],[HOC Date]]+1)/7</f>
        <v>2.4285714285714284</v>
      </c>
      <c r="V478" s="152">
        <v>32.75</v>
      </c>
      <c r="W478" s="152">
        <v>1.05</v>
      </c>
      <c r="X478" s="152">
        <f>ROUND(0.7*Table1[[#This Row],[E&amp;D Rate per unit]]*R478*Table1[[#This Row],[Quantity]],2)</f>
        <v>68.78</v>
      </c>
      <c r="Y478" s="152">
        <f t="shared" si="60"/>
        <v>7.65</v>
      </c>
      <c r="Z478" s="152">
        <f>ROUND(0.3*T478*Table1[[#This Row],[E&amp;D Rate per unit]]*Table1[[#This Row],[Quantity]],2)</f>
        <v>0</v>
      </c>
      <c r="AA478" s="112">
        <v>1</v>
      </c>
      <c r="AB478" s="21">
        <f>ROUND(X478+Z478+Y478,2)*Table1[[#This Row],[Until WA Approved Only Approved this %]]</f>
        <v>76.430000000000007</v>
      </c>
      <c r="AC478" s="153"/>
      <c r="AD478" s="153">
        <f>Table1[[#This Row],[Total Amount]]-Table1[[#This Row],[Previous Amount]]</f>
        <v>76.430000000000007</v>
      </c>
      <c r="AE478" s="154"/>
      <c r="AG478" s="174">
        <v>76.430000000000007</v>
      </c>
      <c r="AH478" s="178">
        <f>AG478-Table1[[#This Row],[Total Amount]]</f>
        <v>0</v>
      </c>
      <c r="AI478" s="171">
        <f t="shared" si="56"/>
        <v>0</v>
      </c>
    </row>
    <row r="479" spans="1:35" ht="30" customHeight="1" x14ac:dyDescent="0.3">
      <c r="A479" s="91" t="s">
        <v>91</v>
      </c>
      <c r="B479" s="91" t="s">
        <v>98</v>
      </c>
      <c r="C479" s="146">
        <v>68</v>
      </c>
      <c r="D479" s="146">
        <v>79075</v>
      </c>
      <c r="E479" s="146">
        <v>80842</v>
      </c>
      <c r="F479" s="147" t="s">
        <v>549</v>
      </c>
      <c r="G479" s="17" t="s">
        <v>550</v>
      </c>
      <c r="H479" s="146" t="s">
        <v>207</v>
      </c>
      <c r="I479" s="146">
        <v>1</v>
      </c>
      <c r="J479" s="146">
        <v>8.1</v>
      </c>
      <c r="K479" s="146">
        <v>1.5</v>
      </c>
      <c r="L479" s="146">
        <v>2.5</v>
      </c>
      <c r="M479" s="146">
        <v>1</v>
      </c>
      <c r="N479" s="148" t="s">
        <v>208</v>
      </c>
      <c r="O479" s="148">
        <f t="shared" si="59"/>
        <v>20.25</v>
      </c>
      <c r="P479" s="125">
        <v>44904</v>
      </c>
      <c r="Q479" s="149">
        <v>44917</v>
      </c>
      <c r="R479" s="150">
        <v>1</v>
      </c>
      <c r="S479" s="150">
        <v>1</v>
      </c>
      <c r="T479" s="150">
        <v>1</v>
      </c>
      <c r="U479" s="151">
        <f>IF(ISBLANK(Table1[[#This Row],[OHC Date]]),$B$7-Table1[[#This Row],[HOC Date]]+1,Table1[[#This Row],[OHC Date]]-Table1[[#This Row],[HOC Date]]+1)/7</f>
        <v>2</v>
      </c>
      <c r="V479" s="152">
        <v>12.01</v>
      </c>
      <c r="W479" s="152">
        <v>0.49</v>
      </c>
      <c r="X479" s="152">
        <f>ROUND(0.7*Table1[[#This Row],[E&amp;D Rate per unit]]*R479*Table1[[#This Row],[Quantity]],2)</f>
        <v>170.24</v>
      </c>
      <c r="Y479" s="152">
        <f t="shared" si="60"/>
        <v>19.850000000000001</v>
      </c>
      <c r="Z479" s="152">
        <f>ROUND(0.3*T479*Table1[[#This Row],[E&amp;D Rate per unit]]*Table1[[#This Row],[Quantity]],2)</f>
        <v>72.959999999999994</v>
      </c>
      <c r="AA479" s="112">
        <v>1</v>
      </c>
      <c r="AB479" s="21">
        <f>ROUND(X479+Z479+Y479,2)*Table1[[#This Row],[Until WA Approved Only Approved this %]]</f>
        <v>263.05</v>
      </c>
      <c r="AC479" s="153"/>
      <c r="AD479" s="153">
        <f>Table1[[#This Row],[Total Amount]]-Table1[[#This Row],[Previous Amount]]</f>
        <v>263.05</v>
      </c>
      <c r="AE479" s="154"/>
      <c r="AG479" s="174">
        <v>263.05</v>
      </c>
      <c r="AH479" s="178">
        <f>AG479-Table1[[#This Row],[Total Amount]]</f>
        <v>0</v>
      </c>
      <c r="AI479" s="171">
        <f t="shared" si="56"/>
        <v>0</v>
      </c>
    </row>
    <row r="480" spans="1:35" ht="30" customHeight="1" x14ac:dyDescent="0.3">
      <c r="A480" s="91" t="s">
        <v>91</v>
      </c>
      <c r="B480" s="91" t="s">
        <v>98</v>
      </c>
      <c r="C480" s="146" t="s">
        <v>551</v>
      </c>
      <c r="D480" s="146">
        <v>79076</v>
      </c>
      <c r="E480" s="146"/>
      <c r="F480" s="147" t="s">
        <v>552</v>
      </c>
      <c r="G480" s="17" t="s">
        <v>202</v>
      </c>
      <c r="H480" s="146" t="s">
        <v>207</v>
      </c>
      <c r="I480" s="146">
        <v>1</v>
      </c>
      <c r="J480" s="146">
        <v>13</v>
      </c>
      <c r="K480" s="146">
        <v>1</v>
      </c>
      <c r="L480" s="146">
        <v>1.5</v>
      </c>
      <c r="M480" s="146">
        <v>1</v>
      </c>
      <c r="N480" s="148" t="s">
        <v>208</v>
      </c>
      <c r="O480" s="148">
        <f t="shared" si="59"/>
        <v>19.5</v>
      </c>
      <c r="P480" s="125">
        <v>44905</v>
      </c>
      <c r="Q480" s="149"/>
      <c r="R480" s="150">
        <v>1</v>
      </c>
      <c r="S480" s="150">
        <v>1</v>
      </c>
      <c r="T480" s="150">
        <v>0</v>
      </c>
      <c r="U480" s="151">
        <f>IF(ISBLANK(Table1[[#This Row],[OHC Date]]),$B$7-Table1[[#This Row],[HOC Date]]+1,Table1[[#This Row],[OHC Date]]-Table1[[#This Row],[HOC Date]]+1)/7</f>
        <v>2.2857142857142856</v>
      </c>
      <c r="V480" s="152">
        <v>12.01</v>
      </c>
      <c r="W480" s="152">
        <v>0.49</v>
      </c>
      <c r="X480" s="152">
        <f>ROUND(0.7*Table1[[#This Row],[E&amp;D Rate per unit]]*R480*Table1[[#This Row],[Quantity]],2)</f>
        <v>163.94</v>
      </c>
      <c r="Y480" s="152">
        <f t="shared" si="60"/>
        <v>21.84</v>
      </c>
      <c r="Z480" s="152">
        <f>ROUND(0.3*T480*Table1[[#This Row],[E&amp;D Rate per unit]]*Table1[[#This Row],[Quantity]],2)</f>
        <v>0</v>
      </c>
      <c r="AA480" s="112">
        <v>1</v>
      </c>
      <c r="AB480" s="21">
        <f>ROUND(X480+Z480+Y480,2)*Table1[[#This Row],[Until WA Approved Only Approved this %]]</f>
        <v>185.78</v>
      </c>
      <c r="AC480" s="153"/>
      <c r="AD480" s="153">
        <f>Table1[[#This Row],[Total Amount]]-Table1[[#This Row],[Previous Amount]]</f>
        <v>185.78</v>
      </c>
      <c r="AE480" s="154"/>
      <c r="AG480" s="174">
        <v>185.78</v>
      </c>
      <c r="AH480" s="178">
        <f>AG480-Table1[[#This Row],[Total Amount]]</f>
        <v>0</v>
      </c>
      <c r="AI480" s="171">
        <f t="shared" si="56"/>
        <v>0</v>
      </c>
    </row>
    <row r="481" spans="1:35" ht="30" customHeight="1" x14ac:dyDescent="0.3">
      <c r="A481" s="155" t="s">
        <v>554</v>
      </c>
      <c r="B481" s="91" t="s">
        <v>98</v>
      </c>
      <c r="C481" s="146">
        <v>69</v>
      </c>
      <c r="D481" s="146">
        <v>79077</v>
      </c>
      <c r="E481" s="146"/>
      <c r="F481" s="17" t="s">
        <v>556</v>
      </c>
      <c r="G481" s="17" t="s">
        <v>307</v>
      </c>
      <c r="H481" s="16" t="s">
        <v>557</v>
      </c>
      <c r="I481" s="146">
        <v>1</v>
      </c>
      <c r="J481" s="146">
        <v>5.3</v>
      </c>
      <c r="K481" s="146">
        <v>1</v>
      </c>
      <c r="L481" s="146">
        <v>1</v>
      </c>
      <c r="M481" s="146">
        <v>1</v>
      </c>
      <c r="N481" s="148" t="s">
        <v>56</v>
      </c>
      <c r="O481" s="148">
        <f t="shared" ref="O481:O489" si="61">ROUND(IF(N481="m3",I481*J481*K481*L481,IF(N481="m2-LxH",I481*J481*L481,IF(N481="m2-LxW",I481*J481*K481,IF(N481="rm",I481*L481,IF(N481="lm",I481*J481,IF(N481="unit",I481,"NA")))))),2)</f>
        <v>1</v>
      </c>
      <c r="P481" s="125">
        <v>44912</v>
      </c>
      <c r="Q481" s="149"/>
      <c r="R481" s="150">
        <v>1</v>
      </c>
      <c r="S481" s="150">
        <v>1</v>
      </c>
      <c r="T481" s="150">
        <v>0</v>
      </c>
      <c r="U481" s="151">
        <f>IF(ISBLANK(Table1[[#This Row],[OHC Date]]),$B$7-Table1[[#This Row],[HOC Date]]+1,Table1[[#This Row],[OHC Date]]-Table1[[#This Row],[HOC Date]]+1)/7</f>
        <v>1.2857142857142858</v>
      </c>
      <c r="V481" s="152">
        <v>3620.37</v>
      </c>
      <c r="W481" s="152">
        <v>54.93</v>
      </c>
      <c r="X481" s="152">
        <f>ROUND(0.7*Table1[[#This Row],[E&amp;D Rate per unit]]*R481*Table1[[#This Row],[Quantity]],2)</f>
        <v>2534.2600000000002</v>
      </c>
      <c r="Y481" s="152">
        <f t="shared" ref="Y481:Y489" si="62">ROUND(O481*U481*W481*S481,2)</f>
        <v>70.62</v>
      </c>
      <c r="Z481" s="152">
        <f>ROUND(0.3*T481*Table1[[#This Row],[E&amp;D Rate per unit]]*Table1[[#This Row],[Quantity]],2)</f>
        <v>0</v>
      </c>
      <c r="AA481" s="19">
        <v>1</v>
      </c>
      <c r="AB481" s="163">
        <f>ROUND(X481+Z481+Y481,2)*Table1[[#This Row],[Until WA Approved Only Approved this %]]/(4.3*2.3)*(5.3*1)</f>
        <v>1395.9417593528819</v>
      </c>
      <c r="AC481" s="153"/>
      <c r="AD481" s="153">
        <f>Table1[[#This Row],[Total Amount]]-Table1[[#This Row],[Previous Amount]]</f>
        <v>1395.9417593528819</v>
      </c>
      <c r="AE481" s="142" t="s">
        <v>561</v>
      </c>
      <c r="AG481" s="174">
        <v>2604.88</v>
      </c>
      <c r="AH481" s="178">
        <f>AG481-Table1[[#This Row],[Total Amount]]</f>
        <v>1208.9382406471182</v>
      </c>
      <c r="AI481" s="171">
        <f t="shared" si="56"/>
        <v>0.46410515672396352</v>
      </c>
    </row>
    <row r="482" spans="1:35" ht="30" customHeight="1" x14ac:dyDescent="0.3">
      <c r="A482" s="91" t="s">
        <v>91</v>
      </c>
      <c r="B482" s="91" t="s">
        <v>98</v>
      </c>
      <c r="C482" s="146">
        <v>70</v>
      </c>
      <c r="D482" s="146">
        <v>79078</v>
      </c>
      <c r="E482" s="146"/>
      <c r="F482" s="17" t="s">
        <v>558</v>
      </c>
      <c r="G482" s="17" t="s">
        <v>202</v>
      </c>
      <c r="H482" s="16" t="s">
        <v>207</v>
      </c>
      <c r="I482" s="146">
        <v>1</v>
      </c>
      <c r="J482" s="146">
        <v>6.3</v>
      </c>
      <c r="K482" s="146">
        <v>1.3</v>
      </c>
      <c r="L482" s="146">
        <v>4</v>
      </c>
      <c r="M482" s="146">
        <v>1</v>
      </c>
      <c r="N482" s="148" t="s">
        <v>208</v>
      </c>
      <c r="O482" s="148">
        <f t="shared" si="61"/>
        <v>25.2</v>
      </c>
      <c r="P482" s="125">
        <v>44912</v>
      </c>
      <c r="Q482" s="149"/>
      <c r="R482" s="150">
        <v>1</v>
      </c>
      <c r="S482" s="150">
        <v>1</v>
      </c>
      <c r="T482" s="150">
        <v>0</v>
      </c>
      <c r="U482" s="151">
        <f>IF(ISBLANK(Table1[[#This Row],[OHC Date]]),$B$7-Table1[[#This Row],[HOC Date]]+1,Table1[[#This Row],[OHC Date]]-Table1[[#This Row],[HOC Date]]+1)/7</f>
        <v>1.2857142857142858</v>
      </c>
      <c r="V482" s="152">
        <v>12.01</v>
      </c>
      <c r="W482" s="152">
        <v>0.49</v>
      </c>
      <c r="X482" s="152">
        <f>ROUND(0.7*Table1[[#This Row],[E&amp;D Rate per unit]]*R482*Table1[[#This Row],[Quantity]],2)</f>
        <v>211.86</v>
      </c>
      <c r="Y482" s="152">
        <f t="shared" si="62"/>
        <v>15.88</v>
      </c>
      <c r="Z482" s="152">
        <f>ROUND(0.3*T482*Table1[[#This Row],[E&amp;D Rate per unit]]*Table1[[#This Row],[Quantity]],2)</f>
        <v>0</v>
      </c>
      <c r="AA482" s="112">
        <v>1</v>
      </c>
      <c r="AB482" s="21">
        <f>ROUND(X482+Z482+Y482,2)*Table1[[#This Row],[Until WA Approved Only Approved this %]]</f>
        <v>227.74</v>
      </c>
      <c r="AC482" s="153"/>
      <c r="AD482" s="153">
        <f>Table1[[#This Row],[Total Amount]]-Table1[[#This Row],[Previous Amount]]</f>
        <v>227.74</v>
      </c>
      <c r="AE482" s="154"/>
      <c r="AG482" s="174">
        <v>227.74</v>
      </c>
      <c r="AH482" s="178">
        <f>AG482-Table1[[#This Row],[Total Amount]]</f>
        <v>0</v>
      </c>
      <c r="AI482" s="171">
        <f t="shared" si="56"/>
        <v>0</v>
      </c>
    </row>
    <row r="483" spans="1:35" ht="30" customHeight="1" x14ac:dyDescent="0.3">
      <c r="A483" s="91" t="s">
        <v>91</v>
      </c>
      <c r="B483" s="91" t="s">
        <v>98</v>
      </c>
      <c r="C483" s="16" t="s">
        <v>627</v>
      </c>
      <c r="D483" s="146">
        <v>79079</v>
      </c>
      <c r="E483" s="146"/>
      <c r="F483" s="17" t="s">
        <v>558</v>
      </c>
      <c r="G483" s="17" t="s">
        <v>202</v>
      </c>
      <c r="H483" s="16" t="s">
        <v>222</v>
      </c>
      <c r="I483" s="146">
        <v>1</v>
      </c>
      <c r="J483" s="146">
        <v>2.5</v>
      </c>
      <c r="K483" s="146">
        <v>2.5</v>
      </c>
      <c r="L483" s="146">
        <v>4</v>
      </c>
      <c r="M483" s="146">
        <v>1</v>
      </c>
      <c r="N483" s="111" t="s">
        <v>223</v>
      </c>
      <c r="O483" s="111">
        <f t="shared" si="61"/>
        <v>4</v>
      </c>
      <c r="P483" s="125">
        <v>44912</v>
      </c>
      <c r="Q483" s="149"/>
      <c r="R483" s="150">
        <v>1</v>
      </c>
      <c r="S483" s="150">
        <v>1</v>
      </c>
      <c r="T483" s="150">
        <v>0</v>
      </c>
      <c r="U483" s="151">
        <f>IF(ISBLANK(Table1[[#This Row],[OHC Date]]),$B$7-Table1[[#This Row],[HOC Date]]+1,Table1[[#This Row],[OHC Date]]-Table1[[#This Row],[HOC Date]]+1)/7</f>
        <v>1.2857142857142858</v>
      </c>
      <c r="V483" s="114">
        <v>7.08</v>
      </c>
      <c r="W483" s="114">
        <v>0.49</v>
      </c>
      <c r="X483" s="152">
        <f>ROUND(0.7*Table1[[#This Row],[E&amp;D Rate per unit]]*R483*Table1[[#This Row],[Quantity]],2)</f>
        <v>19.82</v>
      </c>
      <c r="Y483" s="152">
        <f>ROUND(O483*U483*W483*S483,2)</f>
        <v>2.52</v>
      </c>
      <c r="Z483" s="152">
        <f>ROUND(0.3*T483*Table1[[#This Row],[E&amp;D Rate per unit]]*Table1[[#This Row],[Quantity]],2)</f>
        <v>0</v>
      </c>
      <c r="AA483" s="112">
        <v>1</v>
      </c>
      <c r="AB483" s="21">
        <f>ROUND(X483+Z483+Y483,2)*Table1[[#This Row],[Until WA Approved Only Approved this %]]</f>
        <v>22.34</v>
      </c>
      <c r="AC483" s="153"/>
      <c r="AD483" s="153">
        <f>Table1[[#This Row],[Total Amount]]-Table1[[#This Row],[Previous Amount]]</f>
        <v>22.34</v>
      </c>
      <c r="AE483" s="154"/>
      <c r="AG483" s="174">
        <v>214.79</v>
      </c>
      <c r="AH483" s="178">
        <f>AG483-Table1[[#This Row],[Total Amount]]</f>
        <v>192.45</v>
      </c>
      <c r="AI483" s="171">
        <f t="shared" si="56"/>
        <v>0.89599143349317933</v>
      </c>
    </row>
    <row r="484" spans="1:35" ht="30" customHeight="1" x14ac:dyDescent="0.3">
      <c r="A484" s="155" t="s">
        <v>554</v>
      </c>
      <c r="B484" s="91" t="s">
        <v>98</v>
      </c>
      <c r="C484" s="16" t="s">
        <v>559</v>
      </c>
      <c r="D484" s="146">
        <v>79082</v>
      </c>
      <c r="E484" s="146"/>
      <c r="F484" s="17" t="s">
        <v>556</v>
      </c>
      <c r="G484" s="17" t="s">
        <v>560</v>
      </c>
      <c r="H484" s="16" t="s">
        <v>557</v>
      </c>
      <c r="I484" s="146">
        <v>1</v>
      </c>
      <c r="J484" s="146">
        <v>4.3</v>
      </c>
      <c r="K484" s="146">
        <v>1</v>
      </c>
      <c r="L484" s="146">
        <v>1</v>
      </c>
      <c r="M484" s="146">
        <v>1</v>
      </c>
      <c r="N484" s="148" t="s">
        <v>56</v>
      </c>
      <c r="O484" s="148">
        <f t="shared" si="61"/>
        <v>1</v>
      </c>
      <c r="P484" s="125">
        <v>44912</v>
      </c>
      <c r="Q484" s="149"/>
      <c r="R484" s="150">
        <v>1</v>
      </c>
      <c r="S484" s="150">
        <v>1</v>
      </c>
      <c r="T484" s="150">
        <v>0</v>
      </c>
      <c r="U484" s="151">
        <f>IF(ISBLANK(Table1[[#This Row],[OHC Date]]),$B$7-Table1[[#This Row],[HOC Date]]+1,Table1[[#This Row],[OHC Date]]-Table1[[#This Row],[HOC Date]]+1)/7</f>
        <v>1.2857142857142858</v>
      </c>
      <c r="V484" s="152">
        <v>3620.37</v>
      </c>
      <c r="W484" s="152">
        <v>54.93</v>
      </c>
      <c r="X484" s="152">
        <f>ROUND(0.7*Table1[[#This Row],[E&amp;D Rate per unit]]*R484*Table1[[#This Row],[Quantity]],2)</f>
        <v>2534.2600000000002</v>
      </c>
      <c r="Y484" s="152">
        <f t="shared" si="62"/>
        <v>70.62</v>
      </c>
      <c r="Z484" s="152">
        <f>ROUND(0.3*T484*Table1[[#This Row],[E&amp;D Rate per unit]]*Table1[[#This Row],[Quantity]],2)</f>
        <v>0</v>
      </c>
      <c r="AA484" s="19">
        <v>1</v>
      </c>
      <c r="AB484" s="163">
        <f>ROUND(X484+Z484+Y484,2)*Table1[[#This Row],[Until WA Approved Only Approved this %]]/2.3*1</f>
        <v>1132.5565217391306</v>
      </c>
      <c r="AC484" s="153"/>
      <c r="AD484" s="153">
        <f>Table1[[#This Row],[Total Amount]]-Table1[[#This Row],[Previous Amount]]</f>
        <v>1132.5565217391306</v>
      </c>
      <c r="AE484" s="142" t="s">
        <v>561</v>
      </c>
      <c r="AG484" s="174">
        <v>2604.88</v>
      </c>
      <c r="AH484" s="178">
        <f>AG484-Table1[[#This Row],[Total Amount]]</f>
        <v>1472.3234782608695</v>
      </c>
      <c r="AI484" s="171">
        <f t="shared" si="56"/>
        <v>0.56521739130434778</v>
      </c>
    </row>
    <row r="485" spans="1:35" ht="30" customHeight="1" x14ac:dyDescent="0.3">
      <c r="A485" s="155" t="s">
        <v>554</v>
      </c>
      <c r="B485" s="91" t="s">
        <v>98</v>
      </c>
      <c r="C485" s="16" t="s">
        <v>562</v>
      </c>
      <c r="D485" s="146">
        <v>79083</v>
      </c>
      <c r="E485" s="146"/>
      <c r="F485" s="17" t="s">
        <v>556</v>
      </c>
      <c r="G485" s="17" t="s">
        <v>560</v>
      </c>
      <c r="H485" s="16" t="s">
        <v>557</v>
      </c>
      <c r="I485" s="146">
        <v>1</v>
      </c>
      <c r="J485" s="146">
        <v>4.3</v>
      </c>
      <c r="K485" s="146">
        <v>1</v>
      </c>
      <c r="L485" s="146">
        <v>1</v>
      </c>
      <c r="M485" s="146">
        <v>1</v>
      </c>
      <c r="N485" s="148" t="s">
        <v>56</v>
      </c>
      <c r="O485" s="148">
        <f t="shared" si="61"/>
        <v>1</v>
      </c>
      <c r="P485" s="125">
        <v>44912</v>
      </c>
      <c r="Q485" s="149"/>
      <c r="R485" s="150">
        <v>1</v>
      </c>
      <c r="S485" s="150">
        <v>1</v>
      </c>
      <c r="T485" s="150">
        <v>0</v>
      </c>
      <c r="U485" s="151">
        <f>IF(ISBLANK(Table1[[#This Row],[OHC Date]]),$B$7-Table1[[#This Row],[HOC Date]]+1,Table1[[#This Row],[OHC Date]]-Table1[[#This Row],[HOC Date]]+1)/7</f>
        <v>1.2857142857142858</v>
      </c>
      <c r="V485" s="152">
        <v>3620.37</v>
      </c>
      <c r="W485" s="152">
        <v>54.93</v>
      </c>
      <c r="X485" s="152">
        <f>ROUND(0.7*Table1[[#This Row],[E&amp;D Rate per unit]]*R485*Table1[[#This Row],[Quantity]],2)</f>
        <v>2534.2600000000002</v>
      </c>
      <c r="Y485" s="152">
        <f t="shared" si="62"/>
        <v>70.62</v>
      </c>
      <c r="Z485" s="152">
        <f>ROUND(0.3*T485*Table1[[#This Row],[E&amp;D Rate per unit]]*Table1[[#This Row],[Quantity]],2)</f>
        <v>0</v>
      </c>
      <c r="AA485" s="19">
        <v>1</v>
      </c>
      <c r="AB485" s="163">
        <f>ROUND(X485+Z485+Y485,2)*Table1[[#This Row],[Until WA Approved Only Approved this %]]/2.3*1</f>
        <v>1132.5565217391306</v>
      </c>
      <c r="AC485" s="153"/>
      <c r="AD485" s="153">
        <f>Table1[[#This Row],[Total Amount]]-Table1[[#This Row],[Previous Amount]]</f>
        <v>1132.5565217391306</v>
      </c>
      <c r="AE485" s="142" t="s">
        <v>561</v>
      </c>
      <c r="AG485" s="174">
        <v>2604.88</v>
      </c>
      <c r="AH485" s="178">
        <f>AG485-Table1[[#This Row],[Total Amount]]</f>
        <v>1472.3234782608695</v>
      </c>
      <c r="AI485" s="171">
        <f t="shared" si="56"/>
        <v>0.56521739130434778</v>
      </c>
    </row>
    <row r="486" spans="1:35" ht="30" customHeight="1" x14ac:dyDescent="0.3">
      <c r="A486" s="155" t="s">
        <v>554</v>
      </c>
      <c r="B486" s="91" t="s">
        <v>98</v>
      </c>
      <c r="C486" s="16" t="s">
        <v>563</v>
      </c>
      <c r="D486" s="146">
        <v>79084</v>
      </c>
      <c r="E486" s="146"/>
      <c r="F486" s="17" t="s">
        <v>556</v>
      </c>
      <c r="G486" s="17" t="s">
        <v>564</v>
      </c>
      <c r="H486" s="16" t="s">
        <v>557</v>
      </c>
      <c r="I486" s="146">
        <v>1</v>
      </c>
      <c r="J486" s="146">
        <v>4.3</v>
      </c>
      <c r="K486" s="146">
        <v>1</v>
      </c>
      <c r="L486" s="146">
        <v>1</v>
      </c>
      <c r="M486" s="146">
        <v>1</v>
      </c>
      <c r="N486" s="148" t="s">
        <v>56</v>
      </c>
      <c r="O486" s="148">
        <f t="shared" si="61"/>
        <v>1</v>
      </c>
      <c r="P486" s="160">
        <v>44915</v>
      </c>
      <c r="Q486" s="149"/>
      <c r="R486" s="150">
        <v>1</v>
      </c>
      <c r="S486" s="150">
        <v>1</v>
      </c>
      <c r="T486" s="150">
        <v>0</v>
      </c>
      <c r="U486" s="151">
        <f>IF(ISBLANK(Table1[[#This Row],[OHC Date]]),$B$7-Table1[[#This Row],[HOC Date]]+1,Table1[[#This Row],[OHC Date]]-Table1[[#This Row],[HOC Date]]+1)/7</f>
        <v>0.8571428571428571</v>
      </c>
      <c r="V486" s="152">
        <v>3620.37</v>
      </c>
      <c r="W486" s="152">
        <v>54.93</v>
      </c>
      <c r="X486" s="152">
        <f>ROUND(0.7*Table1[[#This Row],[E&amp;D Rate per unit]]*R486*Table1[[#This Row],[Quantity]],2)</f>
        <v>2534.2600000000002</v>
      </c>
      <c r="Y486" s="152">
        <f t="shared" si="62"/>
        <v>47.08</v>
      </c>
      <c r="Z486" s="152">
        <f>ROUND(0.3*T486*Table1[[#This Row],[E&amp;D Rate per unit]]*Table1[[#This Row],[Quantity]],2)</f>
        <v>0</v>
      </c>
      <c r="AA486" s="19">
        <v>1</v>
      </c>
      <c r="AB486" s="163">
        <f>ROUND(X486+Z486+Y486,2)*Table1[[#This Row],[Until WA Approved Only Approved this %]]/2.3*1</f>
        <v>1122.3217391304349</v>
      </c>
      <c r="AC486" s="153"/>
      <c r="AD486" s="153">
        <f>Table1[[#This Row],[Total Amount]]-Table1[[#This Row],[Previous Amount]]</f>
        <v>1122.3217391304349</v>
      </c>
      <c r="AE486" s="142" t="s">
        <v>561</v>
      </c>
      <c r="AG486" s="174">
        <v>2604.88</v>
      </c>
      <c r="AH486" s="178">
        <f>AG486-Table1[[#This Row],[Total Amount]]</f>
        <v>1482.5582608695652</v>
      </c>
      <c r="AI486" s="171">
        <f t="shared" si="56"/>
        <v>0.56914647157241993</v>
      </c>
    </row>
    <row r="487" spans="1:35" ht="30" customHeight="1" x14ac:dyDescent="0.3">
      <c r="A487" s="155" t="s">
        <v>554</v>
      </c>
      <c r="B487" s="91" t="s">
        <v>98</v>
      </c>
      <c r="C487" s="16" t="s">
        <v>565</v>
      </c>
      <c r="D487" s="146">
        <v>79085</v>
      </c>
      <c r="E487" s="146"/>
      <c r="F487" s="17" t="s">
        <v>556</v>
      </c>
      <c r="G487" s="17" t="s">
        <v>564</v>
      </c>
      <c r="H487" s="16" t="s">
        <v>557</v>
      </c>
      <c r="I487" s="146">
        <v>1</v>
      </c>
      <c r="J487" s="146">
        <v>4.3</v>
      </c>
      <c r="K487" s="146">
        <v>1</v>
      </c>
      <c r="L487" s="146">
        <v>1</v>
      </c>
      <c r="M487" s="146">
        <v>1</v>
      </c>
      <c r="N487" s="148" t="s">
        <v>56</v>
      </c>
      <c r="O487" s="148">
        <f t="shared" si="61"/>
        <v>1</v>
      </c>
      <c r="P487" s="160">
        <v>44915</v>
      </c>
      <c r="Q487" s="149"/>
      <c r="R487" s="150">
        <v>1</v>
      </c>
      <c r="S487" s="150">
        <v>1</v>
      </c>
      <c r="T487" s="150">
        <v>0</v>
      </c>
      <c r="U487" s="151">
        <f>IF(ISBLANK(Table1[[#This Row],[OHC Date]]),$B$7-Table1[[#This Row],[HOC Date]]+1,Table1[[#This Row],[OHC Date]]-Table1[[#This Row],[HOC Date]]+1)/7</f>
        <v>0.8571428571428571</v>
      </c>
      <c r="V487" s="152">
        <v>3620.37</v>
      </c>
      <c r="W487" s="152">
        <v>54.93</v>
      </c>
      <c r="X487" s="152">
        <f>ROUND(0.7*Table1[[#This Row],[E&amp;D Rate per unit]]*R487*Table1[[#This Row],[Quantity]],2)</f>
        <v>2534.2600000000002</v>
      </c>
      <c r="Y487" s="152">
        <f t="shared" si="62"/>
        <v>47.08</v>
      </c>
      <c r="Z487" s="152">
        <f>ROUND(0.3*T487*Table1[[#This Row],[E&amp;D Rate per unit]]*Table1[[#This Row],[Quantity]],2)</f>
        <v>0</v>
      </c>
      <c r="AA487" s="19">
        <v>1</v>
      </c>
      <c r="AB487" s="163">
        <f>ROUND(X487+Z487+Y487,2)*Table1[[#This Row],[Until WA Approved Only Approved this %]]/2.3*1</f>
        <v>1122.3217391304349</v>
      </c>
      <c r="AC487" s="153"/>
      <c r="AD487" s="153">
        <f>Table1[[#This Row],[Total Amount]]-Table1[[#This Row],[Previous Amount]]</f>
        <v>1122.3217391304349</v>
      </c>
      <c r="AE487" s="142" t="s">
        <v>561</v>
      </c>
      <c r="AG487" s="174">
        <v>2604.88</v>
      </c>
      <c r="AH487" s="178">
        <f>AG487-Table1[[#This Row],[Total Amount]]</f>
        <v>1482.5582608695652</v>
      </c>
      <c r="AI487" s="171">
        <f t="shared" si="56"/>
        <v>0.56914647157241993</v>
      </c>
    </row>
    <row r="488" spans="1:35" ht="30" customHeight="1" x14ac:dyDescent="0.3">
      <c r="A488" s="91" t="s">
        <v>91</v>
      </c>
      <c r="B488" s="91" t="s">
        <v>98</v>
      </c>
      <c r="C488" s="146">
        <v>75</v>
      </c>
      <c r="D488" s="146">
        <v>79086</v>
      </c>
      <c r="E488" s="146"/>
      <c r="F488" s="17" t="s">
        <v>566</v>
      </c>
      <c r="G488" s="17" t="s">
        <v>202</v>
      </c>
      <c r="H488" s="16" t="s">
        <v>222</v>
      </c>
      <c r="I488" s="146">
        <v>1</v>
      </c>
      <c r="J488" s="146">
        <v>1.8</v>
      </c>
      <c r="K488" s="146">
        <v>1</v>
      </c>
      <c r="L488" s="146">
        <v>1.2</v>
      </c>
      <c r="M488" s="146">
        <v>1</v>
      </c>
      <c r="N488" s="148" t="s">
        <v>223</v>
      </c>
      <c r="O488" s="148">
        <f t="shared" si="61"/>
        <v>1.2</v>
      </c>
      <c r="P488" s="125">
        <v>44915</v>
      </c>
      <c r="Q488" s="149"/>
      <c r="R488" s="150">
        <v>1</v>
      </c>
      <c r="S488" s="150">
        <v>1</v>
      </c>
      <c r="T488" s="150">
        <v>0</v>
      </c>
      <c r="U488" s="151">
        <f>IF(ISBLANK(Table1[[#This Row],[OHC Date]]),$B$7-Table1[[#This Row],[HOC Date]]+1,Table1[[#This Row],[OHC Date]]-Table1[[#This Row],[HOC Date]]+1)/7</f>
        <v>0.8571428571428571</v>
      </c>
      <c r="V488" s="152">
        <v>63.34</v>
      </c>
      <c r="W488" s="152">
        <v>7.28</v>
      </c>
      <c r="X488" s="152">
        <f>ROUND(0.7*Table1[[#This Row],[E&amp;D Rate per unit]]*R488*Table1[[#This Row],[Quantity]],2)</f>
        <v>53.21</v>
      </c>
      <c r="Y488" s="152">
        <f t="shared" si="62"/>
        <v>7.49</v>
      </c>
      <c r="Z488" s="152">
        <f>ROUND(0.3*T488*Table1[[#This Row],[E&amp;D Rate per unit]]*Table1[[#This Row],[Quantity]],2)</f>
        <v>0</v>
      </c>
      <c r="AA488" s="112">
        <v>1</v>
      </c>
      <c r="AB488" s="21">
        <f>ROUND(X488+Z488+Y488,2)*Table1[[#This Row],[Until WA Approved Only Approved this %]]</f>
        <v>60.7</v>
      </c>
      <c r="AC488" s="153"/>
      <c r="AD488" s="153">
        <f>Table1[[#This Row],[Total Amount]]-Table1[[#This Row],[Previous Amount]]</f>
        <v>60.7</v>
      </c>
      <c r="AE488" s="154"/>
      <c r="AG488" s="174">
        <v>60.7</v>
      </c>
      <c r="AH488" s="178">
        <f>AG488-Table1[[#This Row],[Total Amount]]</f>
        <v>0</v>
      </c>
      <c r="AI488" s="171">
        <f t="shared" si="56"/>
        <v>0</v>
      </c>
    </row>
    <row r="489" spans="1:35" ht="30" customHeight="1" x14ac:dyDescent="0.3">
      <c r="A489" s="155" t="s">
        <v>554</v>
      </c>
      <c r="B489" s="91" t="s">
        <v>98</v>
      </c>
      <c r="C489" s="16" t="s">
        <v>567</v>
      </c>
      <c r="D489" s="146">
        <v>79087</v>
      </c>
      <c r="E489" s="146"/>
      <c r="F489" s="17" t="s">
        <v>556</v>
      </c>
      <c r="G489" s="17" t="s">
        <v>442</v>
      </c>
      <c r="H489" s="16" t="s">
        <v>557</v>
      </c>
      <c r="I489" s="146">
        <v>1</v>
      </c>
      <c r="J489" s="146">
        <v>4.3</v>
      </c>
      <c r="K489" s="146">
        <v>1</v>
      </c>
      <c r="L489" s="146">
        <v>1</v>
      </c>
      <c r="M489" s="146">
        <v>1</v>
      </c>
      <c r="N489" s="148" t="s">
        <v>56</v>
      </c>
      <c r="O489" s="148">
        <f t="shared" si="61"/>
        <v>1</v>
      </c>
      <c r="P489" s="125">
        <v>44916</v>
      </c>
      <c r="Q489" s="149"/>
      <c r="R489" s="150">
        <v>1</v>
      </c>
      <c r="S489" s="150">
        <v>1</v>
      </c>
      <c r="T489" s="150">
        <v>0</v>
      </c>
      <c r="U489" s="151">
        <f>IF(ISBLANK(Table1[[#This Row],[OHC Date]]),$B$7-Table1[[#This Row],[HOC Date]]+1,Table1[[#This Row],[OHC Date]]-Table1[[#This Row],[HOC Date]]+1)/7</f>
        <v>0.7142857142857143</v>
      </c>
      <c r="V489" s="152">
        <v>3620.37</v>
      </c>
      <c r="W489" s="152">
        <v>54.93</v>
      </c>
      <c r="X489" s="152">
        <f>ROUND(0.7*Table1[[#This Row],[E&amp;D Rate per unit]]*R489*Table1[[#This Row],[Quantity]],2)</f>
        <v>2534.2600000000002</v>
      </c>
      <c r="Y489" s="152">
        <f t="shared" si="62"/>
        <v>39.24</v>
      </c>
      <c r="Z489" s="152">
        <f>ROUND(0.3*T489*Table1[[#This Row],[E&amp;D Rate per unit]]*Table1[[#This Row],[Quantity]],2)</f>
        <v>0</v>
      </c>
      <c r="AA489" s="19">
        <v>1</v>
      </c>
      <c r="AB489" s="163">
        <f>ROUND(X489+Z489+Y489,2)*Table1[[#This Row],[Until WA Approved Only Approved this %]]/2.3*1</f>
        <v>1118.913043478261</v>
      </c>
      <c r="AC489" s="153"/>
      <c r="AD489" s="153">
        <f>Table1[[#This Row],[Total Amount]]-Table1[[#This Row],[Previous Amount]]</f>
        <v>1118.913043478261</v>
      </c>
      <c r="AE489" s="142" t="s">
        <v>561</v>
      </c>
      <c r="AG489" s="174">
        <v>2573.5</v>
      </c>
      <c r="AH489" s="178">
        <f>AG489-Table1[[#This Row],[Total Amount]]</f>
        <v>1454.586956521739</v>
      </c>
      <c r="AI489" s="171">
        <f t="shared" si="56"/>
        <v>0.56521739130434778</v>
      </c>
    </row>
    <row r="490" spans="1:35" ht="30" customHeight="1" x14ac:dyDescent="0.3">
      <c r="A490" s="91" t="s">
        <v>91</v>
      </c>
      <c r="B490" s="91" t="s">
        <v>98</v>
      </c>
      <c r="C490" s="146" t="s">
        <v>568</v>
      </c>
      <c r="D490" s="146">
        <v>79088</v>
      </c>
      <c r="E490" s="146"/>
      <c r="F490" s="147" t="s">
        <v>569</v>
      </c>
      <c r="G490" s="17" t="s">
        <v>202</v>
      </c>
      <c r="H490" s="146" t="s">
        <v>178</v>
      </c>
      <c r="I490" s="146">
        <v>1</v>
      </c>
      <c r="J490" s="146">
        <v>3.8</v>
      </c>
      <c r="K490" s="146">
        <v>1.3</v>
      </c>
      <c r="L490" s="146">
        <v>1</v>
      </c>
      <c r="M490" s="146">
        <v>1</v>
      </c>
      <c r="N490" s="148" t="s">
        <v>162</v>
      </c>
      <c r="O490" s="148">
        <f t="shared" ref="O490:O497" si="63">ROUND(IF(N490="m3",I490*J490*K490*L490,IF(N490="m2-LxH",I490*J490*L490,IF(N490="m2-LxW",I490*J490*K490,IF(N490="rm",I490*L490,IF(N490="lm",I490*J490,IF(N490="unit",I490,"NA")))))),2)</f>
        <v>4.9400000000000004</v>
      </c>
      <c r="P490" s="125">
        <v>44916</v>
      </c>
      <c r="Q490" s="149"/>
      <c r="R490" s="150">
        <v>1</v>
      </c>
      <c r="S490" s="150">
        <v>1</v>
      </c>
      <c r="T490" s="150">
        <v>0</v>
      </c>
      <c r="U490" s="151">
        <f>IF(ISBLANK(Table1[[#This Row],[OHC Date]]),$B$7-Table1[[#This Row],[HOC Date]]+1,Table1[[#This Row],[OHC Date]]-Table1[[#This Row],[HOC Date]]+1)/7</f>
        <v>0.7142857142857143</v>
      </c>
      <c r="V490" s="152">
        <v>6.63</v>
      </c>
      <c r="W490" s="152">
        <v>0.7</v>
      </c>
      <c r="X490" s="152">
        <f>ROUND(0.7*Table1[[#This Row],[E&amp;D Rate per unit]]*R490*Table1[[#This Row],[Quantity]],2)</f>
        <v>22.93</v>
      </c>
      <c r="Y490" s="152">
        <f t="shared" ref="Y490:Y497" si="64">ROUND(O490*U490*W490*S490,2)</f>
        <v>2.4700000000000002</v>
      </c>
      <c r="Z490" s="152">
        <f>ROUND(0.3*T490*Table1[[#This Row],[E&amp;D Rate per unit]]*Table1[[#This Row],[Quantity]],2)</f>
        <v>0</v>
      </c>
      <c r="AA490" s="112">
        <v>1</v>
      </c>
      <c r="AB490" s="21">
        <f>ROUND(X490+Z490+Y490,2)*Table1[[#This Row],[Until WA Approved Only Approved this %]]</f>
        <v>25.4</v>
      </c>
      <c r="AC490" s="153"/>
      <c r="AD490" s="153">
        <f>Table1[[#This Row],[Total Amount]]-Table1[[#This Row],[Previous Amount]]</f>
        <v>25.4</v>
      </c>
      <c r="AE490" s="154"/>
      <c r="AG490" s="174">
        <v>25.4</v>
      </c>
      <c r="AH490" s="178">
        <f>AG490-Table1[[#This Row],[Total Amount]]</f>
        <v>0</v>
      </c>
      <c r="AI490" s="171">
        <f t="shared" si="56"/>
        <v>0</v>
      </c>
    </row>
    <row r="491" spans="1:35" ht="30" customHeight="1" x14ac:dyDescent="0.3">
      <c r="A491" s="91" t="s">
        <v>91</v>
      </c>
      <c r="B491" s="91" t="s">
        <v>98</v>
      </c>
      <c r="C491" s="146" t="s">
        <v>570</v>
      </c>
      <c r="D491" s="146">
        <v>79089</v>
      </c>
      <c r="E491" s="146"/>
      <c r="F491" s="147" t="s">
        <v>569</v>
      </c>
      <c r="G491" s="17" t="s">
        <v>202</v>
      </c>
      <c r="H491" s="109" t="s">
        <v>128</v>
      </c>
      <c r="I491" s="146">
        <v>1</v>
      </c>
      <c r="J491" s="146">
        <v>4</v>
      </c>
      <c r="K491" s="146">
        <v>0.5</v>
      </c>
      <c r="L491" s="146">
        <v>1</v>
      </c>
      <c r="M491" s="146">
        <v>1</v>
      </c>
      <c r="N491" s="148" t="s">
        <v>162</v>
      </c>
      <c r="O491" s="148">
        <f t="shared" si="63"/>
        <v>2</v>
      </c>
      <c r="P491" s="125">
        <v>44916</v>
      </c>
      <c r="Q491" s="149"/>
      <c r="R491" s="150">
        <v>1</v>
      </c>
      <c r="S491" s="150">
        <v>1</v>
      </c>
      <c r="T491" s="150">
        <v>0</v>
      </c>
      <c r="U491" s="151">
        <f>IF(ISBLANK(Table1[[#This Row],[OHC Date]]),$B$7-Table1[[#This Row],[HOC Date]]+1,Table1[[#This Row],[OHC Date]]-Table1[[#This Row],[HOC Date]]+1)/7</f>
        <v>0.7142857142857143</v>
      </c>
      <c r="V491" s="152">
        <v>32.75</v>
      </c>
      <c r="W491" s="152">
        <v>1.05</v>
      </c>
      <c r="X491" s="152">
        <f>ROUND(0.7*Table1[[#This Row],[E&amp;D Rate per unit]]*R491*Table1[[#This Row],[Quantity]],2)</f>
        <v>45.85</v>
      </c>
      <c r="Y491" s="152">
        <f t="shared" si="64"/>
        <v>1.5</v>
      </c>
      <c r="Z491" s="152">
        <f>ROUND(0.3*T491*Table1[[#This Row],[E&amp;D Rate per unit]]*Table1[[#This Row],[Quantity]],2)</f>
        <v>0</v>
      </c>
      <c r="AA491" s="112">
        <v>1</v>
      </c>
      <c r="AB491" s="21">
        <f>ROUND(X491+Z491+Y491,2)*Table1[[#This Row],[Until WA Approved Only Approved this %]]</f>
        <v>47.35</v>
      </c>
      <c r="AC491" s="153"/>
      <c r="AD491" s="153">
        <f>Table1[[#This Row],[Total Amount]]-Table1[[#This Row],[Previous Amount]]</f>
        <v>47.35</v>
      </c>
      <c r="AE491" s="154"/>
      <c r="AG491" s="174">
        <v>47.35</v>
      </c>
      <c r="AH491" s="178">
        <f>AG491-Table1[[#This Row],[Total Amount]]</f>
        <v>0</v>
      </c>
      <c r="AI491" s="171">
        <f t="shared" si="56"/>
        <v>0</v>
      </c>
    </row>
    <row r="492" spans="1:35" ht="30" customHeight="1" x14ac:dyDescent="0.3">
      <c r="A492" s="91" t="s">
        <v>91</v>
      </c>
      <c r="B492" s="91" t="s">
        <v>98</v>
      </c>
      <c r="C492" s="146">
        <v>77</v>
      </c>
      <c r="D492" s="146">
        <v>79090</v>
      </c>
      <c r="E492" s="146"/>
      <c r="F492" s="147" t="s">
        <v>571</v>
      </c>
      <c r="G492" s="17" t="s">
        <v>202</v>
      </c>
      <c r="H492" s="146" t="s">
        <v>222</v>
      </c>
      <c r="I492" s="146">
        <v>1</v>
      </c>
      <c r="J492" s="146">
        <v>1.3</v>
      </c>
      <c r="K492" s="146">
        <v>1.3</v>
      </c>
      <c r="L492" s="146">
        <v>4</v>
      </c>
      <c r="M492" s="146">
        <v>2</v>
      </c>
      <c r="N492" s="148" t="s">
        <v>223</v>
      </c>
      <c r="O492" s="148">
        <f t="shared" si="63"/>
        <v>4</v>
      </c>
      <c r="P492" s="125">
        <v>44917</v>
      </c>
      <c r="Q492" s="149"/>
      <c r="R492" s="150">
        <v>1</v>
      </c>
      <c r="S492" s="150">
        <v>1</v>
      </c>
      <c r="T492" s="150">
        <v>0</v>
      </c>
      <c r="U492" s="151">
        <f>IF(ISBLANK(Table1[[#This Row],[OHC Date]]),$B$7-Table1[[#This Row],[HOC Date]]+1,Table1[[#This Row],[OHC Date]]-Table1[[#This Row],[HOC Date]]+1)/7</f>
        <v>0.5714285714285714</v>
      </c>
      <c r="V492" s="152">
        <v>63.34</v>
      </c>
      <c r="W492" s="152">
        <v>7.28</v>
      </c>
      <c r="X492" s="152">
        <f>ROUND(0.7*Table1[[#This Row],[E&amp;D Rate per unit]]*R492*Table1[[#This Row],[Quantity]],2)</f>
        <v>177.35</v>
      </c>
      <c r="Y492" s="152">
        <f t="shared" si="64"/>
        <v>16.64</v>
      </c>
      <c r="Z492" s="152">
        <f>ROUND(0.3*T492*Table1[[#This Row],[E&amp;D Rate per unit]]*Table1[[#This Row],[Quantity]],2)</f>
        <v>0</v>
      </c>
      <c r="AA492" s="112">
        <v>1</v>
      </c>
      <c r="AB492" s="21">
        <f>ROUND(X492+Z492+Y492,2)*Table1[[#This Row],[Until WA Approved Only Approved this %]]</f>
        <v>193.99</v>
      </c>
      <c r="AC492" s="153"/>
      <c r="AD492" s="153">
        <f>Table1[[#This Row],[Total Amount]]-Table1[[#This Row],[Previous Amount]]</f>
        <v>193.99</v>
      </c>
      <c r="AE492" s="154"/>
      <c r="AG492" s="174">
        <v>193.99</v>
      </c>
      <c r="AH492" s="178">
        <f>AG492-Table1[[#This Row],[Total Amount]]</f>
        <v>0</v>
      </c>
      <c r="AI492" s="171">
        <f t="shared" si="56"/>
        <v>0</v>
      </c>
    </row>
    <row r="493" spans="1:35" ht="30" customHeight="1" x14ac:dyDescent="0.3">
      <c r="A493" s="91" t="s">
        <v>91</v>
      </c>
      <c r="B493" s="91" t="s">
        <v>98</v>
      </c>
      <c r="C493" s="146" t="s">
        <v>572</v>
      </c>
      <c r="D493" s="146">
        <v>79091</v>
      </c>
      <c r="E493" s="146"/>
      <c r="F493" s="147" t="s">
        <v>566</v>
      </c>
      <c r="G493" s="17" t="s">
        <v>202</v>
      </c>
      <c r="H493" s="146" t="s">
        <v>178</v>
      </c>
      <c r="I493" s="146">
        <v>1</v>
      </c>
      <c r="J493" s="146">
        <v>2.5</v>
      </c>
      <c r="K493" s="146">
        <v>1.3</v>
      </c>
      <c r="L493" s="146">
        <v>1</v>
      </c>
      <c r="M493" s="146">
        <v>1</v>
      </c>
      <c r="N493" s="148" t="s">
        <v>162</v>
      </c>
      <c r="O493" s="148">
        <f t="shared" si="63"/>
        <v>3.25</v>
      </c>
      <c r="P493" s="125">
        <v>44917</v>
      </c>
      <c r="Q493" s="149"/>
      <c r="R493" s="150">
        <v>1</v>
      </c>
      <c r="S493" s="150">
        <v>1</v>
      </c>
      <c r="T493" s="150">
        <v>0</v>
      </c>
      <c r="U493" s="151">
        <f>IF(ISBLANK(Table1[[#This Row],[OHC Date]]),$B$7-Table1[[#This Row],[HOC Date]]+1,Table1[[#This Row],[OHC Date]]-Table1[[#This Row],[HOC Date]]+1)/7</f>
        <v>0.5714285714285714</v>
      </c>
      <c r="V493" s="152">
        <v>6.63</v>
      </c>
      <c r="W493" s="152">
        <v>0.7</v>
      </c>
      <c r="X493" s="152">
        <f>ROUND(0.7*Table1[[#This Row],[E&amp;D Rate per unit]]*R493*Table1[[#This Row],[Quantity]],2)</f>
        <v>15.08</v>
      </c>
      <c r="Y493" s="152">
        <f t="shared" si="64"/>
        <v>1.3</v>
      </c>
      <c r="Z493" s="152">
        <f>ROUND(0.3*T493*Table1[[#This Row],[E&amp;D Rate per unit]]*Table1[[#This Row],[Quantity]],2)</f>
        <v>0</v>
      </c>
      <c r="AA493" s="112">
        <v>1</v>
      </c>
      <c r="AB493" s="21">
        <f>ROUND(X493+Z493+Y493,2)*Table1[[#This Row],[Until WA Approved Only Approved this %]]</f>
        <v>16.38</v>
      </c>
      <c r="AC493" s="153"/>
      <c r="AD493" s="153">
        <f>Table1[[#This Row],[Total Amount]]-Table1[[#This Row],[Previous Amount]]</f>
        <v>16.38</v>
      </c>
      <c r="AE493" s="154"/>
      <c r="AG493" s="174">
        <v>16.38</v>
      </c>
      <c r="AH493" s="178">
        <f>AG493-Table1[[#This Row],[Total Amount]]</f>
        <v>0</v>
      </c>
      <c r="AI493" s="171">
        <f t="shared" si="56"/>
        <v>0</v>
      </c>
    </row>
    <row r="494" spans="1:35" ht="30" customHeight="1" x14ac:dyDescent="0.3">
      <c r="A494" s="155" t="s">
        <v>554</v>
      </c>
      <c r="B494" s="91" t="s">
        <v>98</v>
      </c>
      <c r="C494" s="146" t="s">
        <v>573</v>
      </c>
      <c r="D494" s="146">
        <v>79092</v>
      </c>
      <c r="E494" s="146"/>
      <c r="F494" s="147" t="s">
        <v>556</v>
      </c>
      <c r="G494" s="17" t="s">
        <v>442</v>
      </c>
      <c r="H494" s="146" t="s">
        <v>557</v>
      </c>
      <c r="I494" s="146">
        <v>1</v>
      </c>
      <c r="J494" s="146">
        <v>4.3</v>
      </c>
      <c r="K494" s="146">
        <v>1</v>
      </c>
      <c r="L494" s="146">
        <v>1</v>
      </c>
      <c r="M494" s="146">
        <v>1</v>
      </c>
      <c r="N494" s="148" t="s">
        <v>56</v>
      </c>
      <c r="O494" s="148">
        <f t="shared" si="63"/>
        <v>1</v>
      </c>
      <c r="P494" s="125">
        <v>44917</v>
      </c>
      <c r="Q494" s="149"/>
      <c r="R494" s="150">
        <v>1</v>
      </c>
      <c r="S494" s="150">
        <v>1</v>
      </c>
      <c r="T494" s="150">
        <v>0</v>
      </c>
      <c r="U494" s="151">
        <f>IF(ISBLANK(Table1[[#This Row],[OHC Date]]),$B$7-Table1[[#This Row],[HOC Date]]+1,Table1[[#This Row],[OHC Date]]-Table1[[#This Row],[HOC Date]]+1)/7</f>
        <v>0.5714285714285714</v>
      </c>
      <c r="V494" s="152">
        <v>3620.37</v>
      </c>
      <c r="W494" s="152">
        <v>54.93</v>
      </c>
      <c r="X494" s="152">
        <f>ROUND(0.7*Table1[[#This Row],[E&amp;D Rate per unit]]*R494*Table1[[#This Row],[Quantity]],2)</f>
        <v>2534.2600000000002</v>
      </c>
      <c r="Y494" s="152">
        <f t="shared" si="64"/>
        <v>31.39</v>
      </c>
      <c r="Z494" s="152">
        <f>ROUND(0.3*T494*Table1[[#This Row],[E&amp;D Rate per unit]]*Table1[[#This Row],[Quantity]],2)</f>
        <v>0</v>
      </c>
      <c r="AA494" s="19">
        <v>1</v>
      </c>
      <c r="AB494" s="163">
        <f>ROUND(X494+Z494+Y494,2)*Table1[[#This Row],[Until WA Approved Only Approved this %]]/2.3*1</f>
        <v>1115.5000000000002</v>
      </c>
      <c r="AC494" s="153"/>
      <c r="AD494" s="153">
        <f>Table1[[#This Row],[Total Amount]]-Table1[[#This Row],[Previous Amount]]</f>
        <v>1115.5000000000002</v>
      </c>
      <c r="AE494" s="142" t="s">
        <v>561</v>
      </c>
      <c r="AG494" s="174">
        <v>2565.65</v>
      </c>
      <c r="AH494" s="178">
        <f>AG494-Table1[[#This Row],[Total Amount]]</f>
        <v>1450.1499999999999</v>
      </c>
      <c r="AI494" s="171">
        <f t="shared" si="56"/>
        <v>0.56521739130434778</v>
      </c>
    </row>
    <row r="495" spans="1:35" ht="30" customHeight="1" x14ac:dyDescent="0.3">
      <c r="A495" s="91" t="s">
        <v>633</v>
      </c>
      <c r="B495" s="91" t="s">
        <v>98</v>
      </c>
      <c r="C495" s="16"/>
      <c r="D495" s="16"/>
      <c r="E495" s="16"/>
      <c r="F495" s="17" t="s">
        <v>102</v>
      </c>
      <c r="G495" s="17" t="s">
        <v>103</v>
      </c>
      <c r="H495" s="16" t="s">
        <v>103</v>
      </c>
      <c r="I495" s="16">
        <v>1</v>
      </c>
      <c r="J495" s="16"/>
      <c r="K495" s="16"/>
      <c r="L495" s="16"/>
      <c r="M495" s="16"/>
      <c r="N495" s="92" t="s">
        <v>56</v>
      </c>
      <c r="O495" s="16">
        <f t="shared" si="63"/>
        <v>1</v>
      </c>
      <c r="P495" s="18">
        <v>44914</v>
      </c>
      <c r="Q495" s="18"/>
      <c r="R495" s="19">
        <v>0</v>
      </c>
      <c r="S495" s="19">
        <v>1</v>
      </c>
      <c r="T495" s="19">
        <v>0</v>
      </c>
      <c r="U495" s="20">
        <f>IF(ISBLANK(Table1[[#This Row],[OHC Date]]),$B$7-Table1[[#This Row],[HOC Date]]+1,Table1[[#This Row],[OHC Date]]-Table1[[#This Row],[HOC Date]]+1)/7</f>
        <v>1</v>
      </c>
      <c r="V495" s="21">
        <v>0</v>
      </c>
      <c r="W495" s="21">
        <v>200</v>
      </c>
      <c r="X495" s="21">
        <f>ROUND(0.7*Table1[[#This Row],[E&amp;D Rate per unit]]*R495*Table1[[#This Row],[Quantity]],2)</f>
        <v>0</v>
      </c>
      <c r="Y495" s="21">
        <f t="shared" si="64"/>
        <v>200</v>
      </c>
      <c r="Z495" s="21">
        <f>ROUND(0.3*T495*Table1[[#This Row],[E&amp;D Rate per unit]]*Table1[[#This Row],[Quantity]],2)</f>
        <v>0</v>
      </c>
      <c r="AA495" s="19">
        <v>1</v>
      </c>
      <c r="AB495" s="21">
        <f>ROUND(X495+Z495+Y495,2)*Table1[[#This Row],[Until WA Approved Only Approved this %]]</f>
        <v>200</v>
      </c>
      <c r="AC495" s="21"/>
      <c r="AD495" s="21">
        <f>Table1[[#This Row],[Total Amount]]-Table1[[#This Row],[Previous Amount]]</f>
        <v>200</v>
      </c>
      <c r="AE495" s="16"/>
      <c r="AG495" s="174">
        <v>200</v>
      </c>
      <c r="AH495" s="178">
        <f>AG495-Table1[[#This Row],[Total Amount]]</f>
        <v>0</v>
      </c>
      <c r="AI495" s="171">
        <f t="shared" si="56"/>
        <v>0</v>
      </c>
    </row>
    <row r="496" spans="1:35" ht="30" customHeight="1" x14ac:dyDescent="0.3">
      <c r="A496" s="91" t="s">
        <v>634</v>
      </c>
      <c r="B496" s="91" t="s">
        <v>98</v>
      </c>
      <c r="C496" s="16"/>
      <c r="D496" s="16"/>
      <c r="E496" s="16"/>
      <c r="F496" s="17" t="s">
        <v>102</v>
      </c>
      <c r="G496" s="17" t="s">
        <v>103</v>
      </c>
      <c r="H496" s="16" t="s">
        <v>103</v>
      </c>
      <c r="I496" s="16">
        <v>1</v>
      </c>
      <c r="J496" s="16"/>
      <c r="K496" s="16"/>
      <c r="L496" s="16"/>
      <c r="M496" s="16"/>
      <c r="N496" s="92" t="s">
        <v>56</v>
      </c>
      <c r="O496" s="16">
        <f t="shared" si="63"/>
        <v>1</v>
      </c>
      <c r="P496" s="18">
        <v>44916</v>
      </c>
      <c r="Q496" s="18"/>
      <c r="R496" s="19">
        <v>0</v>
      </c>
      <c r="S496" s="19">
        <v>1</v>
      </c>
      <c r="T496" s="19">
        <v>0</v>
      </c>
      <c r="U496" s="20">
        <f>IF(ISBLANK(Table1[[#This Row],[OHC Date]]),$B$7-Table1[[#This Row],[HOC Date]]+1,Table1[[#This Row],[OHC Date]]-Table1[[#This Row],[HOC Date]]+1)/7</f>
        <v>0.7142857142857143</v>
      </c>
      <c r="V496" s="21">
        <v>0</v>
      </c>
      <c r="W496" s="21">
        <v>200</v>
      </c>
      <c r="X496" s="21">
        <f>ROUND(0.7*Table1[[#This Row],[E&amp;D Rate per unit]]*R496*Table1[[#This Row],[Quantity]],2)</f>
        <v>0</v>
      </c>
      <c r="Y496" s="21">
        <f t="shared" si="64"/>
        <v>142.86000000000001</v>
      </c>
      <c r="Z496" s="21">
        <f>ROUND(0.3*T496*Table1[[#This Row],[E&amp;D Rate per unit]]*Table1[[#This Row],[Quantity]],2)</f>
        <v>0</v>
      </c>
      <c r="AA496" s="19">
        <v>1</v>
      </c>
      <c r="AB496" s="21">
        <f>ROUND(X496+Z496+Y496,2)*Table1[[#This Row],[Until WA Approved Only Approved this %]]</f>
        <v>142.86000000000001</v>
      </c>
      <c r="AC496" s="21"/>
      <c r="AD496" s="21">
        <f>Table1[[#This Row],[Total Amount]]-Table1[[#This Row],[Previous Amount]]</f>
        <v>142.86000000000001</v>
      </c>
      <c r="AE496" s="16"/>
      <c r="AG496" s="174">
        <v>142.86000000000001</v>
      </c>
      <c r="AH496" s="178">
        <f>AG496-Table1[[#This Row],[Total Amount]]</f>
        <v>0</v>
      </c>
      <c r="AI496" s="171">
        <f t="shared" si="56"/>
        <v>0</v>
      </c>
    </row>
    <row r="497" spans="1:35" ht="30" customHeight="1" x14ac:dyDescent="0.3">
      <c r="A497" s="91" t="s">
        <v>634</v>
      </c>
      <c r="B497" s="91" t="s">
        <v>98</v>
      </c>
      <c r="C497" s="146"/>
      <c r="D497" s="146"/>
      <c r="E497" s="146"/>
      <c r="F497" s="17" t="s">
        <v>102</v>
      </c>
      <c r="G497" s="17" t="s">
        <v>103</v>
      </c>
      <c r="H497" s="16" t="s">
        <v>103</v>
      </c>
      <c r="I497" s="146">
        <v>1</v>
      </c>
      <c r="J497" s="146"/>
      <c r="K497" s="146"/>
      <c r="L497" s="146"/>
      <c r="M497" s="146"/>
      <c r="N497" s="148" t="s">
        <v>56</v>
      </c>
      <c r="O497" s="148">
        <f t="shared" si="63"/>
        <v>1</v>
      </c>
      <c r="P497" s="18">
        <v>44917</v>
      </c>
      <c r="Q497" s="149"/>
      <c r="R497" s="19">
        <v>0</v>
      </c>
      <c r="S497" s="19">
        <v>1</v>
      </c>
      <c r="T497" s="19">
        <v>0</v>
      </c>
      <c r="U497" s="20">
        <f>IF(ISBLANK(Table1[[#This Row],[OHC Date]]),$B$7-Table1[[#This Row],[HOC Date]]+1,Table1[[#This Row],[OHC Date]]-Table1[[#This Row],[HOC Date]]+1)/7</f>
        <v>0.5714285714285714</v>
      </c>
      <c r="V497" s="21">
        <v>0</v>
      </c>
      <c r="W497" s="21">
        <v>200</v>
      </c>
      <c r="X497" s="21">
        <f>ROUND(0.7*Table1[[#This Row],[E&amp;D Rate per unit]]*R497*Table1[[#This Row],[Quantity]],2)</f>
        <v>0</v>
      </c>
      <c r="Y497" s="21">
        <f t="shared" si="64"/>
        <v>114.29</v>
      </c>
      <c r="Z497" s="21">
        <f>ROUND(0.3*T497*Table1[[#This Row],[E&amp;D Rate per unit]]*Table1[[#This Row],[Quantity]],2)</f>
        <v>0</v>
      </c>
      <c r="AA497" s="19">
        <v>1</v>
      </c>
      <c r="AB497" s="21">
        <f>ROUND(X497+Z497+Y497,2)*Table1[[#This Row],[Until WA Approved Only Approved this %]]</f>
        <v>114.29</v>
      </c>
      <c r="AC497" s="21"/>
      <c r="AD497" s="21">
        <f>Table1[[#This Row],[Total Amount]]-Table1[[#This Row],[Previous Amount]]</f>
        <v>114.29</v>
      </c>
      <c r="AE497" s="16"/>
      <c r="AG497" s="174">
        <v>114.29</v>
      </c>
      <c r="AH497" s="178">
        <f>AG497-Table1[[#This Row],[Total Amount]]</f>
        <v>0</v>
      </c>
      <c r="AI497" s="171">
        <f t="shared" si="56"/>
        <v>0</v>
      </c>
    </row>
    <row r="498" spans="1:35" ht="14" x14ac:dyDescent="0.3">
      <c r="A498" s="22" t="s">
        <v>34</v>
      </c>
      <c r="B498" s="22"/>
      <c r="C498" s="23"/>
      <c r="D498" s="23">
        <f>SUBTOTAL(103,Table1[HOC])</f>
        <v>478</v>
      </c>
      <c r="E498" s="23">
        <f>SUBTOTAL(103,Table1[OHC])</f>
        <v>243</v>
      </c>
      <c r="F498" s="24"/>
      <c r="G498" s="24"/>
      <c r="H498" s="23"/>
      <c r="I498" s="23"/>
      <c r="J498" s="23"/>
      <c r="K498" s="23"/>
      <c r="L498" s="23"/>
      <c r="M498" s="23"/>
      <c r="N498" s="23"/>
      <c r="O498" s="23"/>
      <c r="P498" s="126"/>
      <c r="Q498" s="126"/>
      <c r="R498" s="23"/>
      <c r="S498" s="23"/>
      <c r="T498" s="23"/>
      <c r="U498" s="23"/>
      <c r="V498" s="23"/>
      <c r="W498" s="23"/>
      <c r="X498" s="25">
        <f>SUBTOTAL(109,Table1[Erect Charges])</f>
        <v>595327.85999999964</v>
      </c>
      <c r="Y498" s="25">
        <f>SUBTOTAL(109,Table1[Hire Charges])</f>
        <v>390678.63999999961</v>
      </c>
      <c r="Z498" s="25">
        <f>SUBTOTAL(109,Table1[Dismantle Charges])</f>
        <v>37453.159999999953</v>
      </c>
      <c r="AA498" s="180"/>
      <c r="AB498" s="25">
        <f>SUBTOTAL(109,Table1[Total Amount])</f>
        <v>1000509.4915400305</v>
      </c>
      <c r="AC498" s="25">
        <f>SUBTOTAL(109,Table1[Previous Amount])</f>
        <v>600243.72999999975</v>
      </c>
      <c r="AD498" s="25">
        <f>SUBTOTAL(109,Table1[Net Amount])</f>
        <v>400265.76154002914</v>
      </c>
      <c r="AE498" s="26"/>
      <c r="AG498" s="174">
        <v>1025378.7000000011</v>
      </c>
      <c r="AH498" s="178" t="e">
        <f>AG498-Table1[[#This Row],[Total Amount]]</f>
        <v>#VALUE!</v>
      </c>
      <c r="AI498" s="171" t="e">
        <f>AVERAGE(AI10:AI497)</f>
        <v>#DIV/0!</v>
      </c>
    </row>
    <row r="499" spans="1:35" x14ac:dyDescent="0.35">
      <c r="F499" s="27"/>
      <c r="G499" s="27"/>
      <c r="P499" s="123"/>
      <c r="Y499" s="11"/>
      <c r="Z499" s="11"/>
      <c r="AA499" s="172"/>
      <c r="AB499" s="28"/>
      <c r="AC499" s="28"/>
      <c r="AD499" s="28"/>
      <c r="AE499" s="28"/>
    </row>
    <row r="500" spans="1:35" x14ac:dyDescent="0.35">
      <c r="P500" s="123"/>
      <c r="Y500" s="11"/>
      <c r="Z500" s="11"/>
      <c r="AA500" s="172"/>
      <c r="AB500" s="28"/>
      <c r="AC500" s="28"/>
      <c r="AD500" s="28"/>
      <c r="AE500" s="28"/>
    </row>
    <row r="501" spans="1:35" x14ac:dyDescent="0.35">
      <c r="P501" s="123"/>
      <c r="Y501" s="11"/>
      <c r="Z501" s="11"/>
      <c r="AA501" s="172"/>
      <c r="AB501" s="28"/>
      <c r="AC501" s="28"/>
      <c r="AD501" s="28"/>
      <c r="AE501" s="28"/>
    </row>
    <row r="502" spans="1:35" x14ac:dyDescent="0.35">
      <c r="P502" s="123"/>
    </row>
    <row r="503" spans="1:35" x14ac:dyDescent="0.35">
      <c r="P503" s="123"/>
    </row>
    <row r="504" spans="1:35" x14ac:dyDescent="0.35">
      <c r="P504" s="123"/>
    </row>
    <row r="505" spans="1:35" x14ac:dyDescent="0.35">
      <c r="P505" s="123"/>
    </row>
    <row r="506" spans="1:35" x14ac:dyDescent="0.35">
      <c r="P506" s="123"/>
    </row>
    <row r="507" spans="1:35" x14ac:dyDescent="0.35">
      <c r="P507" s="123"/>
    </row>
    <row r="508" spans="1:35" x14ac:dyDescent="0.35">
      <c r="P508" s="123"/>
    </row>
    <row r="509" spans="1:35" x14ac:dyDescent="0.35">
      <c r="P509" s="123"/>
    </row>
    <row r="510" spans="1:35" x14ac:dyDescent="0.35">
      <c r="P510" s="123"/>
    </row>
    <row r="511" spans="1:35" x14ac:dyDescent="0.35">
      <c r="P511" s="123"/>
    </row>
    <row r="512" spans="1:35" x14ac:dyDescent="0.35">
      <c r="P512" s="123"/>
    </row>
  </sheetData>
  <mergeCells count="2">
    <mergeCell ref="A2:E2"/>
    <mergeCell ref="A3:E3"/>
  </mergeCells>
  <phoneticPr fontId="15" type="noConversion"/>
  <dataValidations count="1">
    <dataValidation type="list" allowBlank="1" showInputMessage="1" showErrorMessage="1" sqref="N10:N497" xr:uid="{00000000-0002-0000-0000-000000000000}">
      <formula1>"m3,m2-LxH,m2-LxW,rm,lm,unit"</formula1>
    </dataValidation>
  </dataValidations>
  <pageMargins left="0.25" right="0.25" top="0.75" bottom="0.75" header="0.3" footer="0.3"/>
  <pageSetup paperSize="9" scale="26" fitToHeight="0" orientation="landscape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2640DE-5D9B-486C-AD03-5F3B770FF146}">
          <x14:formula1>
            <xm:f>'Order References'!$D$3:$D$44</xm:f>
          </x14:formula1>
          <xm:sqref>H70:H76 H89:H90 H461:H462 H116:H117 H129:H131 H133 H140:H142 H144 H155:H156 H161 H171 H174:H175 H177 H185:H186 H195:H196 H200 H213 H109:H110 H250 H272:H273 H301 H276 H293:H296 H313 H346 H348 H351 H354 H358 H360 H362 H364 H366 H211 H221:H223 H266 H240:H241 H258:H259 H279 H282 H284 H315 H324 H434 H138 H126:H127 H107 H330 H374 H385 H478 H416:H418 H464 H436:H437 H469 H476 H406:H407 H344 H369 H447:H448 H456 H412:H413 H466</xm:sqref>
        </x14:dataValidation>
        <x14:dataValidation type="list" allowBlank="1" showInputMessage="1" showErrorMessage="1" xr:uid="{8794D2FA-C92D-40A7-A257-54B502282F86}">
          <x14:formula1>
            <xm:f>'PA Front Sheet'!$M$3:$M$4</xm:f>
          </x14:formula1>
          <xm:sqref>B10:B497</xm:sqref>
        </x14:dataValidation>
        <x14:dataValidation type="list" allowBlank="1" showInputMessage="1" showErrorMessage="1" xr:uid="{A31C595E-9176-4B7A-A5E9-5C4781E7A121}">
          <x14:formula1>
            <xm:f>'Order References'!$C$3:$C$176</xm:f>
          </x14:formula1>
          <xm:sqref>A10:A497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D0E0-4AAD-48B0-B15A-3A46E7422E84}">
  <dimension ref="B1:H176"/>
  <sheetViews>
    <sheetView workbookViewId="0">
      <selection activeCell="D106" sqref="D106"/>
    </sheetView>
  </sheetViews>
  <sheetFormatPr defaultRowHeight="14.5" x14ac:dyDescent="0.35"/>
  <cols>
    <col min="1" max="1" width="2" customWidth="1"/>
    <col min="2" max="2" width="8.54296875" bestFit="1" customWidth="1"/>
    <col min="3" max="3" width="20.81640625" bestFit="1" customWidth="1"/>
    <col min="4" max="4" width="24.453125" bestFit="1" customWidth="1"/>
    <col min="5" max="5" width="7.54296875" customWidth="1"/>
    <col min="6" max="6" width="17.453125" customWidth="1"/>
    <col min="7" max="7" width="12.7265625" customWidth="1"/>
    <col min="8" max="8" width="9.7265625" customWidth="1"/>
  </cols>
  <sheetData>
    <row r="1" spans="2:8" ht="15" thickBot="1" x14ac:dyDescent="0.4"/>
    <row r="2" spans="2:8" ht="21" x14ac:dyDescent="0.35">
      <c r="B2" s="116" t="s">
        <v>105</v>
      </c>
      <c r="C2" s="117" t="s">
        <v>106</v>
      </c>
      <c r="D2" s="117" t="s">
        <v>107</v>
      </c>
      <c r="E2" s="117" t="s">
        <v>108</v>
      </c>
      <c r="F2" s="117" t="s">
        <v>109</v>
      </c>
      <c r="G2" s="117" t="s">
        <v>110</v>
      </c>
      <c r="H2" s="118" t="s">
        <v>111</v>
      </c>
    </row>
    <row r="3" spans="2:8" x14ac:dyDescent="0.35">
      <c r="B3" s="119">
        <v>1</v>
      </c>
      <c r="C3" s="107" t="s">
        <v>91</v>
      </c>
      <c r="D3" s="107" t="s">
        <v>112</v>
      </c>
      <c r="E3" s="107">
        <v>0</v>
      </c>
      <c r="F3" s="107" t="s">
        <v>113</v>
      </c>
      <c r="G3" s="107" t="s">
        <v>114</v>
      </c>
      <c r="H3" s="120">
        <v>63.34</v>
      </c>
    </row>
    <row r="4" spans="2:8" x14ac:dyDescent="0.35">
      <c r="B4" s="119">
        <v>2</v>
      </c>
      <c r="C4" s="107" t="s">
        <v>91</v>
      </c>
      <c r="D4" s="107" t="s">
        <v>112</v>
      </c>
      <c r="E4" s="107">
        <v>0</v>
      </c>
      <c r="F4" s="107" t="s">
        <v>214</v>
      </c>
      <c r="G4" s="107" t="s">
        <v>114</v>
      </c>
      <c r="H4" s="120">
        <v>7.28</v>
      </c>
    </row>
    <row r="5" spans="2:8" x14ac:dyDescent="0.35">
      <c r="B5" s="119">
        <v>3</v>
      </c>
      <c r="C5" s="107" t="s">
        <v>91</v>
      </c>
      <c r="D5" s="107" t="s">
        <v>115</v>
      </c>
      <c r="E5" s="107">
        <v>0</v>
      </c>
      <c r="F5" s="107" t="s">
        <v>113</v>
      </c>
      <c r="G5" s="107" t="s">
        <v>114</v>
      </c>
      <c r="H5" s="120">
        <v>103.33</v>
      </c>
    </row>
    <row r="6" spans="2:8" x14ac:dyDescent="0.35">
      <c r="B6" s="119">
        <v>4</v>
      </c>
      <c r="C6" s="107" t="s">
        <v>91</v>
      </c>
      <c r="D6" s="107" t="s">
        <v>115</v>
      </c>
      <c r="E6" s="107">
        <v>0</v>
      </c>
      <c r="F6" s="107" t="s">
        <v>214</v>
      </c>
      <c r="G6" s="107" t="s">
        <v>114</v>
      </c>
      <c r="H6" s="120">
        <v>10.29</v>
      </c>
    </row>
    <row r="7" spans="2:8" x14ac:dyDescent="0.35">
      <c r="B7" s="119">
        <v>5</v>
      </c>
      <c r="C7" s="107" t="s">
        <v>91</v>
      </c>
      <c r="D7" s="107" t="s">
        <v>116</v>
      </c>
      <c r="E7" s="107">
        <v>0</v>
      </c>
      <c r="F7" s="107" t="s">
        <v>113</v>
      </c>
      <c r="G7" s="107" t="s">
        <v>114</v>
      </c>
      <c r="H7" s="120">
        <v>148</v>
      </c>
    </row>
    <row r="8" spans="2:8" x14ac:dyDescent="0.35">
      <c r="B8" s="119">
        <v>6</v>
      </c>
      <c r="C8" s="107" t="s">
        <v>91</v>
      </c>
      <c r="D8" s="107" t="s">
        <v>117</v>
      </c>
      <c r="E8" s="107">
        <v>0</v>
      </c>
      <c r="F8" s="107" t="s">
        <v>214</v>
      </c>
      <c r="G8" s="107" t="s">
        <v>114</v>
      </c>
      <c r="H8" s="120">
        <v>12.88</v>
      </c>
    </row>
    <row r="9" spans="2:8" x14ac:dyDescent="0.35">
      <c r="B9" s="119">
        <v>7</v>
      </c>
      <c r="C9" s="107" t="s">
        <v>91</v>
      </c>
      <c r="D9" s="107" t="s">
        <v>118</v>
      </c>
      <c r="E9" s="107">
        <v>0</v>
      </c>
      <c r="F9" s="107" t="s">
        <v>113</v>
      </c>
      <c r="G9" s="107" t="s">
        <v>119</v>
      </c>
      <c r="H9" s="120">
        <v>12.01</v>
      </c>
    </row>
    <row r="10" spans="2:8" x14ac:dyDescent="0.35">
      <c r="B10" s="119">
        <v>8</v>
      </c>
      <c r="C10" s="107" t="s">
        <v>91</v>
      </c>
      <c r="D10" s="107" t="s">
        <v>118</v>
      </c>
      <c r="E10" s="107">
        <v>0</v>
      </c>
      <c r="F10" s="107" t="s">
        <v>214</v>
      </c>
      <c r="G10" s="107" t="s">
        <v>119</v>
      </c>
      <c r="H10" s="120">
        <v>0.49</v>
      </c>
    </row>
    <row r="11" spans="2:8" x14ac:dyDescent="0.35">
      <c r="B11" s="119">
        <v>9</v>
      </c>
      <c r="C11" s="107" t="s">
        <v>91</v>
      </c>
      <c r="D11" s="107" t="s">
        <v>120</v>
      </c>
      <c r="E11" s="107">
        <v>0</v>
      </c>
      <c r="F11" s="107" t="s">
        <v>113</v>
      </c>
      <c r="G11" s="107" t="s">
        <v>119</v>
      </c>
      <c r="H11" s="120">
        <v>16.760000000000002</v>
      </c>
    </row>
    <row r="12" spans="2:8" x14ac:dyDescent="0.35">
      <c r="B12" s="119">
        <v>10</v>
      </c>
      <c r="C12" s="107" t="s">
        <v>91</v>
      </c>
      <c r="D12" s="107" t="s">
        <v>120</v>
      </c>
      <c r="E12" s="107">
        <v>0</v>
      </c>
      <c r="F12" s="107" t="s">
        <v>214</v>
      </c>
      <c r="G12" s="107" t="s">
        <v>119</v>
      </c>
      <c r="H12" s="120">
        <v>0.77</v>
      </c>
    </row>
    <row r="13" spans="2:8" x14ac:dyDescent="0.35">
      <c r="B13" s="119">
        <v>11</v>
      </c>
      <c r="C13" s="107" t="s">
        <v>91</v>
      </c>
      <c r="D13" s="107" t="s">
        <v>121</v>
      </c>
      <c r="E13" s="107">
        <v>0</v>
      </c>
      <c r="F13" s="107" t="s">
        <v>113</v>
      </c>
      <c r="G13" s="107" t="s">
        <v>122</v>
      </c>
      <c r="H13" s="120">
        <v>7.08</v>
      </c>
    </row>
    <row r="14" spans="2:8" x14ac:dyDescent="0.35">
      <c r="B14" s="119">
        <v>12</v>
      </c>
      <c r="C14" s="107" t="s">
        <v>91</v>
      </c>
      <c r="D14" s="107" t="s">
        <v>121</v>
      </c>
      <c r="E14" s="107">
        <v>0</v>
      </c>
      <c r="F14" s="107" t="s">
        <v>214</v>
      </c>
      <c r="G14" s="107" t="s">
        <v>123</v>
      </c>
      <c r="H14" s="120">
        <v>0.49</v>
      </c>
    </row>
    <row r="15" spans="2:8" x14ac:dyDescent="0.35">
      <c r="B15" s="119">
        <v>13</v>
      </c>
      <c r="C15" s="107" t="s">
        <v>91</v>
      </c>
      <c r="D15" s="107" t="s">
        <v>124</v>
      </c>
      <c r="E15" s="107">
        <v>0</v>
      </c>
      <c r="F15" s="107" t="s">
        <v>113</v>
      </c>
      <c r="G15" s="107" t="s">
        <v>122</v>
      </c>
      <c r="H15" s="120">
        <v>10</v>
      </c>
    </row>
    <row r="16" spans="2:8" x14ac:dyDescent="0.35">
      <c r="B16" s="119">
        <v>14</v>
      </c>
      <c r="C16" s="107" t="s">
        <v>91</v>
      </c>
      <c r="D16" s="107" t="s">
        <v>124</v>
      </c>
      <c r="E16" s="107">
        <v>0</v>
      </c>
      <c r="F16" s="107" t="s">
        <v>214</v>
      </c>
      <c r="G16" s="107" t="s">
        <v>123</v>
      </c>
      <c r="H16" s="120">
        <v>0.91</v>
      </c>
    </row>
    <row r="17" spans="2:8" x14ac:dyDescent="0.35">
      <c r="B17" s="119">
        <v>15</v>
      </c>
      <c r="C17" s="107" t="s">
        <v>91</v>
      </c>
      <c r="D17" s="107" t="s">
        <v>125</v>
      </c>
      <c r="E17" s="107">
        <v>0</v>
      </c>
      <c r="F17" s="107" t="s">
        <v>113</v>
      </c>
      <c r="G17" s="107" t="s">
        <v>122</v>
      </c>
      <c r="H17" s="120">
        <v>5.29</v>
      </c>
    </row>
    <row r="18" spans="2:8" x14ac:dyDescent="0.35">
      <c r="B18" s="119">
        <v>16</v>
      </c>
      <c r="C18" s="107" t="s">
        <v>91</v>
      </c>
      <c r="D18" s="107" t="s">
        <v>125</v>
      </c>
      <c r="E18" s="107">
        <v>0</v>
      </c>
      <c r="F18" s="107" t="s">
        <v>214</v>
      </c>
      <c r="G18" s="107" t="s">
        <v>123</v>
      </c>
      <c r="H18" s="120">
        <v>0.35</v>
      </c>
    </row>
    <row r="19" spans="2:8" x14ac:dyDescent="0.35">
      <c r="B19" s="119">
        <v>17</v>
      </c>
      <c r="C19" s="107" t="s">
        <v>91</v>
      </c>
      <c r="D19" s="107" t="s">
        <v>126</v>
      </c>
      <c r="E19" s="107">
        <v>0</v>
      </c>
      <c r="F19" s="107" t="s">
        <v>113</v>
      </c>
      <c r="G19" s="107" t="s">
        <v>127</v>
      </c>
      <c r="H19" s="120">
        <v>6.63</v>
      </c>
    </row>
    <row r="20" spans="2:8" x14ac:dyDescent="0.35">
      <c r="B20" s="119">
        <v>18</v>
      </c>
      <c r="C20" s="107" t="s">
        <v>91</v>
      </c>
      <c r="D20" s="107" t="s">
        <v>126</v>
      </c>
      <c r="E20" s="107">
        <v>0</v>
      </c>
      <c r="F20" s="107" t="s">
        <v>214</v>
      </c>
      <c r="G20" s="107" t="s">
        <v>127</v>
      </c>
      <c r="H20" s="120">
        <v>0.7</v>
      </c>
    </row>
    <row r="21" spans="2:8" x14ac:dyDescent="0.35">
      <c r="B21" s="119">
        <v>19</v>
      </c>
      <c r="C21" s="107" t="s">
        <v>91</v>
      </c>
      <c r="D21" s="107" t="s">
        <v>128</v>
      </c>
      <c r="E21" s="107">
        <v>0</v>
      </c>
      <c r="F21" s="107" t="s">
        <v>113</v>
      </c>
      <c r="G21" s="107" t="s">
        <v>127</v>
      </c>
      <c r="H21" s="120">
        <v>32.75</v>
      </c>
    </row>
    <row r="22" spans="2:8" x14ac:dyDescent="0.35">
      <c r="B22" s="119">
        <v>20</v>
      </c>
      <c r="C22" s="107" t="s">
        <v>91</v>
      </c>
      <c r="D22" s="107" t="s">
        <v>128</v>
      </c>
      <c r="E22" s="107">
        <v>0</v>
      </c>
      <c r="F22" s="107" t="s">
        <v>214</v>
      </c>
      <c r="G22" s="107" t="s">
        <v>127</v>
      </c>
      <c r="H22" s="120">
        <v>1.05</v>
      </c>
    </row>
    <row r="23" spans="2:8" x14ac:dyDescent="0.35">
      <c r="B23" s="119">
        <v>21</v>
      </c>
      <c r="C23" s="107" t="s">
        <v>91</v>
      </c>
      <c r="D23" s="107" t="s">
        <v>129</v>
      </c>
      <c r="E23" s="107">
        <v>0</v>
      </c>
      <c r="F23" s="107" t="s">
        <v>113</v>
      </c>
      <c r="G23" s="107" t="s">
        <v>127</v>
      </c>
      <c r="H23" s="120">
        <v>36.520000000000003</v>
      </c>
    </row>
    <row r="24" spans="2:8" x14ac:dyDescent="0.35">
      <c r="B24" s="119">
        <v>22</v>
      </c>
      <c r="C24" s="107" t="s">
        <v>91</v>
      </c>
      <c r="D24" s="107" t="s">
        <v>129</v>
      </c>
      <c r="E24" s="107">
        <v>0</v>
      </c>
      <c r="F24" s="107" t="s">
        <v>214</v>
      </c>
      <c r="G24" s="107" t="s">
        <v>127</v>
      </c>
      <c r="H24" s="120">
        <v>2.94</v>
      </c>
    </row>
    <row r="25" spans="2:8" x14ac:dyDescent="0.35">
      <c r="B25" s="119">
        <v>23</v>
      </c>
      <c r="C25" s="107" t="s">
        <v>91</v>
      </c>
      <c r="D25" s="107" t="s">
        <v>130</v>
      </c>
      <c r="E25" s="107">
        <v>0</v>
      </c>
      <c r="F25" s="107" t="s">
        <v>113</v>
      </c>
      <c r="G25" s="107" t="s">
        <v>131</v>
      </c>
      <c r="H25" s="120">
        <v>37.43</v>
      </c>
    </row>
    <row r="26" spans="2:8" x14ac:dyDescent="0.35">
      <c r="B26" s="119">
        <v>24</v>
      </c>
      <c r="C26" s="107" t="s">
        <v>91</v>
      </c>
      <c r="D26" s="107" t="s">
        <v>130</v>
      </c>
      <c r="E26" s="107">
        <v>0</v>
      </c>
      <c r="F26" s="107" t="s">
        <v>214</v>
      </c>
      <c r="G26" s="107" t="s">
        <v>131</v>
      </c>
      <c r="H26" s="120">
        <v>1.4</v>
      </c>
    </row>
    <row r="27" spans="2:8" x14ac:dyDescent="0.35">
      <c r="B27" s="119">
        <v>25</v>
      </c>
      <c r="C27" s="107" t="s">
        <v>91</v>
      </c>
      <c r="D27" s="107" t="s">
        <v>132</v>
      </c>
      <c r="E27" s="107">
        <v>0</v>
      </c>
      <c r="F27" s="107" t="s">
        <v>113</v>
      </c>
      <c r="G27" s="107" t="s">
        <v>131</v>
      </c>
      <c r="H27" s="120">
        <v>0.3</v>
      </c>
    </row>
    <row r="28" spans="2:8" x14ac:dyDescent="0.35">
      <c r="B28" s="119">
        <v>26</v>
      </c>
      <c r="C28" s="107" t="s">
        <v>91</v>
      </c>
      <c r="D28" s="107" t="s">
        <v>132</v>
      </c>
      <c r="E28" s="107">
        <v>0</v>
      </c>
      <c r="F28" s="107" t="s">
        <v>214</v>
      </c>
      <c r="G28" s="107" t="s">
        <v>131</v>
      </c>
      <c r="H28" s="120">
        <v>0.14000000000000001</v>
      </c>
    </row>
    <row r="29" spans="2:8" x14ac:dyDescent="0.35">
      <c r="B29" s="119">
        <v>27</v>
      </c>
      <c r="C29" s="107" t="s">
        <v>91</v>
      </c>
      <c r="D29" s="107" t="s">
        <v>133</v>
      </c>
      <c r="E29" s="107">
        <v>0</v>
      </c>
      <c r="F29" s="107" t="s">
        <v>113</v>
      </c>
      <c r="G29" s="107" t="s">
        <v>131</v>
      </c>
      <c r="H29" s="120">
        <v>7</v>
      </c>
    </row>
    <row r="30" spans="2:8" x14ac:dyDescent="0.35">
      <c r="B30" s="119">
        <v>28</v>
      </c>
      <c r="C30" s="107" t="s">
        <v>91</v>
      </c>
      <c r="D30" s="107" t="s">
        <v>133</v>
      </c>
      <c r="E30" s="107">
        <v>0</v>
      </c>
      <c r="F30" s="107" t="s">
        <v>214</v>
      </c>
      <c r="G30" s="107" t="s">
        <v>131</v>
      </c>
      <c r="H30" s="120">
        <v>0.42</v>
      </c>
    </row>
    <row r="31" spans="2:8" x14ac:dyDescent="0.35">
      <c r="B31" s="119">
        <v>29</v>
      </c>
      <c r="C31" s="107" t="s">
        <v>91</v>
      </c>
      <c r="D31" s="107" t="s">
        <v>134</v>
      </c>
      <c r="E31" s="107">
        <v>0</v>
      </c>
      <c r="F31" s="107" t="s">
        <v>113</v>
      </c>
      <c r="G31" s="107" t="s">
        <v>131</v>
      </c>
      <c r="H31" s="120">
        <v>12</v>
      </c>
    </row>
    <row r="32" spans="2:8" x14ac:dyDescent="0.35">
      <c r="B32" s="119">
        <v>30</v>
      </c>
      <c r="C32" s="107" t="s">
        <v>91</v>
      </c>
      <c r="D32" s="107" t="s">
        <v>134</v>
      </c>
      <c r="E32" s="107">
        <v>0</v>
      </c>
      <c r="F32" s="107" t="s">
        <v>214</v>
      </c>
      <c r="G32" s="107" t="s">
        <v>131</v>
      </c>
      <c r="H32" s="120">
        <v>0.7</v>
      </c>
    </row>
    <row r="33" spans="2:8" x14ac:dyDescent="0.35">
      <c r="B33" s="119">
        <v>31</v>
      </c>
      <c r="C33" s="107" t="s">
        <v>91</v>
      </c>
      <c r="D33" s="107" t="s">
        <v>135</v>
      </c>
      <c r="E33" s="107">
        <v>0</v>
      </c>
      <c r="F33" s="107" t="s">
        <v>113</v>
      </c>
      <c r="G33" s="107" t="s">
        <v>131</v>
      </c>
      <c r="H33" s="120">
        <v>15</v>
      </c>
    </row>
    <row r="34" spans="2:8" x14ac:dyDescent="0.35">
      <c r="B34" s="119">
        <v>32</v>
      </c>
      <c r="C34" s="107" t="s">
        <v>91</v>
      </c>
      <c r="D34" s="107" t="s">
        <v>135</v>
      </c>
      <c r="E34" s="107">
        <v>0</v>
      </c>
      <c r="F34" s="107" t="s">
        <v>214</v>
      </c>
      <c r="G34" s="107" t="s">
        <v>131</v>
      </c>
      <c r="H34" s="120">
        <v>0.91</v>
      </c>
    </row>
    <row r="35" spans="2:8" x14ac:dyDescent="0.35">
      <c r="B35" s="119">
        <v>33</v>
      </c>
      <c r="C35" s="107" t="s">
        <v>91</v>
      </c>
      <c r="D35" s="107" t="s">
        <v>136</v>
      </c>
      <c r="E35" s="107">
        <v>0</v>
      </c>
      <c r="F35" s="107" t="s">
        <v>113</v>
      </c>
      <c r="G35" s="107" t="s">
        <v>131</v>
      </c>
      <c r="H35" s="120">
        <v>24</v>
      </c>
    </row>
    <row r="36" spans="2:8" x14ac:dyDescent="0.35">
      <c r="B36" s="119">
        <v>34</v>
      </c>
      <c r="C36" s="107" t="s">
        <v>91</v>
      </c>
      <c r="D36" s="107" t="s">
        <v>136</v>
      </c>
      <c r="E36" s="107">
        <v>0</v>
      </c>
      <c r="F36" s="107" t="s">
        <v>214</v>
      </c>
      <c r="G36" s="107" t="s">
        <v>131</v>
      </c>
      <c r="H36" s="120">
        <v>0.7</v>
      </c>
    </row>
    <row r="37" spans="2:8" x14ac:dyDescent="0.35">
      <c r="B37" s="119">
        <v>35</v>
      </c>
      <c r="C37" s="107" t="s">
        <v>91</v>
      </c>
      <c r="D37" s="107" t="s">
        <v>137</v>
      </c>
      <c r="E37" s="107">
        <v>0</v>
      </c>
      <c r="F37" s="107" t="s">
        <v>138</v>
      </c>
      <c r="G37" s="107" t="s">
        <v>119</v>
      </c>
      <c r="H37" s="120">
        <v>4.5199999999999996</v>
      </c>
    </row>
    <row r="38" spans="2:8" x14ac:dyDescent="0.35">
      <c r="B38" s="119">
        <v>36</v>
      </c>
      <c r="C38" s="107" t="s">
        <v>91</v>
      </c>
      <c r="D38" s="107" t="s">
        <v>139</v>
      </c>
      <c r="E38" s="107">
        <v>0</v>
      </c>
      <c r="F38" s="107" t="s">
        <v>138</v>
      </c>
      <c r="G38" s="107" t="s">
        <v>119</v>
      </c>
      <c r="H38" s="120">
        <v>4</v>
      </c>
    </row>
    <row r="39" spans="2:8" x14ac:dyDescent="0.35">
      <c r="B39" s="119">
        <v>37</v>
      </c>
      <c r="C39" s="107" t="s">
        <v>91</v>
      </c>
      <c r="D39" s="107" t="s">
        <v>140</v>
      </c>
      <c r="E39" s="107">
        <v>0</v>
      </c>
      <c r="F39" s="107" t="s">
        <v>113</v>
      </c>
      <c r="G39" s="107" t="s">
        <v>114</v>
      </c>
      <c r="H39" s="120">
        <v>250</v>
      </c>
    </row>
    <row r="40" spans="2:8" x14ac:dyDescent="0.35">
      <c r="B40" s="119">
        <v>38</v>
      </c>
      <c r="C40" s="107" t="s">
        <v>91</v>
      </c>
      <c r="D40" s="107" t="s">
        <v>140</v>
      </c>
      <c r="E40" s="107">
        <v>0</v>
      </c>
      <c r="F40" s="107" t="s">
        <v>214</v>
      </c>
      <c r="G40" s="107" t="s">
        <v>114</v>
      </c>
      <c r="H40" s="120">
        <v>14.35</v>
      </c>
    </row>
    <row r="41" spans="2:8" x14ac:dyDescent="0.35">
      <c r="B41" s="119">
        <v>39</v>
      </c>
      <c r="C41" s="107" t="s">
        <v>91</v>
      </c>
      <c r="D41" s="107" t="s">
        <v>141</v>
      </c>
      <c r="E41" s="107">
        <v>0</v>
      </c>
      <c r="F41" s="107" t="s">
        <v>113</v>
      </c>
      <c r="G41" s="107" t="s">
        <v>114</v>
      </c>
      <c r="H41" s="120">
        <v>376.2</v>
      </c>
    </row>
    <row r="42" spans="2:8" x14ac:dyDescent="0.35">
      <c r="B42" s="119">
        <v>40</v>
      </c>
      <c r="C42" s="107" t="s">
        <v>91</v>
      </c>
      <c r="D42" s="107" t="s">
        <v>141</v>
      </c>
      <c r="E42" s="107">
        <v>0</v>
      </c>
      <c r="F42" s="107" t="s">
        <v>214</v>
      </c>
      <c r="G42" s="107" t="s">
        <v>114</v>
      </c>
      <c r="H42" s="120">
        <v>40.11</v>
      </c>
    </row>
    <row r="43" spans="2:8" x14ac:dyDescent="0.35">
      <c r="B43" s="119">
        <v>41</v>
      </c>
      <c r="C43" s="107" t="s">
        <v>91</v>
      </c>
      <c r="D43" s="107" t="s">
        <v>142</v>
      </c>
      <c r="E43" s="107">
        <v>0</v>
      </c>
      <c r="F43" s="107" t="s">
        <v>80</v>
      </c>
      <c r="G43" s="107" t="s">
        <v>143</v>
      </c>
      <c r="H43" s="120">
        <v>20.5</v>
      </c>
    </row>
    <row r="44" spans="2:8" x14ac:dyDescent="0.35">
      <c r="B44" s="119">
        <v>42</v>
      </c>
      <c r="C44" s="107" t="s">
        <v>91</v>
      </c>
      <c r="D44" s="107" t="s">
        <v>144</v>
      </c>
      <c r="E44" s="107">
        <v>0</v>
      </c>
      <c r="F44" s="107" t="s">
        <v>80</v>
      </c>
      <c r="G44" s="107" t="s">
        <v>143</v>
      </c>
      <c r="H44" s="120">
        <v>24</v>
      </c>
    </row>
    <row r="45" spans="2:8" x14ac:dyDescent="0.35">
      <c r="B45" s="119">
        <v>43</v>
      </c>
      <c r="C45" s="107" t="s">
        <v>92</v>
      </c>
      <c r="D45" s="107" t="s">
        <v>145</v>
      </c>
      <c r="E45" s="107">
        <v>0</v>
      </c>
      <c r="F45" s="107" t="s">
        <v>113</v>
      </c>
      <c r="G45" s="107" t="s">
        <v>146</v>
      </c>
      <c r="H45" s="120">
        <v>0</v>
      </c>
    </row>
    <row r="46" spans="2:8" x14ac:dyDescent="0.35">
      <c r="B46" s="119">
        <v>44</v>
      </c>
      <c r="C46" s="107" t="s">
        <v>92</v>
      </c>
      <c r="D46" s="107" t="s">
        <v>145</v>
      </c>
      <c r="E46" s="107">
        <v>0</v>
      </c>
      <c r="F46" s="107" t="s">
        <v>214</v>
      </c>
      <c r="G46" s="107" t="s">
        <v>146</v>
      </c>
      <c r="H46" s="120">
        <f>200/7</f>
        <v>28.571428571428573</v>
      </c>
    </row>
    <row r="47" spans="2:8" x14ac:dyDescent="0.35">
      <c r="B47" s="119">
        <v>45</v>
      </c>
      <c r="C47" s="107" t="s">
        <v>93</v>
      </c>
      <c r="D47" s="107" t="s">
        <v>147</v>
      </c>
      <c r="E47" s="107">
        <v>1</v>
      </c>
      <c r="F47" s="107" t="s">
        <v>113</v>
      </c>
      <c r="G47" s="107" t="s">
        <v>148</v>
      </c>
      <c r="H47" s="120">
        <v>6044.84</v>
      </c>
    </row>
    <row r="48" spans="2:8" x14ac:dyDescent="0.35">
      <c r="B48" s="119">
        <v>46</v>
      </c>
      <c r="C48" s="107" t="s">
        <v>93</v>
      </c>
      <c r="D48" s="107" t="s">
        <v>147</v>
      </c>
      <c r="E48" s="107">
        <v>1</v>
      </c>
      <c r="F48" s="107" t="s">
        <v>214</v>
      </c>
      <c r="G48" s="107" t="s">
        <v>214</v>
      </c>
      <c r="H48" s="120">
        <f>317.71/7</f>
        <v>45.387142857142855</v>
      </c>
    </row>
    <row r="49" spans="2:8" x14ac:dyDescent="0.35">
      <c r="B49" s="119">
        <v>47</v>
      </c>
      <c r="C49" s="107" t="s">
        <v>94</v>
      </c>
      <c r="D49" s="107" t="s">
        <v>149</v>
      </c>
      <c r="E49" s="107">
        <v>1</v>
      </c>
      <c r="F49" s="107" t="s">
        <v>113</v>
      </c>
      <c r="G49" s="107" t="s">
        <v>148</v>
      </c>
      <c r="H49" s="120">
        <v>16252.45</v>
      </c>
    </row>
    <row r="50" spans="2:8" x14ac:dyDescent="0.35">
      <c r="B50" s="119">
        <v>48</v>
      </c>
      <c r="C50" s="107" t="s">
        <v>94</v>
      </c>
      <c r="D50" s="107" t="s">
        <v>149</v>
      </c>
      <c r="E50" s="107">
        <v>1</v>
      </c>
      <c r="F50" s="107" t="s">
        <v>214</v>
      </c>
      <c r="G50" s="107" t="s">
        <v>214</v>
      </c>
      <c r="H50" s="120">
        <f>625.97/7</f>
        <v>89.424285714285716</v>
      </c>
    </row>
    <row r="51" spans="2:8" x14ac:dyDescent="0.35">
      <c r="B51" s="119">
        <v>49</v>
      </c>
      <c r="C51" s="107" t="s">
        <v>95</v>
      </c>
      <c r="D51" s="107" t="s">
        <v>150</v>
      </c>
      <c r="E51" s="107">
        <v>1</v>
      </c>
      <c r="F51" s="107" t="s">
        <v>113</v>
      </c>
      <c r="G51" s="107" t="s">
        <v>148</v>
      </c>
      <c r="H51" s="120">
        <v>4844.83</v>
      </c>
    </row>
    <row r="52" spans="2:8" x14ac:dyDescent="0.35">
      <c r="B52" s="119">
        <v>50</v>
      </c>
      <c r="C52" s="107" t="s">
        <v>95</v>
      </c>
      <c r="D52" s="107" t="s">
        <v>150</v>
      </c>
      <c r="E52" s="107">
        <v>1</v>
      </c>
      <c r="F52" s="107" t="s">
        <v>214</v>
      </c>
      <c r="G52" s="107" t="s">
        <v>214</v>
      </c>
      <c r="H52" s="120">
        <f>111.93/7</f>
        <v>15.99</v>
      </c>
    </row>
    <row r="53" spans="2:8" x14ac:dyDescent="0.35">
      <c r="B53" s="119">
        <v>51</v>
      </c>
      <c r="C53" s="107" t="s">
        <v>95</v>
      </c>
      <c r="D53" s="107" t="s">
        <v>151</v>
      </c>
      <c r="E53" s="107">
        <v>1</v>
      </c>
      <c r="F53" s="107" t="s">
        <v>113</v>
      </c>
      <c r="G53" s="107" t="s">
        <v>148</v>
      </c>
      <c r="H53" s="120">
        <v>4990.83</v>
      </c>
    </row>
    <row r="54" spans="2:8" x14ac:dyDescent="0.35">
      <c r="B54" s="119">
        <v>52</v>
      </c>
      <c r="C54" s="107" t="s">
        <v>95</v>
      </c>
      <c r="D54" s="107" t="s">
        <v>151</v>
      </c>
      <c r="E54" s="107">
        <v>1</v>
      </c>
      <c r="F54" s="107" t="s">
        <v>214</v>
      </c>
      <c r="G54" s="107" t="s">
        <v>214</v>
      </c>
      <c r="H54" s="120">
        <f>121.95/7</f>
        <v>17.421428571428571</v>
      </c>
    </row>
    <row r="55" spans="2:8" x14ac:dyDescent="0.35">
      <c r="B55" s="119">
        <v>53</v>
      </c>
      <c r="C55" s="107" t="s">
        <v>95</v>
      </c>
      <c r="D55" s="107" t="s">
        <v>152</v>
      </c>
      <c r="E55" s="107">
        <v>1</v>
      </c>
      <c r="F55" s="107" t="s">
        <v>113</v>
      </c>
      <c r="G55" s="107" t="s">
        <v>148</v>
      </c>
      <c r="H55" s="120">
        <v>5095.97</v>
      </c>
    </row>
    <row r="56" spans="2:8" x14ac:dyDescent="0.35">
      <c r="B56" s="119">
        <v>54</v>
      </c>
      <c r="C56" s="107" t="s">
        <v>95</v>
      </c>
      <c r="D56" s="107" t="s">
        <v>152</v>
      </c>
      <c r="E56" s="107">
        <v>1</v>
      </c>
      <c r="F56" s="107" t="s">
        <v>214</v>
      </c>
      <c r="G56" s="107" t="s">
        <v>214</v>
      </c>
      <c r="H56" s="120">
        <f>129.15/7</f>
        <v>18.45</v>
      </c>
    </row>
    <row r="57" spans="2:8" x14ac:dyDescent="0.35">
      <c r="B57" s="119">
        <v>55</v>
      </c>
      <c r="C57" s="107" t="s">
        <v>95</v>
      </c>
      <c r="D57" s="107" t="s">
        <v>153</v>
      </c>
      <c r="E57" s="107">
        <v>1</v>
      </c>
      <c r="F57" s="107" t="s">
        <v>113</v>
      </c>
      <c r="G57" s="107" t="s">
        <v>148</v>
      </c>
      <c r="H57" s="120">
        <v>4127.3599999999997</v>
      </c>
    </row>
    <row r="58" spans="2:8" x14ac:dyDescent="0.35">
      <c r="B58" s="119">
        <v>56</v>
      </c>
      <c r="C58" s="107" t="s">
        <v>95</v>
      </c>
      <c r="D58" s="107" t="s">
        <v>153</v>
      </c>
      <c r="E58" s="107">
        <v>1</v>
      </c>
      <c r="F58" s="107" t="s">
        <v>214</v>
      </c>
      <c r="G58" s="107" t="s">
        <v>214</v>
      </c>
      <c r="H58" s="120">
        <f>59.06/7</f>
        <v>8.4371428571428577</v>
      </c>
    </row>
    <row r="59" spans="2:8" x14ac:dyDescent="0.35">
      <c r="B59" s="119">
        <v>57</v>
      </c>
      <c r="C59" s="107" t="s">
        <v>95</v>
      </c>
      <c r="D59" s="107" t="s">
        <v>154</v>
      </c>
      <c r="E59" s="107">
        <v>1</v>
      </c>
      <c r="F59" s="107" t="s">
        <v>113</v>
      </c>
      <c r="G59" s="107" t="s">
        <v>148</v>
      </c>
      <c r="H59" s="120">
        <v>8714.14</v>
      </c>
    </row>
    <row r="60" spans="2:8" x14ac:dyDescent="0.35">
      <c r="B60" s="119">
        <v>58</v>
      </c>
      <c r="C60" s="107" t="s">
        <v>95</v>
      </c>
      <c r="D60" s="107" t="s">
        <v>154</v>
      </c>
      <c r="E60" s="107">
        <v>1</v>
      </c>
      <c r="F60" s="107" t="s">
        <v>214</v>
      </c>
      <c r="G60" s="107" t="s">
        <v>214</v>
      </c>
      <c r="H60" s="120">
        <f>271.11/7</f>
        <v>38.730000000000004</v>
      </c>
    </row>
    <row r="61" spans="2:8" x14ac:dyDescent="0.35">
      <c r="B61" s="119">
        <v>59</v>
      </c>
      <c r="C61" s="107" t="s">
        <v>95</v>
      </c>
      <c r="D61" s="107" t="s">
        <v>155</v>
      </c>
      <c r="E61" s="107">
        <v>1</v>
      </c>
      <c r="F61" s="107" t="s">
        <v>113</v>
      </c>
      <c r="G61" s="107" t="s">
        <v>148</v>
      </c>
      <c r="H61" s="120">
        <v>5210.58</v>
      </c>
    </row>
    <row r="62" spans="2:8" x14ac:dyDescent="0.35">
      <c r="B62" s="119">
        <v>60</v>
      </c>
      <c r="C62" s="107" t="s">
        <v>95</v>
      </c>
      <c r="D62" s="107" t="s">
        <v>155</v>
      </c>
      <c r="E62" s="107">
        <v>1</v>
      </c>
      <c r="F62" s="107" t="s">
        <v>214</v>
      </c>
      <c r="G62" s="107" t="s">
        <v>214</v>
      </c>
      <c r="H62" s="120">
        <f>135.26/7</f>
        <v>19.322857142857142</v>
      </c>
    </row>
    <row r="63" spans="2:8" x14ac:dyDescent="0.35">
      <c r="B63" s="119">
        <v>61</v>
      </c>
      <c r="C63" s="107" t="s">
        <v>95</v>
      </c>
      <c r="D63" s="107" t="s">
        <v>156</v>
      </c>
      <c r="E63" s="107">
        <v>1</v>
      </c>
      <c r="F63" s="107" t="s">
        <v>113</v>
      </c>
      <c r="G63" s="107" t="s">
        <v>148</v>
      </c>
      <c r="H63" s="120">
        <v>5900.72</v>
      </c>
    </row>
    <row r="64" spans="2:8" x14ac:dyDescent="0.35">
      <c r="B64" s="119">
        <v>62</v>
      </c>
      <c r="C64" s="107" t="s">
        <v>95</v>
      </c>
      <c r="D64" s="107" t="s">
        <v>156</v>
      </c>
      <c r="E64" s="107">
        <v>1</v>
      </c>
      <c r="F64" s="107" t="s">
        <v>214</v>
      </c>
      <c r="G64" s="107" t="s">
        <v>214</v>
      </c>
      <c r="H64" s="120">
        <f>182.49/7</f>
        <v>26.07</v>
      </c>
    </row>
    <row r="65" spans="2:8" x14ac:dyDescent="0.35">
      <c r="B65" s="119">
        <v>63</v>
      </c>
      <c r="C65" s="107" t="s">
        <v>96</v>
      </c>
      <c r="D65" s="107" t="s">
        <v>157</v>
      </c>
      <c r="E65" s="107">
        <v>1</v>
      </c>
      <c r="F65" s="107" t="s">
        <v>113</v>
      </c>
      <c r="G65" s="107" t="s">
        <v>148</v>
      </c>
      <c r="H65" s="120">
        <v>53510.26</v>
      </c>
    </row>
    <row r="66" spans="2:8" x14ac:dyDescent="0.35">
      <c r="B66" s="119">
        <v>64</v>
      </c>
      <c r="C66" s="107" t="s">
        <v>96</v>
      </c>
      <c r="D66" s="107" t="s">
        <v>157</v>
      </c>
      <c r="E66" s="107">
        <v>1</v>
      </c>
      <c r="F66" s="107" t="s">
        <v>214</v>
      </c>
      <c r="G66" s="107" t="s">
        <v>214</v>
      </c>
      <c r="H66" s="120">
        <f>2807/7</f>
        <v>401</v>
      </c>
    </row>
    <row r="67" spans="2:8" x14ac:dyDescent="0.35">
      <c r="B67" s="119">
        <v>65</v>
      </c>
      <c r="C67" s="107" t="s">
        <v>97</v>
      </c>
      <c r="D67" s="107" t="s">
        <v>158</v>
      </c>
      <c r="E67" s="107">
        <v>1</v>
      </c>
      <c r="F67" s="107" t="s">
        <v>113</v>
      </c>
      <c r="G67" s="107" t="s">
        <v>148</v>
      </c>
      <c r="H67" s="120">
        <v>158449.10999999999</v>
      </c>
    </row>
    <row r="68" spans="2:8" x14ac:dyDescent="0.35">
      <c r="B68" s="119">
        <v>66</v>
      </c>
      <c r="C68" s="107" t="s">
        <v>97</v>
      </c>
      <c r="D68" s="107" t="s">
        <v>158</v>
      </c>
      <c r="E68" s="107">
        <v>1</v>
      </c>
      <c r="F68" s="107" t="s">
        <v>214</v>
      </c>
      <c r="G68" s="107" t="s">
        <v>214</v>
      </c>
      <c r="H68" s="120">
        <f>14128.97/7</f>
        <v>2018.4242857142856</v>
      </c>
    </row>
    <row r="69" spans="2:8" x14ac:dyDescent="0.35">
      <c r="B69" s="119">
        <v>67</v>
      </c>
      <c r="C69" s="107" t="s">
        <v>159</v>
      </c>
      <c r="D69" s="107"/>
      <c r="E69" s="107"/>
      <c r="F69" s="107"/>
      <c r="G69" s="107"/>
      <c r="H69" s="120"/>
    </row>
    <row r="70" spans="2:8" x14ac:dyDescent="0.35">
      <c r="B70" s="119">
        <v>68</v>
      </c>
      <c r="C70" s="107" t="s">
        <v>199</v>
      </c>
      <c r="D70" s="107" t="s">
        <v>200</v>
      </c>
      <c r="E70" s="107">
        <v>1</v>
      </c>
      <c r="F70" s="107" t="s">
        <v>113</v>
      </c>
      <c r="G70" s="107" t="s">
        <v>148</v>
      </c>
      <c r="H70" s="120">
        <v>5083.25</v>
      </c>
    </row>
    <row r="71" spans="2:8" x14ac:dyDescent="0.35">
      <c r="B71" s="119">
        <v>69</v>
      </c>
      <c r="C71" s="107" t="s">
        <v>199</v>
      </c>
      <c r="D71" s="107" t="s">
        <v>200</v>
      </c>
      <c r="E71" s="107">
        <v>1</v>
      </c>
      <c r="F71" s="107" t="s">
        <v>214</v>
      </c>
      <c r="G71" s="107" t="s">
        <v>214</v>
      </c>
      <c r="H71" s="120">
        <v>123.48</v>
      </c>
    </row>
    <row r="72" spans="2:8" x14ac:dyDescent="0.35">
      <c r="B72" s="119">
        <v>70</v>
      </c>
      <c r="C72" s="107" t="s">
        <v>241</v>
      </c>
      <c r="D72" s="107"/>
      <c r="E72" s="107">
        <v>1</v>
      </c>
      <c r="F72" s="107" t="s">
        <v>113</v>
      </c>
      <c r="G72" s="107" t="s">
        <v>148</v>
      </c>
      <c r="H72" s="120">
        <v>5979.17</v>
      </c>
    </row>
    <row r="73" spans="2:8" x14ac:dyDescent="0.35">
      <c r="B73" s="119">
        <v>71</v>
      </c>
      <c r="C73" s="107" t="s">
        <v>247</v>
      </c>
      <c r="D73" s="107" t="s">
        <v>248</v>
      </c>
      <c r="E73" s="107">
        <v>1</v>
      </c>
      <c r="F73" s="107" t="s">
        <v>113</v>
      </c>
      <c r="G73" s="107" t="s">
        <v>148</v>
      </c>
      <c r="H73" s="120">
        <v>14003.16</v>
      </c>
    </row>
    <row r="74" spans="2:8" x14ac:dyDescent="0.35">
      <c r="B74" s="119">
        <v>72</v>
      </c>
      <c r="C74" s="107" t="s">
        <v>247</v>
      </c>
      <c r="D74" s="107" t="s">
        <v>248</v>
      </c>
      <c r="E74" s="107">
        <v>1</v>
      </c>
      <c r="F74" s="107" t="s">
        <v>214</v>
      </c>
      <c r="G74" s="107" t="s">
        <v>214</v>
      </c>
      <c r="H74" s="120">
        <v>660.1</v>
      </c>
    </row>
    <row r="75" spans="2:8" x14ac:dyDescent="0.35">
      <c r="B75" s="119">
        <v>73</v>
      </c>
      <c r="C75" s="107" t="s">
        <v>260</v>
      </c>
      <c r="D75" s="107" t="s">
        <v>261</v>
      </c>
      <c r="E75" s="107">
        <v>1</v>
      </c>
      <c r="F75" s="107" t="s">
        <v>113</v>
      </c>
      <c r="G75" s="107" t="s">
        <v>148</v>
      </c>
      <c r="H75" s="120">
        <v>4082.38</v>
      </c>
    </row>
    <row r="76" spans="2:8" x14ac:dyDescent="0.35">
      <c r="B76" s="119">
        <v>74</v>
      </c>
      <c r="C76" s="107" t="s">
        <v>260</v>
      </c>
      <c r="D76" s="107" t="s">
        <v>261</v>
      </c>
      <c r="E76" s="107">
        <v>1</v>
      </c>
      <c r="F76" s="107" t="s">
        <v>214</v>
      </c>
      <c r="G76" s="107" t="s">
        <v>214</v>
      </c>
      <c r="H76" s="120">
        <v>49.28</v>
      </c>
    </row>
    <row r="77" spans="2:8" x14ac:dyDescent="0.35">
      <c r="B77" s="119">
        <v>75</v>
      </c>
      <c r="C77" s="107" t="s">
        <v>275</v>
      </c>
      <c r="D77" s="107"/>
      <c r="E77" s="107">
        <v>1</v>
      </c>
      <c r="F77" s="107" t="s">
        <v>113</v>
      </c>
      <c r="G77" s="107" t="s">
        <v>148</v>
      </c>
      <c r="H77" s="120">
        <v>5325.76</v>
      </c>
    </row>
    <row r="78" spans="2:8" x14ac:dyDescent="0.35">
      <c r="B78" s="119">
        <v>76</v>
      </c>
      <c r="C78" s="107" t="s">
        <v>275</v>
      </c>
      <c r="D78" s="107"/>
      <c r="E78" s="107">
        <v>1</v>
      </c>
      <c r="F78" s="107" t="s">
        <v>214</v>
      </c>
      <c r="G78" s="107" t="s">
        <v>214</v>
      </c>
      <c r="H78" s="120">
        <v>48.26</v>
      </c>
    </row>
    <row r="79" spans="2:8" x14ac:dyDescent="0.35">
      <c r="B79" s="119">
        <v>77</v>
      </c>
      <c r="C79" s="107" t="s">
        <v>275</v>
      </c>
      <c r="D79" s="107"/>
      <c r="E79" s="107">
        <v>1</v>
      </c>
      <c r="F79" s="107" t="s">
        <v>113</v>
      </c>
      <c r="G79" s="107" t="s">
        <v>148</v>
      </c>
      <c r="H79" s="120">
        <v>1375.16</v>
      </c>
    </row>
    <row r="80" spans="2:8" x14ac:dyDescent="0.35">
      <c r="B80" s="119">
        <v>78</v>
      </c>
      <c r="C80" s="107" t="s">
        <v>275</v>
      </c>
      <c r="D80" s="107"/>
      <c r="E80" s="107">
        <v>1</v>
      </c>
      <c r="F80" s="107" t="s">
        <v>214</v>
      </c>
      <c r="G80" s="107" t="s">
        <v>214</v>
      </c>
      <c r="H80" s="120">
        <v>6.17</v>
      </c>
    </row>
    <row r="81" spans="2:8" x14ac:dyDescent="0.35">
      <c r="B81" s="119">
        <v>79</v>
      </c>
      <c r="C81" s="107" t="s">
        <v>302</v>
      </c>
      <c r="D81" s="107"/>
      <c r="E81" s="107">
        <v>1</v>
      </c>
      <c r="F81" s="107" t="s">
        <v>113</v>
      </c>
      <c r="G81" s="107" t="s">
        <v>148</v>
      </c>
      <c r="H81" s="120">
        <v>2448.62</v>
      </c>
    </row>
    <row r="82" spans="2:8" x14ac:dyDescent="0.35">
      <c r="B82" s="119">
        <v>80</v>
      </c>
      <c r="C82" s="107" t="s">
        <v>302</v>
      </c>
      <c r="D82" s="107"/>
      <c r="E82" s="107">
        <v>1</v>
      </c>
      <c r="F82" s="107" t="s">
        <v>214</v>
      </c>
      <c r="G82" s="107" t="s">
        <v>214</v>
      </c>
      <c r="H82" s="120">
        <v>57.19</v>
      </c>
    </row>
    <row r="83" spans="2:8" x14ac:dyDescent="0.35">
      <c r="B83" s="119">
        <v>81</v>
      </c>
      <c r="C83" s="107" t="s">
        <v>351</v>
      </c>
      <c r="D83" s="107" t="s">
        <v>352</v>
      </c>
      <c r="E83" s="107">
        <v>1</v>
      </c>
      <c r="F83" s="107" t="s">
        <v>113</v>
      </c>
      <c r="G83" s="107" t="s">
        <v>148</v>
      </c>
      <c r="H83" s="120">
        <v>15415.16</v>
      </c>
    </row>
    <row r="84" spans="2:8" x14ac:dyDescent="0.35">
      <c r="B84" s="119">
        <v>82</v>
      </c>
      <c r="C84" s="107" t="s">
        <v>351</v>
      </c>
      <c r="D84" s="107" t="s">
        <v>352</v>
      </c>
      <c r="E84" s="107">
        <v>1</v>
      </c>
      <c r="F84" s="107" t="s">
        <v>214</v>
      </c>
      <c r="G84" s="107" t="s">
        <v>214</v>
      </c>
      <c r="H84" s="120">
        <v>297.83</v>
      </c>
    </row>
    <row r="85" spans="2:8" x14ac:dyDescent="0.35">
      <c r="B85" s="119">
        <v>83</v>
      </c>
      <c r="C85" s="107" t="s">
        <v>418</v>
      </c>
      <c r="D85" s="107" t="s">
        <v>419</v>
      </c>
      <c r="E85" s="107">
        <v>1</v>
      </c>
      <c r="F85" s="107" t="s">
        <v>113</v>
      </c>
      <c r="G85" s="107" t="s">
        <v>148</v>
      </c>
      <c r="H85" s="120">
        <v>11289.34</v>
      </c>
    </row>
    <row r="86" spans="2:8" x14ac:dyDescent="0.35">
      <c r="B86" s="119">
        <v>84</v>
      </c>
      <c r="C86" s="107" t="s">
        <v>418</v>
      </c>
      <c r="D86" s="107" t="s">
        <v>419</v>
      </c>
      <c r="E86" s="107">
        <v>1</v>
      </c>
      <c r="F86" s="107" t="s">
        <v>214</v>
      </c>
      <c r="G86" s="107" t="s">
        <v>214</v>
      </c>
      <c r="H86" s="120">
        <v>1429.84</v>
      </c>
    </row>
    <row r="87" spans="2:8" x14ac:dyDescent="0.35">
      <c r="B87" s="119">
        <v>85</v>
      </c>
      <c r="C87" s="107" t="s">
        <v>429</v>
      </c>
      <c r="D87" s="107"/>
      <c r="E87" s="107">
        <v>1</v>
      </c>
      <c r="F87" s="107" t="s">
        <v>113</v>
      </c>
      <c r="G87" s="107" t="s">
        <v>148</v>
      </c>
      <c r="H87" s="120">
        <v>13590.73</v>
      </c>
    </row>
    <row r="88" spans="2:8" x14ac:dyDescent="0.35">
      <c r="B88" s="119">
        <v>86</v>
      </c>
      <c r="C88" s="107" t="s">
        <v>429</v>
      </c>
      <c r="D88" s="107"/>
      <c r="E88" s="107">
        <v>1</v>
      </c>
      <c r="F88" s="107" t="s">
        <v>214</v>
      </c>
      <c r="G88" s="107" t="s">
        <v>214</v>
      </c>
      <c r="H88" s="120">
        <v>302.12</v>
      </c>
    </row>
    <row r="89" spans="2:8" x14ac:dyDescent="0.35">
      <c r="B89" s="119">
        <v>87</v>
      </c>
      <c r="C89" s="107" t="s">
        <v>481</v>
      </c>
      <c r="D89" s="107" t="s">
        <v>482</v>
      </c>
      <c r="E89" s="107">
        <v>1</v>
      </c>
      <c r="F89" s="107" t="s">
        <v>113</v>
      </c>
      <c r="G89" s="107" t="s">
        <v>148</v>
      </c>
      <c r="H89" s="120">
        <v>32825.120000000003</v>
      </c>
    </row>
    <row r="90" spans="2:8" x14ac:dyDescent="0.35">
      <c r="B90" s="119">
        <v>88</v>
      </c>
      <c r="C90" s="107" t="s">
        <v>481</v>
      </c>
      <c r="D90" s="107" t="s">
        <v>482</v>
      </c>
      <c r="E90" s="107">
        <v>1</v>
      </c>
      <c r="F90" s="107" t="s">
        <v>214</v>
      </c>
      <c r="G90" s="107" t="s">
        <v>214</v>
      </c>
      <c r="H90" s="120">
        <v>2044.24</v>
      </c>
    </row>
    <row r="91" spans="2:8" x14ac:dyDescent="0.35">
      <c r="B91" s="119">
        <v>89</v>
      </c>
      <c r="C91" s="107" t="s">
        <v>504</v>
      </c>
      <c r="D91" s="107"/>
      <c r="E91" s="107">
        <v>1</v>
      </c>
      <c r="F91" s="107" t="s">
        <v>113</v>
      </c>
      <c r="G91" s="107" t="s">
        <v>148</v>
      </c>
      <c r="H91" s="120">
        <v>4760.74</v>
      </c>
    </row>
    <row r="92" spans="2:8" x14ac:dyDescent="0.35">
      <c r="B92" s="119">
        <v>90</v>
      </c>
      <c r="C92" s="107" t="s">
        <v>504</v>
      </c>
      <c r="D92" s="107"/>
      <c r="E92" s="107">
        <v>1</v>
      </c>
      <c r="F92" s="107" t="s">
        <v>214</v>
      </c>
      <c r="G92" s="107" t="s">
        <v>214</v>
      </c>
      <c r="H92" s="120">
        <v>414.05</v>
      </c>
    </row>
    <row r="93" spans="2:8" x14ac:dyDescent="0.35">
      <c r="B93" s="119">
        <v>91</v>
      </c>
      <c r="C93" s="107" t="s">
        <v>511</v>
      </c>
      <c r="D93" s="107" t="s">
        <v>585</v>
      </c>
      <c r="E93" s="107">
        <v>1</v>
      </c>
      <c r="F93" s="107" t="s">
        <v>113</v>
      </c>
      <c r="G93" s="107" t="s">
        <v>148</v>
      </c>
      <c r="H93" s="120">
        <v>13067.86</v>
      </c>
    </row>
    <row r="94" spans="2:8" x14ac:dyDescent="0.35">
      <c r="B94" s="119">
        <v>92</v>
      </c>
      <c r="C94" s="107" t="s">
        <v>511</v>
      </c>
      <c r="D94" s="107" t="s">
        <v>585</v>
      </c>
      <c r="E94" s="107">
        <v>1</v>
      </c>
      <c r="F94" s="107" t="s">
        <v>214</v>
      </c>
      <c r="G94" s="107" t="s">
        <v>214</v>
      </c>
      <c r="H94" s="120">
        <v>788.67</v>
      </c>
    </row>
    <row r="95" spans="2:8" x14ac:dyDescent="0.35">
      <c r="B95" s="119">
        <v>93</v>
      </c>
      <c r="C95" s="107" t="s">
        <v>554</v>
      </c>
      <c r="D95" s="107" t="s">
        <v>555</v>
      </c>
      <c r="E95" s="107">
        <v>1</v>
      </c>
      <c r="F95" s="107" t="s">
        <v>113</v>
      </c>
      <c r="G95" s="107" t="s">
        <v>148</v>
      </c>
      <c r="H95" s="120">
        <v>3675.3</v>
      </c>
    </row>
    <row r="96" spans="2:8" x14ac:dyDescent="0.35">
      <c r="B96" s="119">
        <v>94</v>
      </c>
      <c r="C96" s="107" t="s">
        <v>554</v>
      </c>
      <c r="D96" s="107" t="s">
        <v>555</v>
      </c>
      <c r="E96" s="107">
        <v>1</v>
      </c>
      <c r="F96" s="107" t="s">
        <v>214</v>
      </c>
      <c r="G96" s="107" t="s">
        <v>214</v>
      </c>
      <c r="H96" s="120">
        <v>54.93</v>
      </c>
    </row>
    <row r="97" spans="2:8" x14ac:dyDescent="0.35">
      <c r="B97" s="119">
        <v>95</v>
      </c>
      <c r="C97" s="107" t="s">
        <v>605</v>
      </c>
      <c r="D97" s="107" t="s">
        <v>606</v>
      </c>
      <c r="E97" s="107">
        <v>1</v>
      </c>
      <c r="F97" s="107" t="s">
        <v>113</v>
      </c>
      <c r="G97" s="107" t="s">
        <v>148</v>
      </c>
      <c r="H97" s="120">
        <v>3562.04</v>
      </c>
    </row>
    <row r="98" spans="2:8" x14ac:dyDescent="0.35">
      <c r="B98" s="119">
        <v>96</v>
      </c>
      <c r="C98" s="107" t="s">
        <v>605</v>
      </c>
      <c r="D98" s="107" t="s">
        <v>606</v>
      </c>
      <c r="E98" s="107">
        <v>1</v>
      </c>
      <c r="F98" s="107" t="s">
        <v>214</v>
      </c>
      <c r="G98" s="107" t="s">
        <v>214</v>
      </c>
      <c r="H98" s="120">
        <v>181.02</v>
      </c>
    </row>
    <row r="99" spans="2:8" x14ac:dyDescent="0.35">
      <c r="B99" s="119">
        <v>97</v>
      </c>
      <c r="C99" s="107" t="s">
        <v>618</v>
      </c>
      <c r="D99" s="107" t="s">
        <v>619</v>
      </c>
      <c r="E99" s="107">
        <v>1</v>
      </c>
      <c r="F99" s="107" t="s">
        <v>113</v>
      </c>
      <c r="G99" s="107" t="s">
        <v>148</v>
      </c>
      <c r="H99" s="120">
        <v>36307.15</v>
      </c>
    </row>
    <row r="100" spans="2:8" x14ac:dyDescent="0.35">
      <c r="B100" s="119">
        <v>98</v>
      </c>
      <c r="C100" s="107" t="s">
        <v>618</v>
      </c>
      <c r="D100" s="107" t="s">
        <v>619</v>
      </c>
      <c r="E100" s="107">
        <v>1</v>
      </c>
      <c r="F100" s="107" t="s">
        <v>214</v>
      </c>
      <c r="G100" s="107" t="s">
        <v>214</v>
      </c>
      <c r="H100" s="120">
        <v>1384.55</v>
      </c>
    </row>
    <row r="101" spans="2:8" x14ac:dyDescent="0.35">
      <c r="B101" s="119">
        <v>99</v>
      </c>
      <c r="C101" s="107" t="s">
        <v>633</v>
      </c>
      <c r="D101" s="107" t="s">
        <v>145</v>
      </c>
      <c r="E101" s="107"/>
      <c r="F101" s="107" t="s">
        <v>113</v>
      </c>
      <c r="G101" s="107" t="s">
        <v>146</v>
      </c>
      <c r="H101" s="120">
        <v>0</v>
      </c>
    </row>
    <row r="102" spans="2:8" x14ac:dyDescent="0.35">
      <c r="B102" s="119">
        <v>100</v>
      </c>
      <c r="C102" s="107" t="s">
        <v>633</v>
      </c>
      <c r="D102" s="107" t="s">
        <v>145</v>
      </c>
      <c r="E102" s="107"/>
      <c r="F102" s="107" t="s">
        <v>214</v>
      </c>
      <c r="G102" s="107" t="s">
        <v>146</v>
      </c>
      <c r="H102" s="120">
        <v>275</v>
      </c>
    </row>
    <row r="103" spans="2:8" x14ac:dyDescent="0.35">
      <c r="B103" s="119">
        <v>101</v>
      </c>
      <c r="C103" s="107" t="s">
        <v>634</v>
      </c>
      <c r="D103" s="107" t="s">
        <v>145</v>
      </c>
      <c r="E103" s="107"/>
      <c r="F103" s="107" t="s">
        <v>113</v>
      </c>
      <c r="G103" s="107" t="s">
        <v>146</v>
      </c>
      <c r="H103" s="120">
        <v>0</v>
      </c>
    </row>
    <row r="104" spans="2:8" x14ac:dyDescent="0.35">
      <c r="B104" s="119">
        <v>102</v>
      </c>
      <c r="C104" s="107" t="s">
        <v>634</v>
      </c>
      <c r="D104" s="107" t="s">
        <v>145</v>
      </c>
      <c r="E104" s="107"/>
      <c r="F104" s="107" t="s">
        <v>214</v>
      </c>
      <c r="G104" s="107" t="s">
        <v>146</v>
      </c>
      <c r="H104" s="120">
        <v>275</v>
      </c>
    </row>
    <row r="105" spans="2:8" x14ac:dyDescent="0.35">
      <c r="B105" s="119">
        <v>103</v>
      </c>
      <c r="C105" s="107"/>
      <c r="D105" s="107"/>
      <c r="E105" s="107"/>
      <c r="F105" s="107"/>
      <c r="G105" s="107"/>
      <c r="H105" s="120"/>
    </row>
    <row r="106" spans="2:8" x14ac:dyDescent="0.35">
      <c r="B106" s="119">
        <v>104</v>
      </c>
      <c r="C106" s="107"/>
      <c r="D106" s="107"/>
      <c r="E106" s="107"/>
      <c r="F106" s="107"/>
      <c r="G106" s="107"/>
      <c r="H106" s="120"/>
    </row>
    <row r="107" spans="2:8" x14ac:dyDescent="0.35">
      <c r="B107" s="119">
        <v>105</v>
      </c>
      <c r="C107" s="107"/>
      <c r="D107" s="107"/>
      <c r="E107" s="107"/>
      <c r="F107" s="107"/>
      <c r="G107" s="107"/>
      <c r="H107" s="120"/>
    </row>
    <row r="108" spans="2:8" x14ac:dyDescent="0.35">
      <c r="B108" s="119">
        <v>106</v>
      </c>
      <c r="C108" s="107"/>
      <c r="D108" s="107"/>
      <c r="E108" s="107"/>
      <c r="F108" s="107"/>
      <c r="G108" s="107"/>
      <c r="H108" s="120"/>
    </row>
    <row r="109" spans="2:8" x14ac:dyDescent="0.35">
      <c r="B109" s="119">
        <v>107</v>
      </c>
      <c r="C109" s="107"/>
      <c r="D109" s="107"/>
      <c r="E109" s="107"/>
      <c r="F109" s="107"/>
      <c r="G109" s="107"/>
      <c r="H109" s="120"/>
    </row>
    <row r="110" spans="2:8" x14ac:dyDescent="0.35">
      <c r="B110" s="119">
        <v>108</v>
      </c>
      <c r="C110" s="107"/>
      <c r="D110" s="107"/>
      <c r="E110" s="107"/>
      <c r="F110" s="107"/>
      <c r="G110" s="107"/>
      <c r="H110" s="120"/>
    </row>
    <row r="111" spans="2:8" x14ac:dyDescent="0.35">
      <c r="B111" s="119">
        <v>109</v>
      </c>
      <c r="C111" s="107"/>
      <c r="D111" s="107"/>
      <c r="E111" s="107"/>
      <c r="F111" s="107"/>
      <c r="G111" s="107"/>
      <c r="H111" s="120"/>
    </row>
    <row r="112" spans="2:8" x14ac:dyDescent="0.35">
      <c r="B112" s="119">
        <v>110</v>
      </c>
      <c r="C112" s="107"/>
      <c r="D112" s="107"/>
      <c r="E112" s="107"/>
      <c r="F112" s="107"/>
      <c r="G112" s="107"/>
      <c r="H112" s="120"/>
    </row>
    <row r="113" spans="2:8" x14ac:dyDescent="0.35">
      <c r="B113" s="119">
        <v>111</v>
      </c>
      <c r="C113" s="107"/>
      <c r="D113" s="107"/>
      <c r="E113" s="107"/>
      <c r="F113" s="107"/>
      <c r="G113" s="107"/>
      <c r="H113" s="120"/>
    </row>
    <row r="114" spans="2:8" x14ac:dyDescent="0.35">
      <c r="B114" s="119">
        <v>112</v>
      </c>
      <c r="C114" s="107"/>
      <c r="D114" s="107"/>
      <c r="E114" s="107"/>
      <c r="F114" s="107"/>
      <c r="G114" s="107"/>
      <c r="H114" s="120"/>
    </row>
    <row r="115" spans="2:8" x14ac:dyDescent="0.35">
      <c r="B115" s="119">
        <v>113</v>
      </c>
      <c r="C115" s="107"/>
      <c r="D115" s="107"/>
      <c r="E115" s="107"/>
      <c r="F115" s="107"/>
      <c r="G115" s="107"/>
      <c r="H115" s="120"/>
    </row>
    <row r="116" spans="2:8" x14ac:dyDescent="0.35">
      <c r="B116" s="119">
        <v>114</v>
      </c>
      <c r="C116" s="107"/>
      <c r="D116" s="107"/>
      <c r="E116" s="107"/>
      <c r="F116" s="107"/>
      <c r="G116" s="107"/>
      <c r="H116" s="120"/>
    </row>
    <row r="117" spans="2:8" x14ac:dyDescent="0.35">
      <c r="B117" s="119">
        <v>115</v>
      </c>
      <c r="C117" s="107"/>
      <c r="D117" s="107"/>
      <c r="E117" s="107"/>
      <c r="F117" s="107"/>
      <c r="G117" s="107"/>
      <c r="H117" s="120"/>
    </row>
    <row r="118" spans="2:8" x14ac:dyDescent="0.35">
      <c r="B118" s="119">
        <v>116</v>
      </c>
      <c r="C118" s="107"/>
      <c r="D118" s="107"/>
      <c r="E118" s="107"/>
      <c r="F118" s="107"/>
      <c r="G118" s="107"/>
      <c r="H118" s="120"/>
    </row>
    <row r="119" spans="2:8" x14ac:dyDescent="0.35">
      <c r="B119" s="119">
        <v>117</v>
      </c>
      <c r="C119" s="107"/>
      <c r="D119" s="107"/>
      <c r="E119" s="107"/>
      <c r="F119" s="107"/>
      <c r="G119" s="107"/>
      <c r="H119" s="120"/>
    </row>
    <row r="120" spans="2:8" x14ac:dyDescent="0.35">
      <c r="B120" s="119">
        <v>118</v>
      </c>
      <c r="C120" s="107"/>
      <c r="D120" s="107"/>
      <c r="E120" s="107"/>
      <c r="F120" s="107"/>
      <c r="G120" s="107"/>
      <c r="H120" s="120"/>
    </row>
    <row r="121" spans="2:8" x14ac:dyDescent="0.35">
      <c r="B121" s="119">
        <v>119</v>
      </c>
      <c r="C121" s="107"/>
      <c r="D121" s="107"/>
      <c r="E121" s="107"/>
      <c r="F121" s="107"/>
      <c r="G121" s="107"/>
      <c r="H121" s="120"/>
    </row>
    <row r="122" spans="2:8" x14ac:dyDescent="0.35">
      <c r="B122" s="119">
        <v>120</v>
      </c>
      <c r="C122" s="107"/>
      <c r="D122" s="107"/>
      <c r="E122" s="107"/>
      <c r="F122" s="107"/>
      <c r="G122" s="107"/>
      <c r="H122" s="120"/>
    </row>
    <row r="123" spans="2:8" x14ac:dyDescent="0.35">
      <c r="B123" s="119">
        <v>121</v>
      </c>
      <c r="C123" s="107"/>
      <c r="D123" s="107"/>
      <c r="E123" s="107"/>
      <c r="F123" s="107"/>
      <c r="G123" s="107"/>
      <c r="H123" s="120"/>
    </row>
    <row r="124" spans="2:8" x14ac:dyDescent="0.35">
      <c r="B124" s="119">
        <v>122</v>
      </c>
      <c r="C124" s="107"/>
      <c r="D124" s="107"/>
      <c r="E124" s="107"/>
      <c r="F124" s="107"/>
      <c r="G124" s="107"/>
      <c r="H124" s="120"/>
    </row>
    <row r="125" spans="2:8" x14ac:dyDescent="0.35">
      <c r="B125" s="119">
        <v>123</v>
      </c>
      <c r="C125" s="107"/>
      <c r="D125" s="107"/>
      <c r="E125" s="107"/>
      <c r="F125" s="107"/>
      <c r="G125" s="107"/>
      <c r="H125" s="120"/>
    </row>
    <row r="126" spans="2:8" x14ac:dyDescent="0.35">
      <c r="B126" s="119">
        <v>124</v>
      </c>
      <c r="C126" s="107"/>
      <c r="D126" s="107"/>
      <c r="E126" s="107"/>
      <c r="F126" s="107"/>
      <c r="G126" s="107"/>
      <c r="H126" s="120"/>
    </row>
    <row r="127" spans="2:8" x14ac:dyDescent="0.35">
      <c r="B127" s="119">
        <v>125</v>
      </c>
      <c r="C127" s="107"/>
      <c r="D127" s="107"/>
      <c r="E127" s="107"/>
      <c r="F127" s="107"/>
      <c r="G127" s="107"/>
      <c r="H127" s="120"/>
    </row>
    <row r="128" spans="2:8" x14ac:dyDescent="0.35">
      <c r="B128" s="119">
        <v>126</v>
      </c>
      <c r="C128" s="107"/>
      <c r="D128" s="107"/>
      <c r="E128" s="107"/>
      <c r="F128" s="107"/>
      <c r="G128" s="107"/>
      <c r="H128" s="120"/>
    </row>
    <row r="129" spans="2:8" x14ac:dyDescent="0.35">
      <c r="B129" s="119">
        <v>127</v>
      </c>
      <c r="C129" s="107"/>
      <c r="D129" s="107"/>
      <c r="E129" s="107"/>
      <c r="F129" s="107"/>
      <c r="G129" s="107"/>
      <c r="H129" s="120"/>
    </row>
    <row r="130" spans="2:8" x14ac:dyDescent="0.35">
      <c r="B130" s="119">
        <v>128</v>
      </c>
      <c r="C130" s="107"/>
      <c r="D130" s="107"/>
      <c r="E130" s="107"/>
      <c r="F130" s="107"/>
      <c r="G130" s="107"/>
      <c r="H130" s="120"/>
    </row>
    <row r="131" spans="2:8" x14ac:dyDescent="0.35">
      <c r="B131" s="119">
        <v>129</v>
      </c>
      <c r="C131" s="107"/>
      <c r="D131" s="107"/>
      <c r="E131" s="107"/>
      <c r="F131" s="107"/>
      <c r="G131" s="107"/>
      <c r="H131" s="120"/>
    </row>
    <row r="132" spans="2:8" x14ac:dyDescent="0.35">
      <c r="B132" s="119">
        <v>130</v>
      </c>
      <c r="C132" s="107"/>
      <c r="D132" s="107"/>
      <c r="E132" s="107"/>
      <c r="F132" s="107"/>
      <c r="G132" s="107"/>
      <c r="H132" s="120"/>
    </row>
    <row r="133" spans="2:8" x14ac:dyDescent="0.35">
      <c r="B133" s="119">
        <v>131</v>
      </c>
      <c r="C133" s="107"/>
      <c r="D133" s="107"/>
      <c r="E133" s="107"/>
      <c r="F133" s="107"/>
      <c r="G133" s="107"/>
      <c r="H133" s="120"/>
    </row>
    <row r="134" spans="2:8" x14ac:dyDescent="0.35">
      <c r="B134" s="119">
        <v>132</v>
      </c>
      <c r="C134" s="107"/>
      <c r="D134" s="107"/>
      <c r="E134" s="107"/>
      <c r="F134" s="107"/>
      <c r="G134" s="107"/>
      <c r="H134" s="120"/>
    </row>
    <row r="135" spans="2:8" x14ac:dyDescent="0.35">
      <c r="B135" s="119">
        <v>133</v>
      </c>
      <c r="C135" s="107"/>
      <c r="D135" s="107"/>
      <c r="E135" s="107"/>
      <c r="F135" s="107"/>
      <c r="G135" s="107"/>
      <c r="H135" s="120"/>
    </row>
    <row r="136" spans="2:8" x14ac:dyDescent="0.35">
      <c r="B136" s="119">
        <v>134</v>
      </c>
      <c r="C136" s="107"/>
      <c r="D136" s="107"/>
      <c r="E136" s="107"/>
      <c r="F136" s="107"/>
      <c r="G136" s="107"/>
      <c r="H136" s="120"/>
    </row>
    <row r="137" spans="2:8" x14ac:dyDescent="0.35">
      <c r="B137" s="119">
        <v>135</v>
      </c>
      <c r="C137" s="107"/>
      <c r="D137" s="107"/>
      <c r="E137" s="107"/>
      <c r="F137" s="107"/>
      <c r="G137" s="107"/>
      <c r="H137" s="120"/>
    </row>
    <row r="138" spans="2:8" x14ac:dyDescent="0.35">
      <c r="B138" s="119">
        <v>136</v>
      </c>
      <c r="C138" s="107"/>
      <c r="D138" s="107"/>
      <c r="E138" s="107"/>
      <c r="F138" s="107"/>
      <c r="G138" s="107"/>
      <c r="H138" s="120"/>
    </row>
    <row r="139" spans="2:8" x14ac:dyDescent="0.35">
      <c r="B139" s="119">
        <v>137</v>
      </c>
      <c r="C139" s="107"/>
      <c r="D139" s="107"/>
      <c r="E139" s="107"/>
      <c r="F139" s="107"/>
      <c r="G139" s="107"/>
      <c r="H139" s="120"/>
    </row>
    <row r="140" spans="2:8" x14ac:dyDescent="0.35">
      <c r="B140" s="119">
        <v>138</v>
      </c>
      <c r="C140" s="107"/>
      <c r="D140" s="107"/>
      <c r="E140" s="107"/>
      <c r="F140" s="107"/>
      <c r="G140" s="107"/>
      <c r="H140" s="120"/>
    </row>
    <row r="141" spans="2:8" x14ac:dyDescent="0.35">
      <c r="B141" s="119">
        <v>139</v>
      </c>
      <c r="C141" s="107"/>
      <c r="D141" s="107"/>
      <c r="E141" s="107"/>
      <c r="F141" s="107"/>
      <c r="G141" s="107"/>
      <c r="H141" s="120"/>
    </row>
    <row r="142" spans="2:8" x14ac:dyDescent="0.35">
      <c r="B142" s="119">
        <v>140</v>
      </c>
      <c r="C142" s="107"/>
      <c r="D142" s="107"/>
      <c r="E142" s="107"/>
      <c r="F142" s="107"/>
      <c r="G142" s="107"/>
      <c r="H142" s="120"/>
    </row>
    <row r="143" spans="2:8" x14ac:dyDescent="0.35">
      <c r="B143" s="119">
        <v>141</v>
      </c>
      <c r="C143" s="107"/>
      <c r="D143" s="107"/>
      <c r="E143" s="107"/>
      <c r="F143" s="107"/>
      <c r="G143" s="107"/>
      <c r="H143" s="120"/>
    </row>
    <row r="144" spans="2:8" x14ac:dyDescent="0.35">
      <c r="B144" s="119">
        <v>142</v>
      </c>
      <c r="C144" s="107"/>
      <c r="D144" s="107"/>
      <c r="E144" s="107"/>
      <c r="F144" s="107"/>
      <c r="G144" s="107"/>
      <c r="H144" s="120"/>
    </row>
    <row r="145" spans="2:8" x14ac:dyDescent="0.35">
      <c r="B145" s="119">
        <v>143</v>
      </c>
      <c r="C145" s="107"/>
      <c r="D145" s="107"/>
      <c r="E145" s="107"/>
      <c r="F145" s="107"/>
      <c r="G145" s="107"/>
      <c r="H145" s="120"/>
    </row>
    <row r="146" spans="2:8" x14ac:dyDescent="0.35">
      <c r="B146" s="119">
        <v>144</v>
      </c>
      <c r="C146" s="107"/>
      <c r="D146" s="107"/>
      <c r="E146" s="107"/>
      <c r="F146" s="107"/>
      <c r="G146" s="107"/>
      <c r="H146" s="120"/>
    </row>
    <row r="147" spans="2:8" x14ac:dyDescent="0.35">
      <c r="B147" s="119">
        <v>145</v>
      </c>
      <c r="C147" s="107"/>
      <c r="D147" s="107"/>
      <c r="E147" s="107"/>
      <c r="F147" s="107"/>
      <c r="G147" s="107"/>
      <c r="H147" s="120"/>
    </row>
    <row r="148" spans="2:8" x14ac:dyDescent="0.35">
      <c r="B148" s="119">
        <v>146</v>
      </c>
      <c r="C148" s="107"/>
      <c r="D148" s="107"/>
      <c r="E148" s="107"/>
      <c r="F148" s="107"/>
      <c r="G148" s="107"/>
      <c r="H148" s="120"/>
    </row>
    <row r="149" spans="2:8" x14ac:dyDescent="0.35">
      <c r="B149" s="119">
        <v>147</v>
      </c>
      <c r="C149" s="107"/>
      <c r="D149" s="107"/>
      <c r="E149" s="107"/>
      <c r="F149" s="107"/>
      <c r="G149" s="107"/>
      <c r="H149" s="120"/>
    </row>
    <row r="150" spans="2:8" x14ac:dyDescent="0.35">
      <c r="B150" s="119">
        <v>148</v>
      </c>
      <c r="C150" s="107"/>
      <c r="D150" s="107"/>
      <c r="E150" s="107"/>
      <c r="F150" s="107"/>
      <c r="G150" s="107"/>
      <c r="H150" s="120"/>
    </row>
    <row r="151" spans="2:8" x14ac:dyDescent="0.35">
      <c r="B151" s="119">
        <v>149</v>
      </c>
      <c r="C151" s="107"/>
      <c r="D151" s="107"/>
      <c r="E151" s="107"/>
      <c r="F151" s="107"/>
      <c r="G151" s="107"/>
      <c r="H151" s="120"/>
    </row>
    <row r="152" spans="2:8" x14ac:dyDescent="0.35">
      <c r="B152" s="119">
        <v>150</v>
      </c>
      <c r="C152" s="107"/>
      <c r="D152" s="107"/>
      <c r="E152" s="107"/>
      <c r="F152" s="107"/>
      <c r="G152" s="107"/>
      <c r="H152" s="120"/>
    </row>
    <row r="153" spans="2:8" x14ac:dyDescent="0.35">
      <c r="B153" s="119">
        <v>151</v>
      </c>
      <c r="C153" s="107"/>
      <c r="D153" s="107"/>
      <c r="E153" s="107"/>
      <c r="F153" s="107"/>
      <c r="G153" s="107"/>
      <c r="H153" s="120"/>
    </row>
    <row r="154" spans="2:8" x14ac:dyDescent="0.35">
      <c r="B154" s="119">
        <v>152</v>
      </c>
      <c r="C154" s="107"/>
      <c r="D154" s="107"/>
      <c r="E154" s="107"/>
      <c r="F154" s="107"/>
      <c r="G154" s="107"/>
      <c r="H154" s="120"/>
    </row>
    <row r="155" spans="2:8" x14ac:dyDescent="0.35">
      <c r="B155" s="119">
        <v>153</v>
      </c>
      <c r="C155" s="107"/>
      <c r="D155" s="107"/>
      <c r="E155" s="107"/>
      <c r="F155" s="107"/>
      <c r="G155" s="107"/>
      <c r="H155" s="120"/>
    </row>
    <row r="156" spans="2:8" x14ac:dyDescent="0.35">
      <c r="B156" s="119">
        <v>154</v>
      </c>
      <c r="C156" s="107"/>
      <c r="D156" s="107"/>
      <c r="E156" s="107"/>
      <c r="F156" s="107"/>
      <c r="G156" s="107"/>
      <c r="H156" s="120"/>
    </row>
    <row r="157" spans="2:8" x14ac:dyDescent="0.35">
      <c r="B157" s="119">
        <v>155</v>
      </c>
      <c r="C157" s="107"/>
      <c r="D157" s="107"/>
      <c r="E157" s="107"/>
      <c r="F157" s="107"/>
      <c r="G157" s="107"/>
      <c r="H157" s="120"/>
    </row>
    <row r="158" spans="2:8" x14ac:dyDescent="0.35">
      <c r="B158" s="119">
        <v>156</v>
      </c>
      <c r="C158" s="107"/>
      <c r="D158" s="107"/>
      <c r="E158" s="107"/>
      <c r="F158" s="107"/>
      <c r="G158" s="107"/>
      <c r="H158" s="120"/>
    </row>
    <row r="159" spans="2:8" x14ac:dyDescent="0.35">
      <c r="B159" s="119">
        <v>157</v>
      </c>
      <c r="C159" s="107"/>
      <c r="D159" s="107"/>
      <c r="E159" s="107"/>
      <c r="F159" s="107"/>
      <c r="G159" s="107"/>
      <c r="H159" s="120"/>
    </row>
    <row r="160" spans="2:8" x14ac:dyDescent="0.35">
      <c r="B160" s="119">
        <v>158</v>
      </c>
      <c r="C160" s="107"/>
      <c r="D160" s="107"/>
      <c r="E160" s="107"/>
      <c r="F160" s="107"/>
      <c r="G160" s="107"/>
      <c r="H160" s="120"/>
    </row>
    <row r="161" spans="2:8" x14ac:dyDescent="0.35">
      <c r="B161" s="119">
        <v>159</v>
      </c>
      <c r="C161" s="107"/>
      <c r="D161" s="107"/>
      <c r="E161" s="107"/>
      <c r="F161" s="107"/>
      <c r="G161" s="107"/>
      <c r="H161" s="120"/>
    </row>
    <row r="162" spans="2:8" x14ac:dyDescent="0.35">
      <c r="B162" s="119">
        <v>160</v>
      </c>
      <c r="C162" s="107"/>
      <c r="D162" s="107"/>
      <c r="E162" s="107"/>
      <c r="F162" s="107"/>
      <c r="G162" s="107"/>
      <c r="H162" s="120"/>
    </row>
    <row r="163" spans="2:8" x14ac:dyDescent="0.35">
      <c r="B163" s="119">
        <v>161</v>
      </c>
      <c r="C163" s="107"/>
      <c r="D163" s="107"/>
      <c r="E163" s="107"/>
      <c r="F163" s="107"/>
      <c r="G163" s="107"/>
      <c r="H163" s="120"/>
    </row>
    <row r="164" spans="2:8" x14ac:dyDescent="0.35">
      <c r="B164" s="119">
        <v>162</v>
      </c>
      <c r="C164" s="107"/>
      <c r="D164" s="107"/>
      <c r="E164" s="107"/>
      <c r="F164" s="107"/>
      <c r="G164" s="107"/>
      <c r="H164" s="120"/>
    </row>
    <row r="165" spans="2:8" x14ac:dyDescent="0.35">
      <c r="B165" s="119">
        <v>163</v>
      </c>
      <c r="C165" s="107"/>
      <c r="D165" s="107"/>
      <c r="E165" s="107"/>
      <c r="F165" s="107"/>
      <c r="G165" s="107"/>
      <c r="H165" s="120"/>
    </row>
    <row r="166" spans="2:8" x14ac:dyDescent="0.35">
      <c r="B166" s="119">
        <v>164</v>
      </c>
      <c r="C166" s="107"/>
      <c r="D166" s="107"/>
      <c r="E166" s="107"/>
      <c r="F166" s="107"/>
      <c r="G166" s="107"/>
      <c r="H166" s="120"/>
    </row>
    <row r="167" spans="2:8" x14ac:dyDescent="0.35">
      <c r="B167" s="119">
        <v>165</v>
      </c>
      <c r="C167" s="107"/>
      <c r="D167" s="107"/>
      <c r="E167" s="107"/>
      <c r="F167" s="107"/>
      <c r="G167" s="107"/>
      <c r="H167" s="120"/>
    </row>
    <row r="168" spans="2:8" x14ac:dyDescent="0.35">
      <c r="B168" s="119">
        <v>166</v>
      </c>
      <c r="C168" s="107"/>
      <c r="D168" s="107"/>
      <c r="E168" s="107"/>
      <c r="F168" s="107"/>
      <c r="G168" s="107"/>
      <c r="H168" s="120"/>
    </row>
    <row r="169" spans="2:8" x14ac:dyDescent="0.35">
      <c r="B169" s="119">
        <v>167</v>
      </c>
      <c r="C169" s="107"/>
      <c r="D169" s="107"/>
      <c r="E169" s="107"/>
      <c r="F169" s="107"/>
      <c r="G169" s="107"/>
      <c r="H169" s="120"/>
    </row>
    <row r="170" spans="2:8" x14ac:dyDescent="0.35">
      <c r="B170" s="119">
        <v>168</v>
      </c>
      <c r="C170" s="107"/>
      <c r="D170" s="107"/>
      <c r="E170" s="107"/>
      <c r="F170" s="107"/>
      <c r="G170" s="107"/>
      <c r="H170" s="120"/>
    </row>
    <row r="171" spans="2:8" x14ac:dyDescent="0.35">
      <c r="B171" s="119">
        <v>169</v>
      </c>
      <c r="C171" s="107"/>
      <c r="D171" s="107"/>
      <c r="E171" s="107"/>
      <c r="F171" s="107"/>
      <c r="G171" s="107"/>
      <c r="H171" s="120"/>
    </row>
    <row r="172" spans="2:8" x14ac:dyDescent="0.35">
      <c r="B172" s="119">
        <v>170</v>
      </c>
      <c r="C172" s="107"/>
      <c r="D172" s="107"/>
      <c r="E172" s="107"/>
      <c r="F172" s="107"/>
      <c r="G172" s="107"/>
      <c r="H172" s="120"/>
    </row>
    <row r="173" spans="2:8" x14ac:dyDescent="0.35">
      <c r="B173" s="119">
        <v>171</v>
      </c>
      <c r="C173" s="107"/>
      <c r="D173" s="107"/>
      <c r="E173" s="107"/>
      <c r="F173" s="107"/>
      <c r="G173" s="107"/>
      <c r="H173" s="120"/>
    </row>
    <row r="174" spans="2:8" x14ac:dyDescent="0.35">
      <c r="B174" s="119">
        <v>172</v>
      </c>
      <c r="C174" s="107"/>
      <c r="D174" s="107"/>
      <c r="E174" s="107"/>
      <c r="F174" s="107"/>
      <c r="G174" s="107"/>
      <c r="H174" s="120"/>
    </row>
    <row r="175" spans="2:8" x14ac:dyDescent="0.35">
      <c r="B175" s="119">
        <v>173</v>
      </c>
      <c r="C175" s="107"/>
      <c r="D175" s="107"/>
      <c r="E175" s="107"/>
      <c r="F175" s="107"/>
      <c r="G175" s="107"/>
      <c r="H175" s="120"/>
    </row>
    <row r="176" spans="2:8" ht="15" thickBot="1" x14ac:dyDescent="0.4">
      <c r="B176" s="119">
        <v>174</v>
      </c>
      <c r="C176" s="121"/>
      <c r="D176" s="121"/>
      <c r="E176" s="121"/>
      <c r="F176" s="121"/>
      <c r="G176" s="121"/>
      <c r="H176" s="122"/>
    </row>
  </sheetData>
  <autoFilter ref="B2:H176" xr:uid="{8607D0E0-4AAD-48B0-B15A-3A46E7422E84}"/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15F0-ED15-4C8A-AD77-F8B71C4A7F4B}">
  <dimension ref="A1:H17"/>
  <sheetViews>
    <sheetView workbookViewId="0">
      <selection activeCell="F16" sqref="F16"/>
    </sheetView>
  </sheetViews>
  <sheetFormatPr defaultRowHeight="14.5" x14ac:dyDescent="0.35"/>
  <cols>
    <col min="1" max="1" width="21.7265625" customWidth="1"/>
    <col min="2" max="2" width="18.7265625" customWidth="1"/>
    <col min="3" max="3" width="13.1796875" customWidth="1"/>
    <col min="4" max="5" width="15.1796875" customWidth="1"/>
    <col min="6" max="6" width="26.7265625" customWidth="1"/>
  </cols>
  <sheetData>
    <row r="1" spans="1:8" x14ac:dyDescent="0.35">
      <c r="A1" s="228" t="s">
        <v>57</v>
      </c>
      <c r="B1" s="228"/>
      <c r="C1" s="228"/>
      <c r="D1" s="228"/>
      <c r="E1" s="228"/>
      <c r="F1" s="228"/>
    </row>
    <row r="2" spans="1:8" x14ac:dyDescent="0.35">
      <c r="A2" s="9" t="s">
        <v>20</v>
      </c>
      <c r="B2" s="9">
        <v>4</v>
      </c>
      <c r="C2" s="8"/>
      <c r="D2" s="8"/>
      <c r="E2" s="8"/>
      <c r="F2" s="8"/>
    </row>
    <row r="3" spans="1:8" x14ac:dyDescent="0.35">
      <c r="A3" s="9" t="s">
        <v>16</v>
      </c>
      <c r="B3" s="9" t="s">
        <v>88</v>
      </c>
      <c r="C3" s="8"/>
      <c r="D3" s="8"/>
      <c r="E3" s="8"/>
      <c r="F3" s="8"/>
    </row>
    <row r="4" spans="1:8" x14ac:dyDescent="0.35">
      <c r="A4" s="9" t="s">
        <v>55</v>
      </c>
      <c r="B4" s="9" t="s">
        <v>87</v>
      </c>
      <c r="C4" s="8"/>
      <c r="D4" s="8"/>
      <c r="E4" s="8"/>
      <c r="F4" s="8"/>
    </row>
    <row r="5" spans="1:8" x14ac:dyDescent="0.35">
      <c r="A5" s="9" t="s">
        <v>89</v>
      </c>
      <c r="B5" s="10">
        <v>44920</v>
      </c>
      <c r="C5" s="8"/>
      <c r="D5" s="9"/>
      <c r="E5" s="9"/>
      <c r="F5" s="9"/>
    </row>
    <row r="6" spans="1:8" ht="15" thickBot="1" x14ac:dyDescent="0.4"/>
    <row r="7" spans="1:8" ht="30" customHeight="1" thickBot="1" x14ac:dyDescent="0.4">
      <c r="A7" s="229" t="s">
        <v>80</v>
      </c>
      <c r="B7" s="230"/>
      <c r="C7" s="230"/>
      <c r="D7" s="230"/>
      <c r="E7" s="230"/>
      <c r="F7" s="231"/>
    </row>
    <row r="8" spans="1:8" ht="30" customHeight="1" x14ac:dyDescent="0.35">
      <c r="A8" s="93" t="s">
        <v>30</v>
      </c>
      <c r="B8" s="94" t="s">
        <v>31</v>
      </c>
      <c r="C8" s="94" t="s">
        <v>81</v>
      </c>
      <c r="D8" s="95" t="s">
        <v>34</v>
      </c>
      <c r="E8" s="95" t="s">
        <v>42</v>
      </c>
      <c r="F8" s="94" t="s">
        <v>176</v>
      </c>
    </row>
    <row r="9" spans="1:8" ht="30" customHeight="1" x14ac:dyDescent="0.35">
      <c r="A9" s="96">
        <v>62652</v>
      </c>
      <c r="B9" s="105">
        <v>44822</v>
      </c>
      <c r="C9" s="97">
        <v>26</v>
      </c>
      <c r="D9" s="98">
        <f>Table37[[#This Row],[Hrs]]*20.5</f>
        <v>533</v>
      </c>
      <c r="E9" s="98">
        <v>533</v>
      </c>
      <c r="F9" s="98">
        <f>Table37[[#This Row],[Total]]-Table37[[#This Row],[Previous]]</f>
        <v>0</v>
      </c>
      <c r="H9" t="s">
        <v>298</v>
      </c>
    </row>
    <row r="10" spans="1:8" ht="30" customHeight="1" x14ac:dyDescent="0.35">
      <c r="A10" s="96">
        <v>62653</v>
      </c>
      <c r="B10" s="105">
        <v>44834</v>
      </c>
      <c r="C10" s="97">
        <v>6</v>
      </c>
      <c r="D10" s="98">
        <f>Table37[[#This Row],[Hrs]]*20.5</f>
        <v>123</v>
      </c>
      <c r="E10" s="98">
        <v>123</v>
      </c>
      <c r="F10" s="98">
        <f>Table37[[#This Row],[Total]]-Table37[[#This Row],[Previous]]</f>
        <v>0</v>
      </c>
    </row>
    <row r="11" spans="1:8" ht="30" customHeight="1" x14ac:dyDescent="0.35">
      <c r="A11" s="99">
        <v>62654</v>
      </c>
      <c r="B11" s="105">
        <v>44844</v>
      </c>
      <c r="C11" s="100">
        <v>30</v>
      </c>
      <c r="D11" s="98">
        <f>Table37[[#This Row],[Hrs]]*20.5</f>
        <v>615</v>
      </c>
      <c r="E11" s="98">
        <v>615</v>
      </c>
      <c r="F11" s="98">
        <f>Table37[[#This Row],[Total]]-Table37[[#This Row],[Previous]]</f>
        <v>0</v>
      </c>
    </row>
    <row r="12" spans="1:8" ht="30" customHeight="1" x14ac:dyDescent="0.35">
      <c r="A12" s="99">
        <v>62655</v>
      </c>
      <c r="B12" s="105">
        <v>44881</v>
      </c>
      <c r="C12" s="100">
        <v>8</v>
      </c>
      <c r="D12" s="98">
        <f>20.5*C12</f>
        <v>164</v>
      </c>
      <c r="E12" s="98">
        <v>164</v>
      </c>
      <c r="F12" s="98">
        <f>Table37[[#This Row],[Total]]-Table37[[#This Row],[Previous]]</f>
        <v>0</v>
      </c>
    </row>
    <row r="13" spans="1:8" ht="30" customHeight="1" x14ac:dyDescent="0.35">
      <c r="A13" s="99">
        <v>62657</v>
      </c>
      <c r="B13" s="105">
        <v>44886</v>
      </c>
      <c r="C13" s="100">
        <v>54</v>
      </c>
      <c r="D13" s="98">
        <f>Table37[[#This Row],[Hrs]]*20.5</f>
        <v>1107</v>
      </c>
      <c r="E13" s="98">
        <v>1107</v>
      </c>
      <c r="F13" s="98">
        <f>Table37[[#This Row],[Total]]-Table37[[#This Row],[Previous]]</f>
        <v>0</v>
      </c>
    </row>
    <row r="14" spans="1:8" ht="30" customHeight="1" x14ac:dyDescent="0.35">
      <c r="A14" s="99">
        <v>62658</v>
      </c>
      <c r="B14" s="105">
        <v>44886</v>
      </c>
      <c r="C14" s="101">
        <v>16</v>
      </c>
      <c r="D14" s="102">
        <f t="shared" ref="D14" si="0">20.5*C14</f>
        <v>328</v>
      </c>
      <c r="E14" s="102">
        <v>328</v>
      </c>
      <c r="F14" s="103">
        <f>Table37[[#This Row],[Total]]-Table37[[#This Row],[Previous]]</f>
        <v>0</v>
      </c>
    </row>
    <row r="15" spans="1:8" ht="30" customHeight="1" x14ac:dyDescent="0.35">
      <c r="A15" s="165">
        <v>62661</v>
      </c>
      <c r="B15" s="105">
        <v>44917</v>
      </c>
      <c r="C15" s="166">
        <v>5</v>
      </c>
      <c r="D15" s="103">
        <f>20.5*C15</f>
        <v>102.5</v>
      </c>
      <c r="E15" s="103">
        <v>0</v>
      </c>
      <c r="F15" s="167">
        <f>Table37[[#This Row],[Total]]-Table37[[#This Row],[Previous]]</f>
        <v>102.5</v>
      </c>
    </row>
    <row r="16" spans="1:8" ht="30" customHeight="1" x14ac:dyDescent="0.35">
      <c r="A16" s="165">
        <v>62662</v>
      </c>
      <c r="B16" s="105">
        <v>44918</v>
      </c>
      <c r="C16" s="166">
        <v>10</v>
      </c>
      <c r="D16" s="103">
        <f>20.5*C16</f>
        <v>205</v>
      </c>
      <c r="E16" s="103">
        <v>0</v>
      </c>
      <c r="F16" s="167">
        <f>Table37[[#This Row],[Total]]-Table37[[#This Row],[Previous]]</f>
        <v>205</v>
      </c>
    </row>
    <row r="17" spans="1:6" x14ac:dyDescent="0.35">
      <c r="A17" s="99" t="s">
        <v>34</v>
      </c>
      <c r="B17" s="106"/>
      <c r="C17" s="100">
        <f>SUBTOTAL(109,Table37[Hrs])</f>
        <v>155</v>
      </c>
      <c r="D17" s="104">
        <f>SUBTOTAL(109,Table37[Total])</f>
        <v>3177.5</v>
      </c>
      <c r="E17" s="104" t="s">
        <v>480</v>
      </c>
      <c r="F17" s="104">
        <f>SUBTOTAL(109,Table37[Net Amount])</f>
        <v>307.5</v>
      </c>
    </row>
  </sheetData>
  <mergeCells count="2">
    <mergeCell ref="A7:F7"/>
    <mergeCell ref="A1:F1"/>
  </mergeCells>
  <pageMargins left="0.7" right="0.7" top="0.75" bottom="0.75" header="0.3" footer="0.3"/>
  <pageSetup orientation="landscape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J16" sqref="J16"/>
    </sheetView>
  </sheetViews>
  <sheetFormatPr defaultRowHeight="14.5" x14ac:dyDescent="0.35"/>
  <cols>
    <col min="1" max="1" width="15.453125" bestFit="1" customWidth="1"/>
    <col min="2" max="2" width="30" bestFit="1" customWidth="1"/>
    <col min="3" max="3" width="12.1796875" customWidth="1"/>
    <col min="4" max="6" width="11" customWidth="1"/>
    <col min="7" max="7" width="10.26953125" customWidth="1"/>
  </cols>
  <sheetData>
    <row r="1" spans="1:7" x14ac:dyDescent="0.35">
      <c r="A1" t="s">
        <v>15</v>
      </c>
      <c r="B1" s="29" t="str">
        <f>Evaluation!A3</f>
        <v>Khansaheb Civil Engineering LLC</v>
      </c>
    </row>
    <row r="2" spans="1:7" x14ac:dyDescent="0.35">
      <c r="A2" t="s">
        <v>20</v>
      </c>
      <c r="B2" s="29">
        <f>Evaluation!B4</f>
        <v>4</v>
      </c>
    </row>
    <row r="3" spans="1:7" x14ac:dyDescent="0.35">
      <c r="A3" t="s">
        <v>16</v>
      </c>
      <c r="B3" s="29" t="str">
        <f>Evaluation!B5</f>
        <v xml:space="preserve">Dorchester Hotel &amp; Residences (Completion Works)  </v>
      </c>
    </row>
    <row r="4" spans="1:7" x14ac:dyDescent="0.35">
      <c r="A4" t="s">
        <v>21</v>
      </c>
      <c r="B4" s="29" t="e">
        <f>Evaluation!#REF!</f>
        <v>#REF!</v>
      </c>
    </row>
    <row r="5" spans="1:7" x14ac:dyDescent="0.35">
      <c r="A5" t="s">
        <v>39</v>
      </c>
      <c r="B5" s="30">
        <f>Evaluation!B7</f>
        <v>44920</v>
      </c>
    </row>
    <row r="6" spans="1:7" ht="15" thickBot="1" x14ac:dyDescent="0.4"/>
    <row r="7" spans="1:7" x14ac:dyDescent="0.35">
      <c r="A7" s="232" t="s">
        <v>40</v>
      </c>
      <c r="B7" s="233"/>
      <c r="C7" s="233"/>
      <c r="D7" s="233"/>
      <c r="E7" s="233"/>
      <c r="F7" s="233"/>
      <c r="G7" s="234"/>
    </row>
    <row r="8" spans="1:7" x14ac:dyDescent="0.35">
      <c r="A8" s="31" t="s">
        <v>30</v>
      </c>
      <c r="B8" s="32" t="s">
        <v>31</v>
      </c>
      <c r="C8" s="32" t="s">
        <v>32</v>
      </c>
      <c r="D8" s="32" t="s">
        <v>33</v>
      </c>
      <c r="E8" s="33" t="s">
        <v>43</v>
      </c>
      <c r="F8" s="33" t="s">
        <v>42</v>
      </c>
      <c r="G8" s="33" t="s">
        <v>41</v>
      </c>
    </row>
    <row r="9" spans="1:7" x14ac:dyDescent="0.35">
      <c r="A9" s="34"/>
      <c r="B9" s="35"/>
      <c r="C9" s="36"/>
      <c r="D9" s="36"/>
      <c r="E9" s="37"/>
      <c r="F9" s="37"/>
      <c r="G9" s="38"/>
    </row>
    <row r="10" spans="1:7" x14ac:dyDescent="0.35">
      <c r="A10" s="34"/>
      <c r="B10" s="35"/>
      <c r="C10" s="36"/>
      <c r="D10" s="36"/>
      <c r="E10" s="37"/>
      <c r="F10" s="37"/>
      <c r="G10" s="38"/>
    </row>
    <row r="11" spans="1:7" x14ac:dyDescent="0.35">
      <c r="A11" s="39"/>
      <c r="B11" s="40"/>
      <c r="C11" s="41"/>
      <c r="D11" s="41"/>
      <c r="E11" s="42"/>
      <c r="F11" s="42"/>
      <c r="G11" s="43"/>
    </row>
    <row r="12" spans="1:7" x14ac:dyDescent="0.35">
      <c r="A12" s="39" t="s">
        <v>34</v>
      </c>
      <c r="B12" s="44"/>
      <c r="C12" s="41"/>
      <c r="D12" s="41"/>
      <c r="E12" s="42">
        <f>SUBTOTAL(109,Table2[Cumulative])</f>
        <v>0</v>
      </c>
      <c r="F12" s="42">
        <f>SUBTOTAL(109,Table2[Previous])</f>
        <v>0</v>
      </c>
      <c r="G12" s="45">
        <f>SUBTOTAL(103,Table2[Net])</f>
        <v>0</v>
      </c>
    </row>
    <row r="13" spans="1:7" x14ac:dyDescent="0.35">
      <c r="G13" s="1"/>
    </row>
  </sheetData>
  <mergeCells count="1">
    <mergeCell ref="A7:G7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E18" sqref="E18"/>
    </sheetView>
  </sheetViews>
  <sheetFormatPr defaultRowHeight="14.5" x14ac:dyDescent="0.35"/>
  <cols>
    <col min="1" max="1" width="13.81640625" bestFit="1" customWidth="1"/>
    <col min="2" max="2" width="13.26953125" customWidth="1"/>
    <col min="3" max="3" width="10.453125" customWidth="1"/>
    <col min="8" max="8" width="12.1796875" customWidth="1"/>
    <col min="9" max="9" width="14.54296875" customWidth="1"/>
    <col min="10" max="10" width="20.7265625" customWidth="1"/>
  </cols>
  <sheetData>
    <row r="1" spans="1:10" x14ac:dyDescent="0.35">
      <c r="A1" s="235" t="s">
        <v>54</v>
      </c>
      <c r="B1" s="235"/>
      <c r="C1" s="235"/>
      <c r="D1" s="235"/>
      <c r="E1" s="235"/>
      <c r="F1" s="235"/>
      <c r="G1" s="235"/>
      <c r="H1" s="235"/>
      <c r="I1" s="235"/>
      <c r="J1" s="235"/>
    </row>
    <row r="2" spans="1:10" x14ac:dyDescent="0.35">
      <c r="A2" t="s">
        <v>53</v>
      </c>
      <c r="B2" t="s">
        <v>6</v>
      </c>
      <c r="C2" t="s">
        <v>22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</row>
  </sheetData>
  <mergeCells count="1">
    <mergeCell ref="A1:J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9"/>
  <sheetViews>
    <sheetView workbookViewId="0">
      <selection activeCell="J10" sqref="J10"/>
    </sheetView>
  </sheetViews>
  <sheetFormatPr defaultRowHeight="14.5" x14ac:dyDescent="0.35"/>
  <cols>
    <col min="1" max="1" width="15.453125" bestFit="1" customWidth="1"/>
    <col min="2" max="2" width="17.81640625" customWidth="1"/>
    <col min="3" max="3" width="18.453125" customWidth="1"/>
    <col min="4" max="4" width="12.54296875" customWidth="1"/>
    <col min="5" max="5" width="10.1796875" bestFit="1" customWidth="1"/>
    <col min="6" max="6" width="10.7265625" customWidth="1"/>
  </cols>
  <sheetData>
    <row r="2" spans="1:6" x14ac:dyDescent="0.35">
      <c r="A2" t="s">
        <v>15</v>
      </c>
      <c r="B2" s="236" t="str">
        <f>Evaluation!A3</f>
        <v>Khansaheb Civil Engineering LLC</v>
      </c>
      <c r="C2" s="236"/>
      <c r="D2" s="236"/>
      <c r="E2" s="236"/>
    </row>
    <row r="3" spans="1:6" x14ac:dyDescent="0.35">
      <c r="A3" t="s">
        <v>16</v>
      </c>
      <c r="B3" s="236" t="str">
        <f>Evaluation!B5</f>
        <v xml:space="preserve">Dorchester Hotel &amp; Residences (Completion Works)  </v>
      </c>
      <c r="C3" s="236"/>
      <c r="D3" s="236"/>
      <c r="E3" s="236"/>
    </row>
    <row r="4" spans="1:6" x14ac:dyDescent="0.35">
      <c r="A4" t="s">
        <v>17</v>
      </c>
      <c r="B4" s="236" t="str">
        <f>Evaluation!B6</f>
        <v>201A22002/49</v>
      </c>
      <c r="C4" s="236"/>
      <c r="D4" s="236"/>
      <c r="E4" s="236"/>
    </row>
    <row r="7" spans="1:6" x14ac:dyDescent="0.35">
      <c r="A7" s="237" t="s">
        <v>35</v>
      </c>
      <c r="B7" s="237"/>
      <c r="C7" s="237"/>
      <c r="D7" s="237"/>
      <c r="E7" s="237"/>
      <c r="F7" s="237"/>
    </row>
    <row r="8" spans="1:6" x14ac:dyDescent="0.35">
      <c r="A8" s="46" t="s">
        <v>44</v>
      </c>
      <c r="B8" s="47" t="s">
        <v>36</v>
      </c>
      <c r="C8" s="47" t="s">
        <v>45</v>
      </c>
      <c r="D8" s="47" t="s">
        <v>37</v>
      </c>
      <c r="E8" s="47" t="s">
        <v>34</v>
      </c>
      <c r="F8" s="48" t="s">
        <v>14</v>
      </c>
    </row>
    <row r="9" spans="1:6" x14ac:dyDescent="0.35">
      <c r="A9" s="144">
        <v>1</v>
      </c>
      <c r="B9" s="50">
        <v>44834</v>
      </c>
      <c r="C9" s="51">
        <v>125287.35</v>
      </c>
      <c r="D9" s="51">
        <v>0</v>
      </c>
      <c r="E9" s="51">
        <f>Table3[[#This Row],[Works Carried Out]]+Table3[[#This Row],[Day Works]]</f>
        <v>125287.35</v>
      </c>
      <c r="F9" s="52"/>
    </row>
    <row r="10" spans="1:6" x14ac:dyDescent="0.35">
      <c r="A10" s="144">
        <v>2</v>
      </c>
      <c r="B10" s="50">
        <v>44865</v>
      </c>
      <c r="C10" s="51">
        <v>221656.78999999998</v>
      </c>
      <c r="D10" s="145" t="s">
        <v>480</v>
      </c>
      <c r="E10" s="51">
        <f>Table3[[#This Row],[Works Carried Out]]+Table3[[#This Row],[Day Works]]</f>
        <v>222927.78999999998</v>
      </c>
      <c r="F10" s="52"/>
    </row>
    <row r="11" spans="1:6" x14ac:dyDescent="0.35">
      <c r="A11" s="144">
        <v>3</v>
      </c>
      <c r="B11" s="50">
        <v>44890</v>
      </c>
      <c r="C11" s="51">
        <v>254058.20000000004</v>
      </c>
      <c r="D11" s="51">
        <v>1599</v>
      </c>
      <c r="E11" s="51">
        <f>Table3[[#This Row],[Works Carried Out]]+Table3[[#This Row],[Day Works]]</f>
        <v>255657.20000000004</v>
      </c>
      <c r="F11" s="52"/>
    </row>
    <row r="12" spans="1:6" x14ac:dyDescent="0.35">
      <c r="A12" s="49"/>
      <c r="B12" s="53"/>
      <c r="C12" s="51"/>
      <c r="D12" s="51"/>
      <c r="E12" s="51">
        <f>Table3[[#This Row],[Works Carried Out]]+Table3[[#This Row],[Day Works]]</f>
        <v>0</v>
      </c>
      <c r="F12" s="52"/>
    </row>
    <row r="13" spans="1:6" x14ac:dyDescent="0.35">
      <c r="A13" s="49"/>
      <c r="B13" s="53"/>
      <c r="C13" s="51"/>
      <c r="D13" s="51"/>
      <c r="E13" s="51">
        <f>Table3[[#This Row],[Works Carried Out]]+Table3[[#This Row],[Day Works]]</f>
        <v>0</v>
      </c>
      <c r="F13" s="52"/>
    </row>
    <row r="14" spans="1:6" x14ac:dyDescent="0.35">
      <c r="A14" s="49"/>
      <c r="B14" s="53"/>
      <c r="C14" s="51"/>
      <c r="D14" s="51"/>
      <c r="E14" s="51">
        <f>Table3[[#This Row],[Works Carried Out]]+Table3[[#This Row],[Day Works]]</f>
        <v>0</v>
      </c>
      <c r="F14" s="52"/>
    </row>
    <row r="15" spans="1:6" x14ac:dyDescent="0.35">
      <c r="A15" s="49"/>
      <c r="B15" s="53"/>
      <c r="C15" s="51"/>
      <c r="D15" s="51"/>
      <c r="E15" s="51">
        <f>Table3[[#This Row],[Works Carried Out]]+Table3[[#This Row],[Day Works]]</f>
        <v>0</v>
      </c>
      <c r="F15" s="52"/>
    </row>
    <row r="16" spans="1:6" x14ac:dyDescent="0.35">
      <c r="A16" s="54"/>
      <c r="B16" s="55"/>
      <c r="C16" s="56"/>
      <c r="D16" s="56"/>
      <c r="E16" s="56">
        <f>Table3[[#This Row],[Works Carried Out]]+Table3[[#This Row],[Day Works]]</f>
        <v>0</v>
      </c>
      <c r="F16" s="57"/>
    </row>
    <row r="17" spans="1:6" x14ac:dyDescent="0.35">
      <c r="A17" s="54" t="s">
        <v>34</v>
      </c>
      <c r="B17" s="55"/>
      <c r="C17" s="56">
        <f>SUBTOTAL(109,Table3[Works Carried Out])</f>
        <v>601002.34000000008</v>
      </c>
      <c r="D17" s="56">
        <f>SUBTOTAL(109,Table3[Day Works])</f>
        <v>1599</v>
      </c>
      <c r="E17" s="56">
        <f>SUBTOTAL(109,Table3[Total])</f>
        <v>603872.34000000008</v>
      </c>
      <c r="F17" s="57">
        <f>SUBTOTAL(103,Table3[Remarks])</f>
        <v>0</v>
      </c>
    </row>
    <row r="19" spans="1:6" x14ac:dyDescent="0.35">
      <c r="C19" s="2"/>
      <c r="D19" s="2"/>
      <c r="E19" s="2"/>
    </row>
  </sheetData>
  <mergeCells count="4">
    <mergeCell ref="B2:E2"/>
    <mergeCell ref="B3:E3"/>
    <mergeCell ref="B4:E4"/>
    <mergeCell ref="A7:F7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4D4F6A-95E2-456D-90C0-EA29C2AA36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B6935A-617F-470D-998B-37C2D5FF2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PA Front Sheet</vt:lpstr>
      <vt:lpstr>Evaluation</vt:lpstr>
      <vt:lpstr>Order References</vt:lpstr>
      <vt:lpstr>Modification</vt:lpstr>
      <vt:lpstr>Manpower</vt:lpstr>
      <vt:lpstr>SCOPE</vt:lpstr>
      <vt:lpstr>PASummary</vt:lpstr>
      <vt:lpstr>Evaluation</vt:lpstr>
      <vt:lpstr>Evaluation!Print_Area</vt:lpstr>
      <vt:lpstr>'PA Front Sheet'!Print_Area</vt:lpstr>
      <vt:lpstr>Evaluation!Print_Titles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James</dc:creator>
  <cp:lastModifiedBy>Himal Kosala</cp:lastModifiedBy>
  <cp:lastPrinted>2023-01-10T10:23:51Z</cp:lastPrinted>
  <dcterms:created xsi:type="dcterms:W3CDTF">2010-10-04T07:20:34Z</dcterms:created>
  <dcterms:modified xsi:type="dcterms:W3CDTF">2023-01-25T07:00:21Z</dcterms:modified>
</cp:coreProperties>
</file>