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1 Revisions\"/>
    </mc:Choice>
  </mc:AlternateContent>
  <xr:revisionPtr revIDLastSave="0" documentId="13_ncr:1_{3B6D9D1A-6E4F-4762-B04F-080D2050F7A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A Front Sheet" sheetId="9" r:id="rId1"/>
    <sheet name="Evaluation" sheetId="2" r:id="rId2"/>
    <sheet name="Modification" sheetId="10" r:id="rId3"/>
    <sheet name="Order References" sheetId="11" r:id="rId4"/>
    <sheet name="Manpower" sheetId="4" state="hidden" r:id="rId5"/>
    <sheet name="SCOPE" sheetId="7" state="hidden" r:id="rId6"/>
    <sheet name="PASummary" sheetId="6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1" hidden="1">Evaluation!$A$9:$AD$731</definedName>
    <definedName name="_xlnm._FilterDatabase" localSheetId="3" hidden="1">'Order References'!$B$2:$H$176</definedName>
    <definedName name="Access_Height" localSheetId="0">[1]!Table7[Access Height]</definedName>
    <definedName name="Access_Height">[2]!Table7[Access Height]</definedName>
    <definedName name="ED_Rate" localSheetId="0">[1]!Table1[[Scaffold Type]:[Min. Dim.]]</definedName>
    <definedName name="ED_Rate">[3]!Table1[[Scaffold Type]:[Min. Dim.]]</definedName>
    <definedName name="Evaluation">Evaluation!$A$9:$AD$731</definedName>
    <definedName name="Hire_Status" localSheetId="0">[1]!Table4[Hire Status]</definedName>
    <definedName name="Hire_Status">[2]!Table4[Hire Status]</definedName>
    <definedName name="Job_Environment" localSheetId="0">[1]!Table5[Job Environment]</definedName>
    <definedName name="Job_Environment">[2]!Table5[Job Environment]</definedName>
    <definedName name="LPO_No.___Ref_No." localSheetId="0">[1]!Table10[#Data]</definedName>
    <definedName name="LPO_No.___Ref_No.">[2]!Table10[#Data]</definedName>
    <definedName name="Material_Rate" localSheetId="0">[1]!Table14[#Data]</definedName>
    <definedName name="Material_Rate">#REF!</definedName>
    <definedName name="Materials" localSheetId="0">[1]!Table11[Material Description]</definedName>
    <definedName name="Materials">[2]!Table11[Material Description]</definedName>
    <definedName name="_xlnm.Print_Area" localSheetId="0">'PA Front Sheet'!$A$1:$G$38</definedName>
    <definedName name="_xlnm.Print_Titles" localSheetId="1">Evaluation!$1:$9</definedName>
    <definedName name="Production" localSheetId="0">[1]!Table12[Production]</definedName>
    <definedName name="Production">[2]!Table12[Production]</definedName>
    <definedName name="Production_Rate" localSheetId="0">[1]!Table15[#Data]</definedName>
    <definedName name="Production_Rate">#REF!</definedName>
    <definedName name="Scaffold_Type" localSheetId="0">[1]!Table6[Scaffold Type]</definedName>
    <definedName name="Scaffold_Type">[2]!Table6[Scaffold Type]</definedName>
    <definedName name="TAS_Quote" localSheetId="0">[1]!Table10[TAS Quote]</definedName>
    <definedName name="TAS_Quote">[2]!Table10[TAS Quote]</definedName>
    <definedName name="Type_of_Job" localSheetId="0">[1]!Table16[Type of Job]</definedName>
    <definedName name="Type_of_Job">[2]!Table16[Type of Job]</definedName>
    <definedName name="Unit_of_Measure" localSheetId="0">[1]!Table1[[Scaffold Type]:[Unit of Measure]]</definedName>
    <definedName name="Unit_of_Measure">[3]!Table1[[Scaffold Type]:[Unit of Measure]]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9" l="1"/>
  <c r="V13" i="2"/>
  <c r="F17" i="9" l="1"/>
  <c r="F18" i="9"/>
  <c r="G18" i="9"/>
  <c r="E27" i="10"/>
  <c r="D11" i="10" l="1"/>
  <c r="D9" i="10"/>
  <c r="D10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W397" i="2"/>
  <c r="V397" i="2"/>
  <c r="W419" i="2"/>
  <c r="V419" i="2"/>
  <c r="W481" i="2"/>
  <c r="V481" i="2"/>
  <c r="W648" i="2"/>
  <c r="W655" i="2"/>
  <c r="V655" i="2"/>
  <c r="V648" i="2"/>
  <c r="U731" i="2" l="1"/>
  <c r="X731" i="2"/>
  <c r="Z730" i="2"/>
  <c r="U730" i="2"/>
  <c r="Y731" i="2" l="1"/>
  <c r="Z731" i="2"/>
  <c r="Y730" i="2"/>
  <c r="X730" i="2"/>
  <c r="O569" i="2"/>
  <c r="AA731" i="2" l="1"/>
  <c r="AC731" i="2" s="1"/>
  <c r="AA730" i="2"/>
  <c r="AC730" i="2" s="1"/>
  <c r="U712" i="2"/>
  <c r="O712" i="2"/>
  <c r="X712" i="2" s="1"/>
  <c r="U711" i="2"/>
  <c r="O711" i="2"/>
  <c r="Z711" i="2" s="1"/>
  <c r="W723" i="2"/>
  <c r="W715" i="2"/>
  <c r="W635" i="2"/>
  <c r="W606" i="2"/>
  <c r="F26" i="10"/>
  <c r="F25" i="10"/>
  <c r="F24" i="10"/>
  <c r="F23" i="10"/>
  <c r="U635" i="2"/>
  <c r="O635" i="2"/>
  <c r="X635" i="2" s="1"/>
  <c r="U634" i="2"/>
  <c r="O634" i="2"/>
  <c r="X634" i="2" s="1"/>
  <c r="U633" i="2"/>
  <c r="O633" i="2"/>
  <c r="X633" i="2" s="1"/>
  <c r="U632" i="2"/>
  <c r="O632" i="2"/>
  <c r="X632" i="2" s="1"/>
  <c r="U631" i="2"/>
  <c r="O631" i="2"/>
  <c r="X631" i="2" s="1"/>
  <c r="U630" i="2"/>
  <c r="O630" i="2"/>
  <c r="X630" i="2" s="1"/>
  <c r="U629" i="2"/>
  <c r="O629" i="2"/>
  <c r="X629" i="2" s="1"/>
  <c r="U628" i="2"/>
  <c r="O628" i="2"/>
  <c r="X628" i="2" s="1"/>
  <c r="U627" i="2"/>
  <c r="O627" i="2"/>
  <c r="X627" i="2" s="1"/>
  <c r="U626" i="2"/>
  <c r="O626" i="2"/>
  <c r="X626" i="2" s="1"/>
  <c r="U625" i="2"/>
  <c r="O625" i="2"/>
  <c r="X625" i="2" s="1"/>
  <c r="U624" i="2"/>
  <c r="O624" i="2"/>
  <c r="X624" i="2" s="1"/>
  <c r="U623" i="2"/>
  <c r="O623" i="2"/>
  <c r="X623" i="2" s="1"/>
  <c r="U622" i="2"/>
  <c r="O622" i="2"/>
  <c r="X622" i="2" s="1"/>
  <c r="U621" i="2"/>
  <c r="O621" i="2"/>
  <c r="X621" i="2" s="1"/>
  <c r="U620" i="2"/>
  <c r="O620" i="2"/>
  <c r="X620" i="2" s="1"/>
  <c r="U619" i="2"/>
  <c r="O619" i="2"/>
  <c r="X619" i="2" s="1"/>
  <c r="U618" i="2"/>
  <c r="O618" i="2"/>
  <c r="X618" i="2" s="1"/>
  <c r="U617" i="2"/>
  <c r="O617" i="2"/>
  <c r="X617" i="2" s="1"/>
  <c r="U616" i="2"/>
  <c r="O616" i="2"/>
  <c r="X616" i="2" s="1"/>
  <c r="U615" i="2"/>
  <c r="O615" i="2"/>
  <c r="X615" i="2" s="1"/>
  <c r="U614" i="2"/>
  <c r="O614" i="2"/>
  <c r="X614" i="2" s="1"/>
  <c r="U613" i="2"/>
  <c r="O613" i="2"/>
  <c r="X613" i="2" s="1"/>
  <c r="U612" i="2"/>
  <c r="O612" i="2"/>
  <c r="X612" i="2" s="1"/>
  <c r="U611" i="2"/>
  <c r="O611" i="2"/>
  <c r="X611" i="2" s="1"/>
  <c r="U610" i="2"/>
  <c r="O610" i="2"/>
  <c r="Z610" i="2" s="1"/>
  <c r="U609" i="2"/>
  <c r="O609" i="2"/>
  <c r="X609" i="2" s="1"/>
  <c r="U608" i="2"/>
  <c r="O608" i="2"/>
  <c r="X608" i="2" s="1"/>
  <c r="U607" i="2"/>
  <c r="O607" i="2"/>
  <c r="X607" i="2" s="1"/>
  <c r="U606" i="2"/>
  <c r="O606" i="2"/>
  <c r="X606" i="2" s="1"/>
  <c r="U605" i="2"/>
  <c r="O605" i="2"/>
  <c r="X605" i="2" s="1"/>
  <c r="U604" i="2"/>
  <c r="O604" i="2"/>
  <c r="X604" i="2" s="1"/>
  <c r="U603" i="2"/>
  <c r="O603" i="2"/>
  <c r="Z603" i="2" s="1"/>
  <c r="U602" i="2"/>
  <c r="O602" i="2"/>
  <c r="X602" i="2" s="1"/>
  <c r="U597" i="2"/>
  <c r="O597" i="2"/>
  <c r="X597" i="2" s="1"/>
  <c r="U596" i="2"/>
  <c r="O596" i="2"/>
  <c r="X596" i="2" s="1"/>
  <c r="U595" i="2"/>
  <c r="O595" i="2"/>
  <c r="X595" i="2" s="1"/>
  <c r="U594" i="2"/>
  <c r="O594" i="2"/>
  <c r="X594" i="2" s="1"/>
  <c r="U593" i="2"/>
  <c r="O593" i="2"/>
  <c r="X593" i="2" s="1"/>
  <c r="U592" i="2"/>
  <c r="O592" i="2"/>
  <c r="X592" i="2" s="1"/>
  <c r="U729" i="2"/>
  <c r="O729" i="2"/>
  <c r="X729" i="2" s="1"/>
  <c r="U728" i="2"/>
  <c r="O728" i="2"/>
  <c r="X728" i="2" s="1"/>
  <c r="U727" i="2"/>
  <c r="O727" i="2"/>
  <c r="X727" i="2" s="1"/>
  <c r="U724" i="2"/>
  <c r="O724" i="2"/>
  <c r="X724" i="2" s="1"/>
  <c r="U726" i="2"/>
  <c r="O726" i="2"/>
  <c r="X726" i="2" s="1"/>
  <c r="U725" i="2"/>
  <c r="O725" i="2"/>
  <c r="X725" i="2" s="1"/>
  <c r="U723" i="2"/>
  <c r="O723" i="2"/>
  <c r="X723" i="2" s="1"/>
  <c r="U722" i="2"/>
  <c r="O722" i="2"/>
  <c r="X722" i="2" s="1"/>
  <c r="U721" i="2"/>
  <c r="O721" i="2"/>
  <c r="X721" i="2" s="1"/>
  <c r="U717" i="2"/>
  <c r="O717" i="2"/>
  <c r="X717" i="2" s="1"/>
  <c r="U716" i="2"/>
  <c r="O716" i="2"/>
  <c r="X716" i="2" s="1"/>
  <c r="U715" i="2"/>
  <c r="O715" i="2"/>
  <c r="X715" i="2" s="1"/>
  <c r="U714" i="2"/>
  <c r="O714" i="2"/>
  <c r="X714" i="2" s="1"/>
  <c r="U713" i="2"/>
  <c r="O713" i="2"/>
  <c r="X713" i="2" s="1"/>
  <c r="Y712" i="2" l="1"/>
  <c r="X711" i="2"/>
  <c r="Y711" i="2"/>
  <c r="Z712" i="2"/>
  <c r="Y618" i="2"/>
  <c r="Y635" i="2"/>
  <c r="Z635" i="2"/>
  <c r="Y634" i="2"/>
  <c r="Z634" i="2"/>
  <c r="Y633" i="2"/>
  <c r="Z633" i="2"/>
  <c r="Y632" i="2"/>
  <c r="Z632" i="2"/>
  <c r="Y631" i="2"/>
  <c r="Z631" i="2"/>
  <c r="Y630" i="2"/>
  <c r="Z630" i="2"/>
  <c r="Y629" i="2"/>
  <c r="Z629" i="2"/>
  <c r="Y628" i="2"/>
  <c r="Z628" i="2"/>
  <c r="Y627" i="2"/>
  <c r="Z627" i="2"/>
  <c r="Y626" i="2"/>
  <c r="Z626" i="2"/>
  <c r="Y625" i="2"/>
  <c r="Z625" i="2"/>
  <c r="Y624" i="2"/>
  <c r="Z624" i="2"/>
  <c r="Y623" i="2"/>
  <c r="Z623" i="2"/>
  <c r="Y622" i="2"/>
  <c r="Z622" i="2"/>
  <c r="Y621" i="2"/>
  <c r="Z621" i="2"/>
  <c r="Y620" i="2"/>
  <c r="Z620" i="2"/>
  <c r="Y619" i="2"/>
  <c r="Z619" i="2"/>
  <c r="Z618" i="2"/>
  <c r="Y617" i="2"/>
  <c r="Z617" i="2"/>
  <c r="Y616" i="2"/>
  <c r="Z616" i="2"/>
  <c r="Y615" i="2"/>
  <c r="Z615" i="2"/>
  <c r="Y614" i="2"/>
  <c r="Z614" i="2"/>
  <c r="Y613" i="2"/>
  <c r="Z613" i="2"/>
  <c r="Y612" i="2"/>
  <c r="Z612" i="2"/>
  <c r="Y611" i="2"/>
  <c r="Z611" i="2"/>
  <c r="X610" i="2"/>
  <c r="Y610" i="2"/>
  <c r="Y609" i="2"/>
  <c r="Z609" i="2"/>
  <c r="Y608" i="2"/>
  <c r="Z608" i="2"/>
  <c r="Y607" i="2"/>
  <c r="Z607" i="2"/>
  <c r="Y606" i="2"/>
  <c r="Z606" i="2"/>
  <c r="Y594" i="2"/>
  <c r="Y605" i="2"/>
  <c r="Z605" i="2"/>
  <c r="Y604" i="2"/>
  <c r="Z604" i="2"/>
  <c r="X603" i="2"/>
  <c r="Y603" i="2"/>
  <c r="Y602" i="2"/>
  <c r="Z602" i="2"/>
  <c r="Y597" i="2"/>
  <c r="Z597" i="2"/>
  <c r="Y596" i="2"/>
  <c r="Z596" i="2"/>
  <c r="Y595" i="2"/>
  <c r="Z595" i="2"/>
  <c r="Z594" i="2"/>
  <c r="Y593" i="2"/>
  <c r="Z593" i="2"/>
  <c r="Y592" i="2"/>
  <c r="Z592" i="2"/>
  <c r="Y727" i="2"/>
  <c r="Y729" i="2"/>
  <c r="Z729" i="2"/>
  <c r="Y728" i="2"/>
  <c r="Z728" i="2"/>
  <c r="Z727" i="2"/>
  <c r="Y724" i="2"/>
  <c r="Z724" i="2"/>
  <c r="Y726" i="2"/>
  <c r="Z726" i="2"/>
  <c r="Y725" i="2"/>
  <c r="Z725" i="2"/>
  <c r="Y723" i="2"/>
  <c r="Z723" i="2"/>
  <c r="Y722" i="2"/>
  <c r="Z722" i="2"/>
  <c r="Y721" i="2"/>
  <c r="Z721" i="2"/>
  <c r="Y717" i="2"/>
  <c r="Z717" i="2"/>
  <c r="Z716" i="2"/>
  <c r="Y716" i="2"/>
  <c r="Z715" i="2"/>
  <c r="Y715" i="2"/>
  <c r="Z714" i="2"/>
  <c r="Y714" i="2"/>
  <c r="Z713" i="2"/>
  <c r="Y713" i="2"/>
  <c r="U565" i="2"/>
  <c r="O565" i="2"/>
  <c r="X565" i="2" s="1"/>
  <c r="AA712" i="2" l="1"/>
  <c r="AC712" i="2" s="1"/>
  <c r="AA618" i="2"/>
  <c r="AC618" i="2" s="1"/>
  <c r="AA711" i="2"/>
  <c r="AC711" i="2" s="1"/>
  <c r="AA631" i="2"/>
  <c r="AC631" i="2" s="1"/>
  <c r="AA635" i="2"/>
  <c r="AC635" i="2" s="1"/>
  <c r="AA622" i="2"/>
  <c r="AC622" i="2" s="1"/>
  <c r="AA624" i="2"/>
  <c r="AC624" i="2" s="1"/>
  <c r="AA626" i="2"/>
  <c r="AC626" i="2" s="1"/>
  <c r="AA628" i="2"/>
  <c r="AC628" i="2" s="1"/>
  <c r="AA630" i="2"/>
  <c r="AC630" i="2" s="1"/>
  <c r="AA634" i="2"/>
  <c r="AC634" i="2" s="1"/>
  <c r="AA633" i="2"/>
  <c r="AC633" i="2" s="1"/>
  <c r="AA632" i="2"/>
  <c r="AC632" i="2" s="1"/>
  <c r="AA623" i="2"/>
  <c r="AC623" i="2" s="1"/>
  <c r="AA627" i="2"/>
  <c r="AC627" i="2" s="1"/>
  <c r="AA629" i="2"/>
  <c r="AC629" i="2" s="1"/>
  <c r="AA625" i="2"/>
  <c r="AC625" i="2" s="1"/>
  <c r="AA620" i="2"/>
  <c r="AC620" i="2" s="1"/>
  <c r="AA608" i="2"/>
  <c r="AC608" i="2" s="1"/>
  <c r="AA612" i="2"/>
  <c r="AC612" i="2" s="1"/>
  <c r="AA616" i="2"/>
  <c r="AC616" i="2" s="1"/>
  <c r="AA619" i="2"/>
  <c r="AC619" i="2" s="1"/>
  <c r="AA621" i="2"/>
  <c r="AC621" i="2" s="1"/>
  <c r="AA617" i="2"/>
  <c r="AC617" i="2" s="1"/>
  <c r="AA609" i="2"/>
  <c r="AC609" i="2" s="1"/>
  <c r="AA611" i="2"/>
  <c r="AC611" i="2" s="1"/>
  <c r="AA613" i="2"/>
  <c r="AC613" i="2" s="1"/>
  <c r="AA615" i="2"/>
  <c r="AC615" i="2" s="1"/>
  <c r="AA610" i="2"/>
  <c r="AC610" i="2" s="1"/>
  <c r="AA614" i="2"/>
  <c r="AC614" i="2" s="1"/>
  <c r="AA606" i="2"/>
  <c r="AC606" i="2" s="1"/>
  <c r="AA602" i="2"/>
  <c r="AC602" i="2" s="1"/>
  <c r="AA607" i="2"/>
  <c r="AC607" i="2" s="1"/>
  <c r="AA604" i="2"/>
  <c r="AC604" i="2" s="1"/>
  <c r="AA594" i="2"/>
  <c r="AC594" i="2" s="1"/>
  <c r="AA605" i="2"/>
  <c r="AC605" i="2" s="1"/>
  <c r="AA603" i="2"/>
  <c r="AC603" i="2" s="1"/>
  <c r="AA596" i="2"/>
  <c r="AC596" i="2" s="1"/>
  <c r="AA597" i="2"/>
  <c r="AC597" i="2" s="1"/>
  <c r="AA593" i="2"/>
  <c r="AC593" i="2" s="1"/>
  <c r="AA595" i="2"/>
  <c r="AC595" i="2" s="1"/>
  <c r="AA592" i="2"/>
  <c r="AC592" i="2" s="1"/>
  <c r="AA724" i="2"/>
  <c r="AC724" i="2" s="1"/>
  <c r="AA729" i="2"/>
  <c r="AC729" i="2" s="1"/>
  <c r="AA727" i="2"/>
  <c r="AC727" i="2" s="1"/>
  <c r="AA717" i="2"/>
  <c r="AC717" i="2" s="1"/>
  <c r="AA728" i="2"/>
  <c r="AC728" i="2" s="1"/>
  <c r="AA723" i="2"/>
  <c r="AC723" i="2" s="1"/>
  <c r="AA726" i="2"/>
  <c r="AC726" i="2" s="1"/>
  <c r="AA722" i="2"/>
  <c r="AC722" i="2" s="1"/>
  <c r="AA725" i="2"/>
  <c r="AC725" i="2" s="1"/>
  <c r="AA721" i="2"/>
  <c r="AC721" i="2" s="1"/>
  <c r="AA714" i="2"/>
  <c r="AC714" i="2" s="1"/>
  <c r="AA716" i="2"/>
  <c r="AC716" i="2" s="1"/>
  <c r="AA715" i="2"/>
  <c r="AC715" i="2" s="1"/>
  <c r="AA713" i="2"/>
  <c r="AC713" i="2" s="1"/>
  <c r="Z565" i="2"/>
  <c r="Y565" i="2"/>
  <c r="U720" i="2"/>
  <c r="O720" i="2"/>
  <c r="X720" i="2" s="1"/>
  <c r="U719" i="2"/>
  <c r="O719" i="2"/>
  <c r="X719" i="2" s="1"/>
  <c r="U718" i="2"/>
  <c r="O718" i="2"/>
  <c r="X718" i="2" s="1"/>
  <c r="U710" i="2"/>
  <c r="O710" i="2"/>
  <c r="X710" i="2" s="1"/>
  <c r="U709" i="2"/>
  <c r="O709" i="2"/>
  <c r="X709" i="2" s="1"/>
  <c r="U708" i="2"/>
  <c r="O708" i="2"/>
  <c r="X708" i="2" s="1"/>
  <c r="U707" i="2"/>
  <c r="O707" i="2"/>
  <c r="X707" i="2" s="1"/>
  <c r="U706" i="2"/>
  <c r="O706" i="2"/>
  <c r="X706" i="2" s="1"/>
  <c r="U705" i="2"/>
  <c r="O705" i="2"/>
  <c r="X705" i="2" s="1"/>
  <c r="U704" i="2"/>
  <c r="O704" i="2"/>
  <c r="X704" i="2" s="1"/>
  <c r="U703" i="2"/>
  <c r="O703" i="2"/>
  <c r="X703" i="2" s="1"/>
  <c r="U702" i="2"/>
  <c r="O702" i="2"/>
  <c r="X702" i="2" s="1"/>
  <c r="U701" i="2"/>
  <c r="O701" i="2"/>
  <c r="X701" i="2" s="1"/>
  <c r="U700" i="2"/>
  <c r="O700" i="2"/>
  <c r="Z700" i="2" s="1"/>
  <c r="U601" i="2"/>
  <c r="O601" i="2"/>
  <c r="X601" i="2" s="1"/>
  <c r="U600" i="2"/>
  <c r="O600" i="2"/>
  <c r="X600" i="2" s="1"/>
  <c r="U599" i="2"/>
  <c r="O599" i="2"/>
  <c r="X599" i="2" s="1"/>
  <c r="U598" i="2"/>
  <c r="O598" i="2"/>
  <c r="X598" i="2" s="1"/>
  <c r="U591" i="2"/>
  <c r="O591" i="2"/>
  <c r="X591" i="2" s="1"/>
  <c r="U590" i="2"/>
  <c r="O590" i="2"/>
  <c r="X590" i="2" s="1"/>
  <c r="U589" i="2"/>
  <c r="O589" i="2"/>
  <c r="X589" i="2" s="1"/>
  <c r="U588" i="2"/>
  <c r="O588" i="2"/>
  <c r="X588" i="2" s="1"/>
  <c r="U587" i="2"/>
  <c r="O587" i="2"/>
  <c r="X587" i="2" s="1"/>
  <c r="U586" i="2"/>
  <c r="O586" i="2"/>
  <c r="X586" i="2" s="1"/>
  <c r="U583" i="2"/>
  <c r="O583" i="2"/>
  <c r="X583" i="2" s="1"/>
  <c r="U582" i="2"/>
  <c r="O582" i="2"/>
  <c r="X582" i="2" s="1"/>
  <c r="U581" i="2"/>
  <c r="O581" i="2"/>
  <c r="X581" i="2" s="1"/>
  <c r="U579" i="2"/>
  <c r="O579" i="2"/>
  <c r="X579" i="2" s="1"/>
  <c r="U578" i="2"/>
  <c r="O578" i="2"/>
  <c r="X578" i="2" s="1"/>
  <c r="U577" i="2"/>
  <c r="O577" i="2"/>
  <c r="X577" i="2" s="1"/>
  <c r="AA565" i="2" l="1"/>
  <c r="AC565" i="2" s="1"/>
  <c r="Y720" i="2"/>
  <c r="Z720" i="2"/>
  <c r="Y719" i="2"/>
  <c r="Z719" i="2"/>
  <c r="Y718" i="2"/>
  <c r="Z718" i="2"/>
  <c r="Y710" i="2"/>
  <c r="Z710" i="2"/>
  <c r="Y704" i="2"/>
  <c r="Y709" i="2"/>
  <c r="Z709" i="2"/>
  <c r="Y708" i="2"/>
  <c r="Z708" i="2"/>
  <c r="Y707" i="2"/>
  <c r="Z707" i="2"/>
  <c r="Y706" i="2"/>
  <c r="Z706" i="2"/>
  <c r="Y705" i="2"/>
  <c r="Z705" i="2"/>
  <c r="Z704" i="2"/>
  <c r="Y703" i="2"/>
  <c r="Z703" i="2"/>
  <c r="Y702" i="2"/>
  <c r="Z702" i="2"/>
  <c r="Y701" i="2"/>
  <c r="Z701" i="2"/>
  <c r="X700" i="2"/>
  <c r="Y700" i="2"/>
  <c r="Y601" i="2"/>
  <c r="Z601" i="2"/>
  <c r="Z600" i="2"/>
  <c r="Y600" i="2"/>
  <c r="Y599" i="2"/>
  <c r="Z599" i="2"/>
  <c r="Y598" i="2"/>
  <c r="Z598" i="2"/>
  <c r="Y591" i="2"/>
  <c r="Z591" i="2"/>
  <c r="Z590" i="2"/>
  <c r="Y590" i="2"/>
  <c r="Z589" i="2"/>
  <c r="Y589" i="2"/>
  <c r="Z588" i="2"/>
  <c r="Y588" i="2"/>
  <c r="Z587" i="2"/>
  <c r="Y587" i="2"/>
  <c r="Z586" i="2"/>
  <c r="Y586" i="2"/>
  <c r="Z583" i="2"/>
  <c r="Y583" i="2"/>
  <c r="Z582" i="2"/>
  <c r="Y582" i="2"/>
  <c r="Y581" i="2"/>
  <c r="Z581" i="2"/>
  <c r="Z579" i="2"/>
  <c r="Y579" i="2"/>
  <c r="Z578" i="2"/>
  <c r="Y578" i="2"/>
  <c r="Z577" i="2"/>
  <c r="Y577" i="2"/>
  <c r="U699" i="2"/>
  <c r="O699" i="2"/>
  <c r="X699" i="2" s="1"/>
  <c r="U698" i="2"/>
  <c r="O698" i="2"/>
  <c r="X698" i="2" s="1"/>
  <c r="U697" i="2"/>
  <c r="O697" i="2"/>
  <c r="X697" i="2" s="1"/>
  <c r="U696" i="2"/>
  <c r="O696" i="2"/>
  <c r="X696" i="2" s="1"/>
  <c r="U695" i="2"/>
  <c r="O695" i="2"/>
  <c r="X695" i="2" s="1"/>
  <c r="U694" i="2"/>
  <c r="X694" i="2"/>
  <c r="U693" i="2"/>
  <c r="O693" i="2"/>
  <c r="X693" i="2" s="1"/>
  <c r="U692" i="2"/>
  <c r="O692" i="2"/>
  <c r="X692" i="2" s="1"/>
  <c r="U691" i="2"/>
  <c r="O691" i="2"/>
  <c r="X691" i="2" s="1"/>
  <c r="U690" i="2"/>
  <c r="O690" i="2"/>
  <c r="X690" i="2" s="1"/>
  <c r="U689" i="2"/>
  <c r="O689" i="2"/>
  <c r="X689" i="2" s="1"/>
  <c r="U688" i="2"/>
  <c r="O688" i="2"/>
  <c r="X688" i="2" s="1"/>
  <c r="U687" i="2"/>
  <c r="O687" i="2"/>
  <c r="X687" i="2" s="1"/>
  <c r="U686" i="2"/>
  <c r="O686" i="2"/>
  <c r="X686" i="2" s="1"/>
  <c r="AA719" i="2" l="1"/>
  <c r="AC719" i="2" s="1"/>
  <c r="AA720" i="2"/>
  <c r="AC720" i="2" s="1"/>
  <c r="AA718" i="2"/>
  <c r="AC718" i="2" s="1"/>
  <c r="AA710" i="2"/>
  <c r="AC710" i="2" s="1"/>
  <c r="AA704" i="2"/>
  <c r="AC704" i="2" s="1"/>
  <c r="AA706" i="2"/>
  <c r="AC706" i="2" s="1"/>
  <c r="AA705" i="2"/>
  <c r="AC705" i="2" s="1"/>
  <c r="AA707" i="2"/>
  <c r="AC707" i="2" s="1"/>
  <c r="AA709" i="2"/>
  <c r="AC709" i="2" s="1"/>
  <c r="AA708" i="2"/>
  <c r="AC708" i="2" s="1"/>
  <c r="AA703" i="2"/>
  <c r="AC703" i="2" s="1"/>
  <c r="AA702" i="2"/>
  <c r="AC702" i="2" s="1"/>
  <c r="AA701" i="2"/>
  <c r="AC701" i="2" s="1"/>
  <c r="AA700" i="2"/>
  <c r="AC700" i="2" s="1"/>
  <c r="AA599" i="2"/>
  <c r="AC599" i="2" s="1"/>
  <c r="AA601" i="2"/>
  <c r="AC601" i="2" s="1"/>
  <c r="AA600" i="2"/>
  <c r="AC600" i="2" s="1"/>
  <c r="AA591" i="2"/>
  <c r="AC591" i="2" s="1"/>
  <c r="AA598" i="2"/>
  <c r="AC598" i="2" s="1"/>
  <c r="AA587" i="2"/>
  <c r="AC587" i="2" s="1"/>
  <c r="AA586" i="2"/>
  <c r="AC586" i="2" s="1"/>
  <c r="AA590" i="2"/>
  <c r="AC590" i="2" s="1"/>
  <c r="AA589" i="2"/>
  <c r="AC589" i="2" s="1"/>
  <c r="AA588" i="2"/>
  <c r="AC588" i="2" s="1"/>
  <c r="AA583" i="2"/>
  <c r="AC583" i="2" s="1"/>
  <c r="AA582" i="2"/>
  <c r="AC582" i="2" s="1"/>
  <c r="AA581" i="2"/>
  <c r="AC581" i="2" s="1"/>
  <c r="AA579" i="2"/>
  <c r="AC579" i="2" s="1"/>
  <c r="AA578" i="2"/>
  <c r="AC578" i="2" s="1"/>
  <c r="AA577" i="2"/>
  <c r="AC577" i="2" s="1"/>
  <c r="Y699" i="2"/>
  <c r="Z699" i="2"/>
  <c r="Y698" i="2"/>
  <c r="Z698" i="2"/>
  <c r="Y697" i="2"/>
  <c r="Z697" i="2"/>
  <c r="Y696" i="2"/>
  <c r="Z696" i="2"/>
  <c r="Y695" i="2"/>
  <c r="Z695" i="2"/>
  <c r="Y694" i="2"/>
  <c r="Z694" i="2"/>
  <c r="Y693" i="2"/>
  <c r="Z693" i="2"/>
  <c r="Y692" i="2"/>
  <c r="Z692" i="2"/>
  <c r="Y691" i="2"/>
  <c r="Z691" i="2"/>
  <c r="Y690" i="2"/>
  <c r="Z690" i="2"/>
  <c r="Y689" i="2"/>
  <c r="Z689" i="2"/>
  <c r="Y688" i="2"/>
  <c r="Z688" i="2"/>
  <c r="Y687" i="2"/>
  <c r="Z687" i="2"/>
  <c r="Y686" i="2"/>
  <c r="Z686" i="2"/>
  <c r="U685" i="2"/>
  <c r="O685" i="2"/>
  <c r="X685" i="2" s="1"/>
  <c r="U684" i="2"/>
  <c r="O684" i="2"/>
  <c r="X684" i="2" s="1"/>
  <c r="U683" i="2"/>
  <c r="O683" i="2"/>
  <c r="X683" i="2" s="1"/>
  <c r="U682" i="2"/>
  <c r="O682" i="2"/>
  <c r="X682" i="2" s="1"/>
  <c r="U681" i="2"/>
  <c r="O681" i="2"/>
  <c r="X681" i="2" s="1"/>
  <c r="U668" i="2"/>
  <c r="O668" i="2"/>
  <c r="X668" i="2" s="1"/>
  <c r="U667" i="2"/>
  <c r="O667" i="2"/>
  <c r="X667" i="2" s="1"/>
  <c r="U637" i="2"/>
  <c r="O637" i="2"/>
  <c r="X637" i="2" s="1"/>
  <c r="F17" i="10"/>
  <c r="F22" i="10"/>
  <c r="F21" i="10"/>
  <c r="F20" i="10"/>
  <c r="F19" i="10"/>
  <c r="F18" i="10"/>
  <c r="C27" i="10"/>
  <c r="U585" i="2"/>
  <c r="O585" i="2"/>
  <c r="X585" i="2" s="1"/>
  <c r="U584" i="2"/>
  <c r="O584" i="2"/>
  <c r="X584" i="2" s="1"/>
  <c r="U580" i="2"/>
  <c r="O580" i="2"/>
  <c r="X580" i="2" s="1"/>
  <c r="U576" i="2"/>
  <c r="O576" i="2"/>
  <c r="X576" i="2" s="1"/>
  <c r="U575" i="2"/>
  <c r="O575" i="2"/>
  <c r="X575" i="2" s="1"/>
  <c r="U574" i="2"/>
  <c r="O574" i="2"/>
  <c r="X574" i="2" s="1"/>
  <c r="U573" i="2"/>
  <c r="O573" i="2"/>
  <c r="X573" i="2" s="1"/>
  <c r="U572" i="2"/>
  <c r="O572" i="2"/>
  <c r="X572" i="2" s="1"/>
  <c r="U571" i="2"/>
  <c r="O571" i="2"/>
  <c r="X571" i="2" s="1"/>
  <c r="U570" i="2"/>
  <c r="O570" i="2"/>
  <c r="X570" i="2" s="1"/>
  <c r="U569" i="2"/>
  <c r="X569" i="2"/>
  <c r="U568" i="2"/>
  <c r="O568" i="2"/>
  <c r="X568" i="2" s="1"/>
  <c r="U567" i="2"/>
  <c r="O567" i="2"/>
  <c r="X567" i="2" s="1"/>
  <c r="U566" i="2"/>
  <c r="O566" i="2"/>
  <c r="Z566" i="2" s="1"/>
  <c r="U564" i="2"/>
  <c r="O564" i="2"/>
  <c r="U563" i="2"/>
  <c r="O563" i="2"/>
  <c r="Z563" i="2" s="1"/>
  <c r="U562" i="2"/>
  <c r="O562" i="2"/>
  <c r="X562" i="2" s="1"/>
  <c r="U561" i="2"/>
  <c r="O561" i="2"/>
  <c r="X561" i="2" s="1"/>
  <c r="U560" i="2"/>
  <c r="O560" i="2"/>
  <c r="X560" i="2" s="1"/>
  <c r="O559" i="2"/>
  <c r="X559" i="2" s="1"/>
  <c r="U559" i="2"/>
  <c r="O680" i="2"/>
  <c r="X680" i="2" s="1"/>
  <c r="O679" i="2"/>
  <c r="X679" i="2" s="1"/>
  <c r="O678" i="2"/>
  <c r="X678" i="2" s="1"/>
  <c r="O677" i="2"/>
  <c r="X677" i="2" s="1"/>
  <c r="O676" i="2"/>
  <c r="X676" i="2" s="1"/>
  <c r="O675" i="2"/>
  <c r="Z675" i="2" s="1"/>
  <c r="O674" i="2"/>
  <c r="X674" i="2" s="1"/>
  <c r="O673" i="2"/>
  <c r="X673" i="2" s="1"/>
  <c r="O672" i="2"/>
  <c r="X672" i="2" s="1"/>
  <c r="O671" i="2"/>
  <c r="Z671" i="2" s="1"/>
  <c r="O670" i="2"/>
  <c r="Z670" i="2" s="1"/>
  <c r="O669" i="2"/>
  <c r="X669" i="2" s="1"/>
  <c r="O666" i="2"/>
  <c r="Z666" i="2" s="1"/>
  <c r="O665" i="2"/>
  <c r="X665" i="2" s="1"/>
  <c r="O664" i="2"/>
  <c r="X664" i="2" s="1"/>
  <c r="O663" i="2"/>
  <c r="Z663" i="2" s="1"/>
  <c r="O662" i="2"/>
  <c r="X662" i="2" s="1"/>
  <c r="O661" i="2"/>
  <c r="X661" i="2" s="1"/>
  <c r="O660" i="2"/>
  <c r="X660" i="2" s="1"/>
  <c r="O659" i="2"/>
  <c r="X659" i="2" s="1"/>
  <c r="O658" i="2"/>
  <c r="X658" i="2" s="1"/>
  <c r="O657" i="2"/>
  <c r="Z657" i="2" s="1"/>
  <c r="O656" i="2"/>
  <c r="X656" i="2" s="1"/>
  <c r="O655" i="2"/>
  <c r="X655" i="2" s="1"/>
  <c r="O654" i="2"/>
  <c r="X654" i="2" s="1"/>
  <c r="O653" i="2"/>
  <c r="X653" i="2" s="1"/>
  <c r="O652" i="2"/>
  <c r="X652" i="2" s="1"/>
  <c r="O651" i="2"/>
  <c r="Z651" i="2" s="1"/>
  <c r="O650" i="2"/>
  <c r="Z650" i="2" s="1"/>
  <c r="O649" i="2"/>
  <c r="Z649" i="2" s="1"/>
  <c r="O648" i="2"/>
  <c r="X648" i="2" s="1"/>
  <c r="O647" i="2"/>
  <c r="Z647" i="2" s="1"/>
  <c r="O646" i="2"/>
  <c r="X646" i="2" s="1"/>
  <c r="O645" i="2"/>
  <c r="Z645" i="2" s="1"/>
  <c r="O644" i="2"/>
  <c r="X644" i="2" s="1"/>
  <c r="O643" i="2"/>
  <c r="X643" i="2" s="1"/>
  <c r="O642" i="2"/>
  <c r="X642" i="2" s="1"/>
  <c r="O641" i="2"/>
  <c r="Z641" i="2" s="1"/>
  <c r="O640" i="2"/>
  <c r="Z640" i="2" s="1"/>
  <c r="O639" i="2"/>
  <c r="X639" i="2" s="1"/>
  <c r="O638" i="2"/>
  <c r="Z638" i="2" s="1"/>
  <c r="O636" i="2"/>
  <c r="X636" i="2" s="1"/>
  <c r="U636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D732" i="2"/>
  <c r="E732" i="2"/>
  <c r="AB732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Z564" i="2" l="1"/>
  <c r="X564" i="2"/>
  <c r="Y564" i="2"/>
  <c r="AA693" i="2"/>
  <c r="AC693" i="2" s="1"/>
  <c r="AA694" i="2"/>
  <c r="AC694" i="2" s="1"/>
  <c r="AA699" i="2"/>
  <c r="AC699" i="2" s="1"/>
  <c r="AA696" i="2"/>
  <c r="AC696" i="2" s="1"/>
  <c r="AA698" i="2"/>
  <c r="AC698" i="2" s="1"/>
  <c r="AA697" i="2"/>
  <c r="AC697" i="2" s="1"/>
  <c r="AA695" i="2"/>
  <c r="AC695" i="2" s="1"/>
  <c r="AA690" i="2"/>
  <c r="AC690" i="2" s="1"/>
  <c r="AA692" i="2"/>
  <c r="AC692" i="2" s="1"/>
  <c r="AA691" i="2"/>
  <c r="AC691" i="2" s="1"/>
  <c r="AA689" i="2"/>
  <c r="AC689" i="2" s="1"/>
  <c r="AA688" i="2"/>
  <c r="AC688" i="2" s="1"/>
  <c r="AA687" i="2"/>
  <c r="AC687" i="2" s="1"/>
  <c r="AA686" i="2"/>
  <c r="AC686" i="2" s="1"/>
  <c r="Y681" i="2"/>
  <c r="Y685" i="2"/>
  <c r="Z685" i="2"/>
  <c r="Y684" i="2"/>
  <c r="Z684" i="2"/>
  <c r="Y683" i="2"/>
  <c r="Z683" i="2"/>
  <c r="Y682" i="2"/>
  <c r="Z682" i="2"/>
  <c r="Z681" i="2"/>
  <c r="Y668" i="2"/>
  <c r="Z668" i="2"/>
  <c r="Y667" i="2"/>
  <c r="Z667" i="2"/>
  <c r="Y637" i="2"/>
  <c r="Z637" i="2"/>
  <c r="Y654" i="2"/>
  <c r="X651" i="2"/>
  <c r="X638" i="2"/>
  <c r="X649" i="2"/>
  <c r="X657" i="2"/>
  <c r="X645" i="2"/>
  <c r="X675" i="2"/>
  <c r="Z672" i="2"/>
  <c r="Z679" i="2"/>
  <c r="Y671" i="2"/>
  <c r="X671" i="2"/>
  <c r="Y665" i="2"/>
  <c r="Z661" i="2"/>
  <c r="Y643" i="2"/>
  <c r="Z676" i="2"/>
  <c r="Y675" i="2"/>
  <c r="Y672" i="2"/>
  <c r="Z665" i="2"/>
  <c r="Z658" i="2"/>
  <c r="Z642" i="2"/>
  <c r="Z639" i="2"/>
  <c r="Z680" i="2"/>
  <c r="Y679" i="2"/>
  <c r="Y676" i="2"/>
  <c r="Z662" i="2"/>
  <c r="Y647" i="2"/>
  <c r="Y576" i="2"/>
  <c r="Y680" i="2"/>
  <c r="X666" i="2"/>
  <c r="Y662" i="2"/>
  <c r="Z643" i="2"/>
  <c r="Z654" i="2"/>
  <c r="Y651" i="2"/>
  <c r="X647" i="2"/>
  <c r="X670" i="2"/>
  <c r="Y666" i="2"/>
  <c r="Z664" i="2"/>
  <c r="Y658" i="2"/>
  <c r="X641" i="2"/>
  <c r="Y636" i="2"/>
  <c r="Y580" i="2"/>
  <c r="Y585" i="2"/>
  <c r="Z585" i="2"/>
  <c r="Y584" i="2"/>
  <c r="Z584" i="2"/>
  <c r="Z580" i="2"/>
  <c r="Z576" i="2"/>
  <c r="Y575" i="2"/>
  <c r="Z575" i="2"/>
  <c r="Y574" i="2"/>
  <c r="Z574" i="2"/>
  <c r="Y573" i="2"/>
  <c r="Z573" i="2"/>
  <c r="Y572" i="2"/>
  <c r="Z572" i="2"/>
  <c r="Y571" i="2"/>
  <c r="Z571" i="2"/>
  <c r="Y570" i="2"/>
  <c r="Z570" i="2"/>
  <c r="Y569" i="2"/>
  <c r="Z569" i="2"/>
  <c r="Y568" i="2"/>
  <c r="Z568" i="2"/>
  <c r="Y567" i="2"/>
  <c r="Z567" i="2"/>
  <c r="X566" i="2"/>
  <c r="Y566" i="2"/>
  <c r="X563" i="2"/>
  <c r="Y563" i="2"/>
  <c r="Y562" i="2"/>
  <c r="Z562" i="2"/>
  <c r="Y561" i="2"/>
  <c r="Z561" i="2"/>
  <c r="Y560" i="2"/>
  <c r="Z560" i="2"/>
  <c r="Z559" i="2"/>
  <c r="Y559" i="2"/>
  <c r="Y678" i="2"/>
  <c r="Z674" i="2"/>
  <c r="Z656" i="2"/>
  <c r="Y653" i="2"/>
  <c r="Y660" i="2"/>
  <c r="Y650" i="2"/>
  <c r="X650" i="2"/>
  <c r="Z646" i="2"/>
  <c r="Y661" i="2"/>
  <c r="Y657" i="2"/>
  <c r="Z678" i="2"/>
  <c r="Y674" i="2"/>
  <c r="Y664" i="2"/>
  <c r="Z660" i="2"/>
  <c r="Y656" i="2"/>
  <c r="Z653" i="2"/>
  <c r="Y649" i="2"/>
  <c r="Y670" i="2"/>
  <c r="Y642" i="2"/>
  <c r="Y646" i="2"/>
  <c r="Y638" i="2"/>
  <c r="Y673" i="2"/>
  <c r="Y645" i="2"/>
  <c r="Y641" i="2"/>
  <c r="Y639" i="2"/>
  <c r="Z636" i="2"/>
  <c r="X663" i="2"/>
  <c r="Y655" i="2"/>
  <c r="Y648" i="2"/>
  <c r="Y677" i="2"/>
  <c r="Y669" i="2"/>
  <c r="X640" i="2"/>
  <c r="Y659" i="2"/>
  <c r="Y652" i="2"/>
  <c r="Y644" i="2"/>
  <c r="Y640" i="2"/>
  <c r="Z677" i="2"/>
  <c r="Z673" i="2"/>
  <c r="Z669" i="2"/>
  <c r="Z659" i="2"/>
  <c r="Z655" i="2"/>
  <c r="Z652" i="2"/>
  <c r="Z648" i="2"/>
  <c r="Z644" i="2"/>
  <c r="Y663" i="2"/>
  <c r="X498" i="2"/>
  <c r="U498" i="2"/>
  <c r="Y498" i="2" s="1"/>
  <c r="Z498" i="2"/>
  <c r="U499" i="2"/>
  <c r="Y499" i="2" s="1"/>
  <c r="X499" i="2"/>
  <c r="Z499" i="2"/>
  <c r="U500" i="2"/>
  <c r="Y500" i="2" s="1"/>
  <c r="X500" i="2"/>
  <c r="Z500" i="2"/>
  <c r="X501" i="2"/>
  <c r="U501" i="2"/>
  <c r="Y501" i="2" s="1"/>
  <c r="Z501" i="2"/>
  <c r="X502" i="2"/>
  <c r="U502" i="2"/>
  <c r="Y502" i="2" s="1"/>
  <c r="Z502" i="2"/>
  <c r="U503" i="2"/>
  <c r="Y503" i="2" s="1"/>
  <c r="X503" i="2"/>
  <c r="Z503" i="2"/>
  <c r="U504" i="2"/>
  <c r="Y504" i="2" s="1"/>
  <c r="X504" i="2"/>
  <c r="Z504" i="2"/>
  <c r="U505" i="2"/>
  <c r="Y505" i="2" s="1"/>
  <c r="X505" i="2"/>
  <c r="Z505" i="2"/>
  <c r="U506" i="2"/>
  <c r="Y506" i="2" s="1"/>
  <c r="X506" i="2"/>
  <c r="Z506" i="2"/>
  <c r="U507" i="2"/>
  <c r="Y507" i="2" s="1"/>
  <c r="X507" i="2"/>
  <c r="Z507" i="2"/>
  <c r="X508" i="2"/>
  <c r="U508" i="2"/>
  <c r="Y508" i="2" s="1"/>
  <c r="Z508" i="2"/>
  <c r="U509" i="2"/>
  <c r="Y509" i="2" s="1"/>
  <c r="X509" i="2"/>
  <c r="Z509" i="2"/>
  <c r="X510" i="2"/>
  <c r="U510" i="2"/>
  <c r="Y510" i="2" s="1"/>
  <c r="Z510" i="2"/>
  <c r="U511" i="2"/>
  <c r="Y511" i="2" s="1"/>
  <c r="X511" i="2"/>
  <c r="Z511" i="2"/>
  <c r="U512" i="2"/>
  <c r="Y512" i="2" s="1"/>
  <c r="X512" i="2"/>
  <c r="Z512" i="2"/>
  <c r="U513" i="2"/>
  <c r="Y513" i="2" s="1"/>
  <c r="X513" i="2"/>
  <c r="Z513" i="2"/>
  <c r="X514" i="2"/>
  <c r="U514" i="2"/>
  <c r="Y514" i="2" s="1"/>
  <c r="Z514" i="2"/>
  <c r="X515" i="2"/>
  <c r="U515" i="2"/>
  <c r="Y515" i="2" s="1"/>
  <c r="Z515" i="2"/>
  <c r="U516" i="2"/>
  <c r="Y516" i="2" s="1"/>
  <c r="X516" i="2"/>
  <c r="Z516" i="2"/>
  <c r="U517" i="2"/>
  <c r="Y517" i="2" s="1"/>
  <c r="X517" i="2"/>
  <c r="Z517" i="2"/>
  <c r="U518" i="2"/>
  <c r="Y518" i="2" s="1"/>
  <c r="X518" i="2"/>
  <c r="Z518" i="2"/>
  <c r="X519" i="2"/>
  <c r="U519" i="2"/>
  <c r="Y519" i="2" s="1"/>
  <c r="Z519" i="2"/>
  <c r="U520" i="2"/>
  <c r="Y520" i="2" s="1"/>
  <c r="X520" i="2"/>
  <c r="Z520" i="2"/>
  <c r="U521" i="2"/>
  <c r="Y521" i="2" s="1"/>
  <c r="X521" i="2"/>
  <c r="Z521" i="2"/>
  <c r="U522" i="2"/>
  <c r="Y522" i="2" s="1"/>
  <c r="X522" i="2"/>
  <c r="Z522" i="2"/>
  <c r="U523" i="2"/>
  <c r="Y523" i="2" s="1"/>
  <c r="X523" i="2"/>
  <c r="Z523" i="2"/>
  <c r="U524" i="2"/>
  <c r="Y524" i="2" s="1"/>
  <c r="X524" i="2"/>
  <c r="Z524" i="2"/>
  <c r="X525" i="2"/>
  <c r="U525" i="2"/>
  <c r="Y525" i="2" s="1"/>
  <c r="Z525" i="2"/>
  <c r="U526" i="2"/>
  <c r="Y526" i="2" s="1"/>
  <c r="X526" i="2"/>
  <c r="Z526" i="2"/>
  <c r="X527" i="2"/>
  <c r="U527" i="2"/>
  <c r="Y527" i="2" s="1"/>
  <c r="Z527" i="2"/>
  <c r="X528" i="2"/>
  <c r="U528" i="2"/>
  <c r="Y528" i="2" s="1"/>
  <c r="Z528" i="2"/>
  <c r="U529" i="2"/>
  <c r="Y529" i="2" s="1"/>
  <c r="X529" i="2"/>
  <c r="Z529" i="2"/>
  <c r="U530" i="2"/>
  <c r="Y530" i="2" s="1"/>
  <c r="X530" i="2"/>
  <c r="Z530" i="2"/>
  <c r="X531" i="2"/>
  <c r="U531" i="2"/>
  <c r="Y531" i="2" s="1"/>
  <c r="Z531" i="2"/>
  <c r="X532" i="2"/>
  <c r="U532" i="2"/>
  <c r="Y532" i="2" s="1"/>
  <c r="Z532" i="2"/>
  <c r="U533" i="2"/>
  <c r="Y533" i="2" s="1"/>
  <c r="X533" i="2"/>
  <c r="Z533" i="2"/>
  <c r="U534" i="2"/>
  <c r="Y534" i="2" s="1"/>
  <c r="X534" i="2"/>
  <c r="Z534" i="2"/>
  <c r="U535" i="2"/>
  <c r="Y535" i="2" s="1"/>
  <c r="X535" i="2"/>
  <c r="Z535" i="2"/>
  <c r="X536" i="2"/>
  <c r="U536" i="2"/>
  <c r="Y536" i="2" s="1"/>
  <c r="Z536" i="2"/>
  <c r="U537" i="2"/>
  <c r="Y537" i="2" s="1"/>
  <c r="X537" i="2"/>
  <c r="Z537" i="2"/>
  <c r="U538" i="2"/>
  <c r="Y538" i="2" s="1"/>
  <c r="X538" i="2"/>
  <c r="Z538" i="2"/>
  <c r="X539" i="2"/>
  <c r="U539" i="2"/>
  <c r="Y539" i="2" s="1"/>
  <c r="Z539" i="2"/>
  <c r="X540" i="2"/>
  <c r="U540" i="2"/>
  <c r="Y540" i="2" s="1"/>
  <c r="Z540" i="2"/>
  <c r="X541" i="2"/>
  <c r="U541" i="2"/>
  <c r="Y541" i="2" s="1"/>
  <c r="Z541" i="2"/>
  <c r="U542" i="2"/>
  <c r="Y542" i="2" s="1"/>
  <c r="X542" i="2"/>
  <c r="Z542" i="2"/>
  <c r="X543" i="2"/>
  <c r="U543" i="2"/>
  <c r="Y543" i="2" s="1"/>
  <c r="Z543" i="2"/>
  <c r="U544" i="2"/>
  <c r="Y544" i="2" s="1"/>
  <c r="X544" i="2"/>
  <c r="Z544" i="2"/>
  <c r="X545" i="2"/>
  <c r="U545" i="2"/>
  <c r="Y545" i="2" s="1"/>
  <c r="Z545" i="2"/>
  <c r="U546" i="2"/>
  <c r="Y546" i="2" s="1"/>
  <c r="X546" i="2"/>
  <c r="Z546" i="2"/>
  <c r="U547" i="2"/>
  <c r="Y547" i="2" s="1"/>
  <c r="X547" i="2"/>
  <c r="Z547" i="2"/>
  <c r="U548" i="2"/>
  <c r="Y548" i="2" s="1"/>
  <c r="X548" i="2"/>
  <c r="Z548" i="2"/>
  <c r="U549" i="2"/>
  <c r="Y549" i="2" s="1"/>
  <c r="X549" i="2"/>
  <c r="Z549" i="2"/>
  <c r="U550" i="2"/>
  <c r="Y550" i="2" s="1"/>
  <c r="X550" i="2"/>
  <c r="Z550" i="2"/>
  <c r="X551" i="2"/>
  <c r="U551" i="2"/>
  <c r="Y551" i="2" s="1"/>
  <c r="Z551" i="2"/>
  <c r="U552" i="2"/>
  <c r="Y552" i="2" s="1"/>
  <c r="X552" i="2"/>
  <c r="Z552" i="2"/>
  <c r="U553" i="2"/>
  <c r="Y553" i="2" s="1"/>
  <c r="X553" i="2"/>
  <c r="Z553" i="2"/>
  <c r="U554" i="2"/>
  <c r="Y554" i="2" s="1"/>
  <c r="X554" i="2"/>
  <c r="Z554" i="2"/>
  <c r="U555" i="2"/>
  <c r="Y555" i="2" s="1"/>
  <c r="X555" i="2"/>
  <c r="Z555" i="2"/>
  <c r="U556" i="2"/>
  <c r="Y556" i="2" s="1"/>
  <c r="X556" i="2"/>
  <c r="Z556" i="2"/>
  <c r="X557" i="2"/>
  <c r="U557" i="2"/>
  <c r="Y557" i="2" s="1"/>
  <c r="Z557" i="2"/>
  <c r="U558" i="2"/>
  <c r="Y558" i="2" s="1"/>
  <c r="X558" i="2"/>
  <c r="Z558" i="2"/>
  <c r="AA649" i="2" l="1"/>
  <c r="AC649" i="2" s="1"/>
  <c r="AA654" i="2"/>
  <c r="AC654" i="2" s="1"/>
  <c r="AA664" i="2"/>
  <c r="AC664" i="2" s="1"/>
  <c r="AA681" i="2"/>
  <c r="AC681" i="2" s="1"/>
  <c r="AA657" i="2"/>
  <c r="AC657" i="2" s="1"/>
  <c r="AA684" i="2"/>
  <c r="AC684" i="2" s="1"/>
  <c r="AA668" i="2"/>
  <c r="AC668" i="2" s="1"/>
  <c r="AA685" i="2"/>
  <c r="AC685" i="2" s="1"/>
  <c r="AA683" i="2"/>
  <c r="AC683" i="2" s="1"/>
  <c r="AA682" i="2"/>
  <c r="AC682" i="2" s="1"/>
  <c r="AA667" i="2"/>
  <c r="AC667" i="2" s="1"/>
  <c r="AA637" i="2"/>
  <c r="AC637" i="2" s="1"/>
  <c r="AA651" i="2"/>
  <c r="AC651" i="2" s="1"/>
  <c r="AA638" i="2"/>
  <c r="AC638" i="2" s="1"/>
  <c r="AA645" i="2"/>
  <c r="AC645" i="2" s="1"/>
  <c r="AA675" i="2"/>
  <c r="AC675" i="2" s="1"/>
  <c r="AA672" i="2"/>
  <c r="AC672" i="2" s="1"/>
  <c r="AA662" i="2"/>
  <c r="AC662" i="2" s="1"/>
  <c r="AA639" i="2"/>
  <c r="AC639" i="2" s="1"/>
  <c r="AA670" i="2"/>
  <c r="AC670" i="2" s="1"/>
  <c r="AA643" i="2"/>
  <c r="AC643" i="2" s="1"/>
  <c r="AA641" i="2"/>
  <c r="AC641" i="2" s="1"/>
  <c r="AA661" i="2"/>
  <c r="AC661" i="2" s="1"/>
  <c r="AA679" i="2"/>
  <c r="AC679" i="2" s="1"/>
  <c r="AA574" i="2"/>
  <c r="AC574" i="2" s="1"/>
  <c r="AA666" i="2"/>
  <c r="AC666" i="2" s="1"/>
  <c r="AA671" i="2"/>
  <c r="AC671" i="2" s="1"/>
  <c r="AA636" i="2"/>
  <c r="AC636" i="2" s="1"/>
  <c r="AA680" i="2"/>
  <c r="AC680" i="2" s="1"/>
  <c r="AA665" i="2"/>
  <c r="AC665" i="2" s="1"/>
  <c r="AA575" i="2"/>
  <c r="AC575" i="2" s="1"/>
  <c r="AA658" i="2"/>
  <c r="AC658" i="2" s="1"/>
  <c r="AA647" i="2"/>
  <c r="AC647" i="2" s="1"/>
  <c r="AA676" i="2"/>
  <c r="AC676" i="2" s="1"/>
  <c r="AA576" i="2"/>
  <c r="AC576" i="2" s="1"/>
  <c r="AA642" i="2"/>
  <c r="AC642" i="2" s="1"/>
  <c r="AA585" i="2"/>
  <c r="AC585" i="2" s="1"/>
  <c r="AA580" i="2"/>
  <c r="AC580" i="2" s="1"/>
  <c r="AA584" i="2"/>
  <c r="AC584" i="2" s="1"/>
  <c r="AA573" i="2"/>
  <c r="AC573" i="2" s="1"/>
  <c r="AA569" i="2"/>
  <c r="AC569" i="2" s="1"/>
  <c r="AA571" i="2"/>
  <c r="AC571" i="2" s="1"/>
  <c r="AA572" i="2"/>
  <c r="AC572" i="2" s="1"/>
  <c r="AA570" i="2"/>
  <c r="AC570" i="2" s="1"/>
  <c r="AA568" i="2"/>
  <c r="AC568" i="2" s="1"/>
  <c r="AA567" i="2"/>
  <c r="AC567" i="2" s="1"/>
  <c r="AA566" i="2"/>
  <c r="AC566" i="2" s="1"/>
  <c r="AA561" i="2"/>
  <c r="AC561" i="2" s="1"/>
  <c r="AA563" i="2"/>
  <c r="AC563" i="2" s="1"/>
  <c r="AA560" i="2"/>
  <c r="AC560" i="2" s="1"/>
  <c r="AA564" i="2"/>
  <c r="AC564" i="2" s="1"/>
  <c r="AA562" i="2"/>
  <c r="AC562" i="2" s="1"/>
  <c r="AA678" i="2"/>
  <c r="AC678" i="2" s="1"/>
  <c r="AA660" i="2"/>
  <c r="AC660" i="2" s="1"/>
  <c r="AA559" i="2"/>
  <c r="AC559" i="2" s="1"/>
  <c r="AA650" i="2"/>
  <c r="AC650" i="2" s="1"/>
  <c r="AA656" i="2"/>
  <c r="AC656" i="2" s="1"/>
  <c r="AA653" i="2"/>
  <c r="AC653" i="2" s="1"/>
  <c r="AA674" i="2"/>
  <c r="AC674" i="2" s="1"/>
  <c r="AA646" i="2"/>
  <c r="AC646" i="2" s="1"/>
  <c r="AA677" i="2"/>
  <c r="AC677" i="2" s="1"/>
  <c r="AA669" i="2"/>
  <c r="AC669" i="2" s="1"/>
  <c r="AA640" i="2"/>
  <c r="AC640" i="2" s="1"/>
  <c r="AA655" i="2"/>
  <c r="AC655" i="2" s="1"/>
  <c r="AA673" i="2"/>
  <c r="AC673" i="2" s="1"/>
  <c r="AA663" i="2"/>
  <c r="AC663" i="2" s="1"/>
  <c r="AA648" i="2"/>
  <c r="AC648" i="2" s="1"/>
  <c r="AA659" i="2"/>
  <c r="AC659" i="2" s="1"/>
  <c r="AA644" i="2"/>
  <c r="AC644" i="2" s="1"/>
  <c r="AA652" i="2"/>
  <c r="AC652" i="2" s="1"/>
  <c r="AA498" i="2"/>
  <c r="AA499" i="2"/>
  <c r="AC499" i="2" s="1"/>
  <c r="AA500" i="2"/>
  <c r="AC500" i="2" s="1"/>
  <c r="AA501" i="2"/>
  <c r="AC501" i="2" s="1"/>
  <c r="AA502" i="2"/>
  <c r="AC502" i="2" s="1"/>
  <c r="AA503" i="2"/>
  <c r="AC503" i="2" s="1"/>
  <c r="AA504" i="2"/>
  <c r="AC504" i="2" s="1"/>
  <c r="AA505" i="2"/>
  <c r="AC505" i="2" s="1"/>
  <c r="AA506" i="2"/>
  <c r="AC506" i="2" s="1"/>
  <c r="AA507" i="2"/>
  <c r="AC507" i="2" s="1"/>
  <c r="AA508" i="2"/>
  <c r="AC508" i="2" s="1"/>
  <c r="AA509" i="2"/>
  <c r="AC509" i="2" s="1"/>
  <c r="AA510" i="2"/>
  <c r="AC510" i="2" s="1"/>
  <c r="AA511" i="2"/>
  <c r="AC511" i="2" s="1"/>
  <c r="AA512" i="2"/>
  <c r="AC512" i="2" s="1"/>
  <c r="AA513" i="2"/>
  <c r="AC513" i="2" s="1"/>
  <c r="AA514" i="2"/>
  <c r="AC514" i="2" s="1"/>
  <c r="AA515" i="2"/>
  <c r="AC515" i="2" s="1"/>
  <c r="AA516" i="2"/>
  <c r="AC516" i="2" s="1"/>
  <c r="AA517" i="2"/>
  <c r="AC517" i="2" s="1"/>
  <c r="AA518" i="2"/>
  <c r="AC518" i="2" s="1"/>
  <c r="AA519" i="2"/>
  <c r="AC519" i="2" s="1"/>
  <c r="AA520" i="2"/>
  <c r="AC520" i="2" s="1"/>
  <c r="AA521" i="2"/>
  <c r="AC521" i="2" s="1"/>
  <c r="AA522" i="2"/>
  <c r="AC522" i="2" s="1"/>
  <c r="AA523" i="2"/>
  <c r="AC523" i="2" s="1"/>
  <c r="AA524" i="2"/>
  <c r="AC524" i="2" s="1"/>
  <c r="AA525" i="2"/>
  <c r="AC525" i="2" s="1"/>
  <c r="AA528" i="2"/>
  <c r="AC528" i="2" s="1"/>
  <c r="AA526" i="2"/>
  <c r="AC526" i="2" s="1"/>
  <c r="AA527" i="2"/>
  <c r="AC527" i="2" s="1"/>
  <c r="AA529" i="2"/>
  <c r="AC529" i="2" s="1"/>
  <c r="AA530" i="2"/>
  <c r="AC530" i="2" s="1"/>
  <c r="AA531" i="2"/>
  <c r="AC531" i="2" s="1"/>
  <c r="AA532" i="2"/>
  <c r="AC532" i="2" s="1"/>
  <c r="AA533" i="2"/>
  <c r="AC533" i="2" s="1"/>
  <c r="AA534" i="2"/>
  <c r="AC534" i="2" s="1"/>
  <c r="AA535" i="2"/>
  <c r="AC535" i="2" s="1"/>
  <c r="AA536" i="2"/>
  <c r="AC536" i="2" s="1"/>
  <c r="AA537" i="2"/>
  <c r="AC537" i="2" s="1"/>
  <c r="AA538" i="2"/>
  <c r="AC538" i="2" s="1"/>
  <c r="AA539" i="2"/>
  <c r="AC539" i="2" s="1"/>
  <c r="AA540" i="2"/>
  <c r="AC540" i="2" s="1"/>
  <c r="AA541" i="2"/>
  <c r="AC541" i="2" s="1"/>
  <c r="AA542" i="2"/>
  <c r="AC542" i="2" s="1"/>
  <c r="AA543" i="2"/>
  <c r="AC543" i="2" s="1"/>
  <c r="AA544" i="2"/>
  <c r="AC544" i="2" s="1"/>
  <c r="AA545" i="2"/>
  <c r="AC545" i="2" s="1"/>
  <c r="AA546" i="2"/>
  <c r="AC546" i="2" s="1"/>
  <c r="AA547" i="2"/>
  <c r="AC547" i="2" s="1"/>
  <c r="AA548" i="2"/>
  <c r="AC548" i="2" s="1"/>
  <c r="AA549" i="2"/>
  <c r="AC549" i="2" s="1"/>
  <c r="AA550" i="2"/>
  <c r="AC550" i="2" s="1"/>
  <c r="AA551" i="2"/>
  <c r="AC551" i="2" s="1"/>
  <c r="AA552" i="2"/>
  <c r="AC552" i="2" s="1"/>
  <c r="AA553" i="2"/>
  <c r="AC553" i="2" s="1"/>
  <c r="AA554" i="2"/>
  <c r="AC554" i="2" s="1"/>
  <c r="AA555" i="2"/>
  <c r="AC555" i="2" s="1"/>
  <c r="AA556" i="2"/>
  <c r="AC556" i="2" s="1"/>
  <c r="AA557" i="2"/>
  <c r="AC557" i="2" s="1"/>
  <c r="AA558" i="2"/>
  <c r="AC558" i="2" s="1"/>
  <c r="AC498" i="2" l="1"/>
  <c r="E27" i="9"/>
  <c r="F16" i="10"/>
  <c r="F15" i="10"/>
  <c r="O69" i="2" l="1"/>
  <c r="X69" i="2" s="1"/>
  <c r="U69" i="2"/>
  <c r="O67" i="2"/>
  <c r="X67" i="2" s="1"/>
  <c r="U67" i="2"/>
  <c r="O68" i="2"/>
  <c r="X68" i="2" s="1"/>
  <c r="U68" i="2"/>
  <c r="O48" i="2"/>
  <c r="X48" i="2" s="1"/>
  <c r="U48" i="2"/>
  <c r="O49" i="2"/>
  <c r="X49" i="2" s="1"/>
  <c r="U49" i="2"/>
  <c r="O50" i="2"/>
  <c r="X50" i="2" s="1"/>
  <c r="U50" i="2"/>
  <c r="O51" i="2"/>
  <c r="X51" i="2" s="1"/>
  <c r="U51" i="2"/>
  <c r="O52" i="2"/>
  <c r="X52" i="2" s="1"/>
  <c r="U52" i="2"/>
  <c r="O53" i="2"/>
  <c r="X53" i="2" s="1"/>
  <c r="U53" i="2"/>
  <c r="O54" i="2"/>
  <c r="X54" i="2" s="1"/>
  <c r="U54" i="2"/>
  <c r="O55" i="2"/>
  <c r="X55" i="2" s="1"/>
  <c r="U55" i="2"/>
  <c r="O56" i="2"/>
  <c r="X56" i="2" s="1"/>
  <c r="U56" i="2"/>
  <c r="O57" i="2"/>
  <c r="X57" i="2" s="1"/>
  <c r="U57" i="2"/>
  <c r="O58" i="2"/>
  <c r="X58" i="2" s="1"/>
  <c r="U58" i="2"/>
  <c r="O59" i="2"/>
  <c r="X59" i="2" s="1"/>
  <c r="U59" i="2"/>
  <c r="O60" i="2"/>
  <c r="X60" i="2" s="1"/>
  <c r="U60" i="2"/>
  <c r="O61" i="2"/>
  <c r="X61" i="2" s="1"/>
  <c r="U61" i="2"/>
  <c r="O62" i="2"/>
  <c r="X62" i="2" s="1"/>
  <c r="U62" i="2"/>
  <c r="O63" i="2"/>
  <c r="X63" i="2" s="1"/>
  <c r="U63" i="2"/>
  <c r="O64" i="2"/>
  <c r="X64" i="2" s="1"/>
  <c r="U64" i="2"/>
  <c r="O65" i="2"/>
  <c r="X65" i="2" s="1"/>
  <c r="U65" i="2"/>
  <c r="O66" i="2"/>
  <c r="X66" i="2" s="1"/>
  <c r="U66" i="2"/>
  <c r="O42" i="2"/>
  <c r="X42" i="2" s="1"/>
  <c r="U42" i="2"/>
  <c r="O43" i="2"/>
  <c r="X43" i="2" s="1"/>
  <c r="U43" i="2"/>
  <c r="O31" i="2"/>
  <c r="X31" i="2" s="1"/>
  <c r="U31" i="2"/>
  <c r="O32" i="2"/>
  <c r="X32" i="2" s="1"/>
  <c r="U32" i="2"/>
  <c r="O33" i="2"/>
  <c r="X33" i="2" s="1"/>
  <c r="U33" i="2"/>
  <c r="O34" i="2"/>
  <c r="X34" i="2" s="1"/>
  <c r="U34" i="2"/>
  <c r="O35" i="2"/>
  <c r="X35" i="2" s="1"/>
  <c r="U35" i="2"/>
  <c r="O36" i="2"/>
  <c r="X36" i="2" s="1"/>
  <c r="U36" i="2"/>
  <c r="O37" i="2"/>
  <c r="X37" i="2" s="1"/>
  <c r="U37" i="2"/>
  <c r="O38" i="2"/>
  <c r="Z38" i="2" s="1"/>
  <c r="U38" i="2"/>
  <c r="O39" i="2"/>
  <c r="U39" i="2"/>
  <c r="O40" i="2"/>
  <c r="X40" i="2" s="1"/>
  <c r="U40" i="2"/>
  <c r="O16" i="2"/>
  <c r="Z16" i="2" s="1"/>
  <c r="O17" i="2"/>
  <c r="X17" i="2" s="1"/>
  <c r="O15" i="2"/>
  <c r="U16" i="2"/>
  <c r="U17" i="2"/>
  <c r="O18" i="2"/>
  <c r="X18" i="2" s="1"/>
  <c r="U18" i="2"/>
  <c r="O19" i="2"/>
  <c r="X19" i="2" s="1"/>
  <c r="U19" i="2"/>
  <c r="O20" i="2"/>
  <c r="X20" i="2" s="1"/>
  <c r="U20" i="2"/>
  <c r="O21" i="2"/>
  <c r="X21" i="2" s="1"/>
  <c r="U21" i="2"/>
  <c r="O22" i="2"/>
  <c r="X22" i="2" s="1"/>
  <c r="U22" i="2"/>
  <c r="O23" i="2"/>
  <c r="X23" i="2" s="1"/>
  <c r="U23" i="2"/>
  <c r="O24" i="2"/>
  <c r="X24" i="2" s="1"/>
  <c r="U24" i="2"/>
  <c r="O25" i="2"/>
  <c r="X25" i="2" s="1"/>
  <c r="U25" i="2"/>
  <c r="O26" i="2"/>
  <c r="X26" i="2" s="1"/>
  <c r="U26" i="2"/>
  <c r="O27" i="2"/>
  <c r="X27" i="2" s="1"/>
  <c r="U27" i="2"/>
  <c r="O28" i="2"/>
  <c r="X28" i="2" s="1"/>
  <c r="U28" i="2"/>
  <c r="O29" i="2"/>
  <c r="X29" i="2" s="1"/>
  <c r="U29" i="2"/>
  <c r="O30" i="2"/>
  <c r="X30" i="2" s="1"/>
  <c r="U30" i="2"/>
  <c r="O41" i="2"/>
  <c r="X41" i="2" s="1"/>
  <c r="U41" i="2"/>
  <c r="O44" i="2"/>
  <c r="X44" i="2" s="1"/>
  <c r="U44" i="2"/>
  <c r="O45" i="2"/>
  <c r="X45" i="2" s="1"/>
  <c r="U45" i="2"/>
  <c r="O46" i="2"/>
  <c r="X46" i="2" s="1"/>
  <c r="U46" i="2"/>
  <c r="U15" i="2"/>
  <c r="O47" i="2"/>
  <c r="X47" i="2" s="1"/>
  <c r="U47" i="2"/>
  <c r="Z69" i="2" l="1"/>
  <c r="Y69" i="2"/>
  <c r="Y67" i="2"/>
  <c r="Z67" i="2"/>
  <c r="Z68" i="2"/>
  <c r="Y68" i="2"/>
  <c r="Z48" i="2"/>
  <c r="Y48" i="2"/>
  <c r="Y50" i="2"/>
  <c r="Z50" i="2"/>
  <c r="Z49" i="2"/>
  <c r="Y49" i="2"/>
  <c r="Y51" i="2"/>
  <c r="Z51" i="2"/>
  <c r="Z52" i="2"/>
  <c r="Z53" i="2"/>
  <c r="Y52" i="2"/>
  <c r="Y53" i="2"/>
  <c r="Z54" i="2"/>
  <c r="Y54" i="2"/>
  <c r="Z55" i="2"/>
  <c r="Y55" i="2"/>
  <c r="Z56" i="2"/>
  <c r="Y56" i="2"/>
  <c r="Z57" i="2"/>
  <c r="Y57" i="2"/>
  <c r="Y59" i="2"/>
  <c r="Z58" i="2"/>
  <c r="Y58" i="2"/>
  <c r="Z59" i="2"/>
  <c r="Z60" i="2"/>
  <c r="Y60" i="2"/>
  <c r="Z61" i="2"/>
  <c r="Y61" i="2"/>
  <c r="Z62" i="2"/>
  <c r="Y62" i="2"/>
  <c r="Z63" i="2"/>
  <c r="Y63" i="2"/>
  <c r="Z64" i="2"/>
  <c r="Y64" i="2"/>
  <c r="Z65" i="2"/>
  <c r="Y65" i="2"/>
  <c r="Z66" i="2"/>
  <c r="Y66" i="2"/>
  <c r="Y42" i="2"/>
  <c r="Z42" i="2"/>
  <c r="Z43" i="2"/>
  <c r="Y43" i="2"/>
  <c r="Z31" i="2"/>
  <c r="Z32" i="2"/>
  <c r="Y31" i="2"/>
  <c r="Z33" i="2"/>
  <c r="Y32" i="2"/>
  <c r="Y33" i="2"/>
  <c r="Z34" i="2"/>
  <c r="Y34" i="2"/>
  <c r="Z35" i="2"/>
  <c r="Y35" i="2"/>
  <c r="Z36" i="2"/>
  <c r="Z37" i="2"/>
  <c r="Y36" i="2"/>
  <c r="Y39" i="2"/>
  <c r="Y37" i="2"/>
  <c r="Y38" i="2"/>
  <c r="X38" i="2"/>
  <c r="Z39" i="2"/>
  <c r="X39" i="2"/>
  <c r="Z40" i="2"/>
  <c r="Y40" i="2"/>
  <c r="X16" i="2"/>
  <c r="Y16" i="2"/>
  <c r="Z17" i="2"/>
  <c r="Y17" i="2"/>
  <c r="Z18" i="2"/>
  <c r="Y18" i="2"/>
  <c r="Z19" i="2"/>
  <c r="Y19" i="2"/>
  <c r="Z20" i="2"/>
  <c r="Y20" i="2"/>
  <c r="Z21" i="2"/>
  <c r="Y21" i="2"/>
  <c r="Z22" i="2"/>
  <c r="Y22" i="2"/>
  <c r="Z23" i="2"/>
  <c r="Y23" i="2"/>
  <c r="Z24" i="2"/>
  <c r="Z25" i="2"/>
  <c r="Y24" i="2"/>
  <c r="Y25" i="2"/>
  <c r="Z26" i="2"/>
  <c r="Y26" i="2"/>
  <c r="Z27" i="2"/>
  <c r="Y27" i="2"/>
  <c r="Z28" i="2"/>
  <c r="Y28" i="2"/>
  <c r="Z29" i="2"/>
  <c r="Y15" i="2"/>
  <c r="Y29" i="2"/>
  <c r="Y30" i="2"/>
  <c r="Z30" i="2"/>
  <c r="Z41" i="2"/>
  <c r="Y41" i="2"/>
  <c r="Z44" i="2"/>
  <c r="Y44" i="2"/>
  <c r="X15" i="2"/>
  <c r="Z45" i="2"/>
  <c r="Y45" i="2"/>
  <c r="Z46" i="2"/>
  <c r="Y46" i="2"/>
  <c r="Z15" i="2"/>
  <c r="Y47" i="2"/>
  <c r="Z47" i="2"/>
  <c r="AA69" i="2" l="1"/>
  <c r="AC69" i="2" s="1"/>
  <c r="AA68" i="2"/>
  <c r="AC68" i="2" s="1"/>
  <c r="AA67" i="2"/>
  <c r="AC67" i="2" s="1"/>
  <c r="AA51" i="2"/>
  <c r="AC51" i="2" s="1"/>
  <c r="AA50" i="2"/>
  <c r="AC50" i="2" s="1"/>
  <c r="AA48" i="2"/>
  <c r="AC48" i="2" s="1"/>
  <c r="AA49" i="2"/>
  <c r="AC49" i="2" s="1"/>
  <c r="AA52" i="2"/>
  <c r="AC52" i="2" s="1"/>
  <c r="AA54" i="2"/>
  <c r="AC54" i="2" s="1"/>
  <c r="AA53" i="2"/>
  <c r="AC53" i="2" s="1"/>
  <c r="AA55" i="2"/>
  <c r="AC55" i="2" s="1"/>
  <c r="AA59" i="2"/>
  <c r="AC59" i="2" s="1"/>
  <c r="AA56" i="2"/>
  <c r="AC56" i="2" s="1"/>
  <c r="AA57" i="2"/>
  <c r="AC57" i="2" s="1"/>
  <c r="AA60" i="2"/>
  <c r="AC60" i="2" s="1"/>
  <c r="AA58" i="2"/>
  <c r="AC58" i="2" s="1"/>
  <c r="AA61" i="2"/>
  <c r="AC61" i="2" s="1"/>
  <c r="AA66" i="2"/>
  <c r="AC66" i="2" s="1"/>
  <c r="AA64" i="2"/>
  <c r="AC64" i="2" s="1"/>
  <c r="AA62" i="2"/>
  <c r="AC62" i="2" s="1"/>
  <c r="AA63" i="2"/>
  <c r="AC63" i="2" s="1"/>
  <c r="AA65" i="2"/>
  <c r="AC65" i="2" s="1"/>
  <c r="AA42" i="2"/>
  <c r="AC42" i="2" s="1"/>
  <c r="AA43" i="2"/>
  <c r="AC43" i="2" s="1"/>
  <c r="AA31" i="2"/>
  <c r="AC31" i="2" s="1"/>
  <c r="AA38" i="2"/>
  <c r="AC38" i="2" s="1"/>
  <c r="AA35" i="2"/>
  <c r="AC35" i="2" s="1"/>
  <c r="AA34" i="2"/>
  <c r="AC34" i="2" s="1"/>
  <c r="AA33" i="2"/>
  <c r="AC33" i="2" s="1"/>
  <c r="AA32" i="2"/>
  <c r="AC32" i="2" s="1"/>
  <c r="AA37" i="2"/>
  <c r="AC37" i="2" s="1"/>
  <c r="AA36" i="2"/>
  <c r="AC36" i="2" s="1"/>
  <c r="AA39" i="2"/>
  <c r="AC39" i="2" s="1"/>
  <c r="AA40" i="2"/>
  <c r="AC40" i="2" s="1"/>
  <c r="AA16" i="2"/>
  <c r="AC16" i="2" s="1"/>
  <c r="AA19" i="2"/>
  <c r="AC19" i="2" s="1"/>
  <c r="AA17" i="2"/>
  <c r="AC17" i="2" s="1"/>
  <c r="AA20" i="2"/>
  <c r="AC20" i="2" s="1"/>
  <c r="AA18" i="2"/>
  <c r="AC18" i="2" s="1"/>
  <c r="AA21" i="2"/>
  <c r="AC21" i="2" s="1"/>
  <c r="AA22" i="2"/>
  <c r="AC22" i="2" s="1"/>
  <c r="AA24" i="2"/>
  <c r="AC24" i="2" s="1"/>
  <c r="AA23" i="2"/>
  <c r="AC23" i="2" s="1"/>
  <c r="AA25" i="2"/>
  <c r="AC25" i="2" s="1"/>
  <c r="AA26" i="2"/>
  <c r="AC26" i="2" s="1"/>
  <c r="AA41" i="2"/>
  <c r="AC41" i="2" s="1"/>
  <c r="AA27" i="2"/>
  <c r="AC27" i="2" s="1"/>
  <c r="AA29" i="2"/>
  <c r="AC29" i="2" s="1"/>
  <c r="AA28" i="2"/>
  <c r="AC28" i="2" s="1"/>
  <c r="AA30" i="2"/>
  <c r="AC30" i="2" s="1"/>
  <c r="AA47" i="2"/>
  <c r="AC47" i="2" s="1"/>
  <c r="AA44" i="2"/>
  <c r="AC44" i="2" s="1"/>
  <c r="AA15" i="2"/>
  <c r="AC15" i="2" s="1"/>
  <c r="AA45" i="2"/>
  <c r="AC45" i="2" s="1"/>
  <c r="AA46" i="2"/>
  <c r="AC46" i="2" s="1"/>
  <c r="O13" i="2" l="1"/>
  <c r="X13" i="2" s="1"/>
  <c r="U13" i="2"/>
  <c r="X14" i="2"/>
  <c r="U14" i="2"/>
  <c r="Z13" i="2" l="1"/>
  <c r="Y13" i="2"/>
  <c r="Y14" i="2"/>
  <c r="Z14" i="2"/>
  <c r="U497" i="2"/>
  <c r="O497" i="2"/>
  <c r="X497" i="2" s="1"/>
  <c r="U496" i="2"/>
  <c r="O496" i="2"/>
  <c r="X496" i="2" s="1"/>
  <c r="U495" i="2"/>
  <c r="O495" i="2"/>
  <c r="Z495" i="2" s="1"/>
  <c r="O436" i="2"/>
  <c r="X436" i="2" s="1"/>
  <c r="U436" i="2"/>
  <c r="O437" i="2"/>
  <c r="X437" i="2" s="1"/>
  <c r="U437" i="2"/>
  <c r="O434" i="2"/>
  <c r="X434" i="2" s="1"/>
  <c r="U434" i="2"/>
  <c r="O435" i="2"/>
  <c r="X435" i="2" s="1"/>
  <c r="U435" i="2"/>
  <c r="O483" i="2"/>
  <c r="X483" i="2" s="1"/>
  <c r="U483" i="2"/>
  <c r="O457" i="2"/>
  <c r="X457" i="2" s="1"/>
  <c r="U457" i="2"/>
  <c r="O454" i="2"/>
  <c r="U454" i="2"/>
  <c r="O455" i="2"/>
  <c r="X455" i="2" s="1"/>
  <c r="U455" i="2"/>
  <c r="O452" i="2"/>
  <c r="X452" i="2" s="1"/>
  <c r="U452" i="2"/>
  <c r="O453" i="2"/>
  <c r="X453" i="2" s="1"/>
  <c r="U453" i="2"/>
  <c r="O456" i="2"/>
  <c r="U456" i="2"/>
  <c r="O447" i="2"/>
  <c r="X447" i="2" s="1"/>
  <c r="U447" i="2"/>
  <c r="O448" i="2"/>
  <c r="X448" i="2" s="1"/>
  <c r="U448" i="2"/>
  <c r="O449" i="2"/>
  <c r="U449" i="2"/>
  <c r="O450" i="2"/>
  <c r="X450" i="2" s="1"/>
  <c r="U450" i="2"/>
  <c r="O443" i="2"/>
  <c r="U443" i="2"/>
  <c r="O444" i="2"/>
  <c r="X444" i="2" s="1"/>
  <c r="U444" i="2"/>
  <c r="O445" i="2"/>
  <c r="X445" i="2" s="1"/>
  <c r="U445" i="2"/>
  <c r="O446" i="2"/>
  <c r="X446" i="2" s="1"/>
  <c r="U446" i="2"/>
  <c r="O451" i="2"/>
  <c r="X451" i="2" s="1"/>
  <c r="U451" i="2"/>
  <c r="O431" i="2"/>
  <c r="X431" i="2" s="1"/>
  <c r="U431" i="2"/>
  <c r="O432" i="2"/>
  <c r="X432" i="2" s="1"/>
  <c r="U432" i="2"/>
  <c r="O433" i="2"/>
  <c r="U433" i="2"/>
  <c r="O438" i="2"/>
  <c r="X438" i="2" s="1"/>
  <c r="U438" i="2"/>
  <c r="O439" i="2"/>
  <c r="X439" i="2" s="1"/>
  <c r="U439" i="2"/>
  <c r="O440" i="2"/>
  <c r="X440" i="2" s="1"/>
  <c r="U440" i="2"/>
  <c r="O441" i="2"/>
  <c r="X441" i="2" s="1"/>
  <c r="U441" i="2"/>
  <c r="O442" i="2"/>
  <c r="X442" i="2" s="1"/>
  <c r="U442" i="2"/>
  <c r="O429" i="2"/>
  <c r="X429" i="2" s="1"/>
  <c r="U429" i="2"/>
  <c r="O430" i="2"/>
  <c r="X430" i="2" s="1"/>
  <c r="U430" i="2"/>
  <c r="O427" i="2"/>
  <c r="X427" i="2" s="1"/>
  <c r="U427" i="2"/>
  <c r="O428" i="2"/>
  <c r="X428" i="2" s="1"/>
  <c r="U428" i="2"/>
  <c r="O458" i="2"/>
  <c r="X458" i="2" s="1"/>
  <c r="U458" i="2"/>
  <c r="O426" i="2"/>
  <c r="U426" i="2"/>
  <c r="O423" i="2"/>
  <c r="U423" i="2"/>
  <c r="O424" i="2"/>
  <c r="X424" i="2" s="1"/>
  <c r="U424" i="2"/>
  <c r="O425" i="2"/>
  <c r="X425" i="2" s="1"/>
  <c r="U425" i="2"/>
  <c r="O408" i="2"/>
  <c r="X408" i="2" s="1"/>
  <c r="U408" i="2"/>
  <c r="O409" i="2"/>
  <c r="X409" i="2" s="1"/>
  <c r="U409" i="2"/>
  <c r="O410" i="2"/>
  <c r="X410" i="2" s="1"/>
  <c r="U410" i="2"/>
  <c r="O411" i="2"/>
  <c r="X411" i="2" s="1"/>
  <c r="U411" i="2"/>
  <c r="O412" i="2"/>
  <c r="X412" i="2" s="1"/>
  <c r="U412" i="2"/>
  <c r="O413" i="2"/>
  <c r="X413" i="2" s="1"/>
  <c r="U413" i="2"/>
  <c r="O414" i="2"/>
  <c r="X414" i="2" s="1"/>
  <c r="U414" i="2"/>
  <c r="O415" i="2"/>
  <c r="X415" i="2" s="1"/>
  <c r="U415" i="2"/>
  <c r="O416" i="2"/>
  <c r="X416" i="2" s="1"/>
  <c r="U416" i="2"/>
  <c r="O417" i="2"/>
  <c r="X417" i="2" s="1"/>
  <c r="U417" i="2"/>
  <c r="O418" i="2"/>
  <c r="U418" i="2"/>
  <c r="O419" i="2"/>
  <c r="X419" i="2" s="1"/>
  <c r="U419" i="2"/>
  <c r="O420" i="2"/>
  <c r="X420" i="2" s="1"/>
  <c r="U420" i="2"/>
  <c r="O421" i="2"/>
  <c r="U421" i="2"/>
  <c r="O422" i="2"/>
  <c r="X422" i="2" s="1"/>
  <c r="U422" i="2"/>
  <c r="O494" i="2"/>
  <c r="Z494" i="2" s="1"/>
  <c r="U494" i="2"/>
  <c r="O493" i="2"/>
  <c r="X493" i="2" s="1"/>
  <c r="U493" i="2"/>
  <c r="O492" i="2"/>
  <c r="Z492" i="2" s="1"/>
  <c r="U492" i="2"/>
  <c r="O491" i="2"/>
  <c r="Z491" i="2" s="1"/>
  <c r="U491" i="2"/>
  <c r="O490" i="2"/>
  <c r="U490" i="2"/>
  <c r="O489" i="2"/>
  <c r="X489" i="2" s="1"/>
  <c r="U489" i="2"/>
  <c r="O488" i="2"/>
  <c r="U488" i="2"/>
  <c r="O487" i="2"/>
  <c r="X487" i="2" s="1"/>
  <c r="U487" i="2"/>
  <c r="O486" i="2"/>
  <c r="X486" i="2" s="1"/>
  <c r="U486" i="2"/>
  <c r="O485" i="2"/>
  <c r="X485" i="2" s="1"/>
  <c r="U485" i="2"/>
  <c r="O484" i="2"/>
  <c r="X484" i="2" s="1"/>
  <c r="U484" i="2"/>
  <c r="O482" i="2"/>
  <c r="Z482" i="2" s="1"/>
  <c r="U482" i="2"/>
  <c r="O481" i="2"/>
  <c r="X481" i="2" s="1"/>
  <c r="U481" i="2"/>
  <c r="AA13" i="2" l="1"/>
  <c r="AA14" i="2"/>
  <c r="AC14" i="2" s="1"/>
  <c r="Z497" i="2"/>
  <c r="Y497" i="2"/>
  <c r="Y496" i="2"/>
  <c r="X495" i="2"/>
  <c r="Z496" i="2"/>
  <c r="Y495" i="2"/>
  <c r="Z436" i="2"/>
  <c r="Y436" i="2"/>
  <c r="Z437" i="2"/>
  <c r="Y437" i="2"/>
  <c r="Z434" i="2"/>
  <c r="Y434" i="2"/>
  <c r="Y435" i="2"/>
  <c r="Z435" i="2"/>
  <c r="Z483" i="2"/>
  <c r="Y483" i="2"/>
  <c r="Z457" i="2"/>
  <c r="Y457" i="2"/>
  <c r="Y454" i="2"/>
  <c r="Z454" i="2"/>
  <c r="X454" i="2"/>
  <c r="Z455" i="2"/>
  <c r="Y456" i="2"/>
  <c r="Y455" i="2"/>
  <c r="Z456" i="2"/>
  <c r="X456" i="2"/>
  <c r="Z453" i="2"/>
  <c r="Z452" i="2"/>
  <c r="Y452" i="2"/>
  <c r="Y453" i="2"/>
  <c r="Z450" i="2"/>
  <c r="Y450" i="2"/>
  <c r="Y449" i="2"/>
  <c r="Z449" i="2"/>
  <c r="X449" i="2"/>
  <c r="Z448" i="2"/>
  <c r="Y447" i="2"/>
  <c r="Z447" i="2"/>
  <c r="Y448" i="2"/>
  <c r="Z446" i="2"/>
  <c r="Y446" i="2"/>
  <c r="Z445" i="2"/>
  <c r="Y443" i="2"/>
  <c r="X443" i="2"/>
  <c r="Z443" i="2"/>
  <c r="Z444" i="2"/>
  <c r="Y444" i="2"/>
  <c r="Y445" i="2"/>
  <c r="Y451" i="2"/>
  <c r="Z451" i="2"/>
  <c r="Z439" i="2"/>
  <c r="Z438" i="2"/>
  <c r="Y439" i="2"/>
  <c r="Y438" i="2"/>
  <c r="Y433" i="2"/>
  <c r="X433" i="2"/>
  <c r="Z433" i="2"/>
  <c r="Z432" i="2"/>
  <c r="Z431" i="2"/>
  <c r="Y431" i="2"/>
  <c r="Z440" i="2"/>
  <c r="Y432" i="2"/>
  <c r="Y440" i="2"/>
  <c r="Z441" i="2"/>
  <c r="Y441" i="2"/>
  <c r="Z442" i="2"/>
  <c r="Y442" i="2"/>
  <c r="Z429" i="2"/>
  <c r="Y429" i="2"/>
  <c r="Z430" i="2"/>
  <c r="Y430" i="2"/>
  <c r="Z427" i="2"/>
  <c r="Y427" i="2"/>
  <c r="Z428" i="2"/>
  <c r="Y428" i="2"/>
  <c r="Z458" i="2"/>
  <c r="Y458" i="2"/>
  <c r="Y426" i="2"/>
  <c r="X426" i="2"/>
  <c r="Z426" i="2"/>
  <c r="Z425" i="2"/>
  <c r="Y423" i="2"/>
  <c r="X423" i="2"/>
  <c r="Z423" i="2"/>
  <c r="Z424" i="2"/>
  <c r="Y424" i="2"/>
  <c r="Y425" i="2"/>
  <c r="Z422" i="2"/>
  <c r="Y421" i="2"/>
  <c r="Z421" i="2"/>
  <c r="X421" i="2"/>
  <c r="Y418" i="2"/>
  <c r="Y417" i="2"/>
  <c r="Z417" i="2"/>
  <c r="Z416" i="2"/>
  <c r="Y416" i="2"/>
  <c r="Z413" i="2"/>
  <c r="Y413" i="2"/>
  <c r="Z412" i="2"/>
  <c r="Z408" i="2"/>
  <c r="Y408" i="2"/>
  <c r="Z409" i="2"/>
  <c r="Y412" i="2"/>
  <c r="Z410" i="2"/>
  <c r="Y409" i="2"/>
  <c r="Z414" i="2"/>
  <c r="Z415" i="2"/>
  <c r="AA415" i="2" s="1"/>
  <c r="Y414" i="2"/>
  <c r="Z411" i="2"/>
  <c r="Y410" i="2"/>
  <c r="Z418" i="2"/>
  <c r="Z419" i="2"/>
  <c r="X418" i="2"/>
  <c r="Y415" i="2"/>
  <c r="Y411" i="2"/>
  <c r="Y419" i="2"/>
  <c r="Y420" i="2"/>
  <c r="Z420" i="2"/>
  <c r="Y422" i="2"/>
  <c r="X494" i="2"/>
  <c r="Y494" i="2"/>
  <c r="Z493" i="2"/>
  <c r="Y493" i="2"/>
  <c r="X492" i="2"/>
  <c r="Y492" i="2"/>
  <c r="X491" i="2"/>
  <c r="Y491" i="2"/>
  <c r="Y490" i="2"/>
  <c r="X490" i="2"/>
  <c r="Z490" i="2"/>
  <c r="Z489" i="2"/>
  <c r="Y489" i="2"/>
  <c r="Y488" i="2"/>
  <c r="X488" i="2"/>
  <c r="Z488" i="2"/>
  <c r="Z487" i="2"/>
  <c r="Y487" i="2"/>
  <c r="Z486" i="2"/>
  <c r="Y486" i="2"/>
  <c r="Z485" i="2"/>
  <c r="Y485" i="2"/>
  <c r="Z484" i="2"/>
  <c r="Y484" i="2"/>
  <c r="X482" i="2"/>
  <c r="Y482" i="2"/>
  <c r="Z481" i="2"/>
  <c r="Y481" i="2"/>
  <c r="O480" i="2"/>
  <c r="X480" i="2" s="1"/>
  <c r="U480" i="2"/>
  <c r="O479" i="2"/>
  <c r="X479" i="2" s="1"/>
  <c r="U479" i="2"/>
  <c r="O478" i="2"/>
  <c r="Z478" i="2" s="1"/>
  <c r="U478" i="2"/>
  <c r="O477" i="2"/>
  <c r="X477" i="2" s="1"/>
  <c r="U477" i="2"/>
  <c r="O476" i="2"/>
  <c r="X476" i="2" s="1"/>
  <c r="U476" i="2"/>
  <c r="O475" i="2"/>
  <c r="Z475" i="2" s="1"/>
  <c r="U475" i="2"/>
  <c r="O474" i="2"/>
  <c r="Z474" i="2" s="1"/>
  <c r="U474" i="2"/>
  <c r="O473" i="2"/>
  <c r="Z473" i="2" s="1"/>
  <c r="U473" i="2"/>
  <c r="O472" i="2"/>
  <c r="X472" i="2" s="1"/>
  <c r="U472" i="2"/>
  <c r="O471" i="2"/>
  <c r="Z471" i="2" s="1"/>
  <c r="U471" i="2"/>
  <c r="O470" i="2"/>
  <c r="Z470" i="2" s="1"/>
  <c r="U470" i="2"/>
  <c r="O469" i="2"/>
  <c r="X469" i="2" s="1"/>
  <c r="U469" i="2"/>
  <c r="O468" i="2"/>
  <c r="X468" i="2" s="1"/>
  <c r="U468" i="2"/>
  <c r="O467" i="2"/>
  <c r="X467" i="2" s="1"/>
  <c r="U467" i="2"/>
  <c r="O466" i="2"/>
  <c r="X466" i="2" s="1"/>
  <c r="U466" i="2"/>
  <c r="O465" i="2"/>
  <c r="Z465" i="2" s="1"/>
  <c r="U465" i="2"/>
  <c r="O464" i="2"/>
  <c r="X464" i="2" s="1"/>
  <c r="U464" i="2"/>
  <c r="O463" i="2"/>
  <c r="Z463" i="2" s="1"/>
  <c r="U463" i="2"/>
  <c r="O462" i="2"/>
  <c r="Z462" i="2" s="1"/>
  <c r="U462" i="2"/>
  <c r="O461" i="2"/>
  <c r="Z461" i="2" s="1"/>
  <c r="U461" i="2"/>
  <c r="O460" i="2"/>
  <c r="Z460" i="2" s="1"/>
  <c r="U460" i="2"/>
  <c r="O459" i="2"/>
  <c r="U459" i="2"/>
  <c r="AC13" i="2" l="1"/>
  <c r="G16" i="9"/>
  <c r="AA497" i="2"/>
  <c r="AC497" i="2" s="1"/>
  <c r="AA496" i="2"/>
  <c r="AC496" i="2" s="1"/>
  <c r="AA495" i="2"/>
  <c r="AC495" i="2" s="1"/>
  <c r="AA412" i="2"/>
  <c r="AC412" i="2" s="1"/>
  <c r="AA432" i="2"/>
  <c r="AC432" i="2" s="1"/>
  <c r="AA450" i="2"/>
  <c r="AC450" i="2" s="1"/>
  <c r="AA437" i="2"/>
  <c r="AC437" i="2" s="1"/>
  <c r="AA436" i="2"/>
  <c r="AC436" i="2" s="1"/>
  <c r="AA435" i="2"/>
  <c r="AC435" i="2" s="1"/>
  <c r="AA434" i="2"/>
  <c r="AC434" i="2" s="1"/>
  <c r="AA483" i="2"/>
  <c r="AC483" i="2" s="1"/>
  <c r="AA457" i="2"/>
  <c r="AC457" i="2" s="1"/>
  <c r="AA455" i="2"/>
  <c r="AC455" i="2" s="1"/>
  <c r="AA454" i="2"/>
  <c r="AC454" i="2" s="1"/>
  <c r="AA456" i="2"/>
  <c r="AC456" i="2" s="1"/>
  <c r="AA453" i="2"/>
  <c r="AC453" i="2" s="1"/>
  <c r="AA452" i="2"/>
  <c r="AC452" i="2" s="1"/>
  <c r="AA449" i="2"/>
  <c r="AC449" i="2" s="1"/>
  <c r="AA448" i="2"/>
  <c r="AC448" i="2" s="1"/>
  <c r="AA447" i="2"/>
  <c r="AC447" i="2" s="1"/>
  <c r="AA446" i="2"/>
  <c r="AC446" i="2" s="1"/>
  <c r="AA445" i="2"/>
  <c r="AC445" i="2" s="1"/>
  <c r="AA444" i="2"/>
  <c r="AC444" i="2" s="1"/>
  <c r="AA443" i="2"/>
  <c r="AC443" i="2" s="1"/>
  <c r="AA451" i="2"/>
  <c r="AC451" i="2" s="1"/>
  <c r="AA438" i="2"/>
  <c r="AC438" i="2" s="1"/>
  <c r="AA439" i="2"/>
  <c r="AC439" i="2" s="1"/>
  <c r="AA442" i="2"/>
  <c r="AC442" i="2" s="1"/>
  <c r="AA440" i="2"/>
  <c r="AC440" i="2" s="1"/>
  <c r="AA433" i="2"/>
  <c r="AC433" i="2" s="1"/>
  <c r="AA431" i="2"/>
  <c r="AC431" i="2" s="1"/>
  <c r="AA441" i="2"/>
  <c r="AC441" i="2" s="1"/>
  <c r="AA430" i="2"/>
  <c r="AC430" i="2" s="1"/>
  <c r="AA429" i="2"/>
  <c r="AC429" i="2" s="1"/>
  <c r="AA458" i="2"/>
  <c r="AC458" i="2" s="1"/>
  <c r="AA428" i="2"/>
  <c r="AC428" i="2" s="1"/>
  <c r="AA427" i="2"/>
  <c r="AC427" i="2" s="1"/>
  <c r="AA426" i="2"/>
  <c r="AC426" i="2" s="1"/>
  <c r="AA425" i="2"/>
  <c r="AC425" i="2" s="1"/>
  <c r="AA424" i="2"/>
  <c r="AC424" i="2" s="1"/>
  <c r="AA423" i="2"/>
  <c r="AC423" i="2" s="1"/>
  <c r="AA422" i="2"/>
  <c r="AC422" i="2" s="1"/>
  <c r="AA421" i="2"/>
  <c r="AC421" i="2" s="1"/>
  <c r="AA419" i="2"/>
  <c r="AC419" i="2" s="1"/>
  <c r="AA417" i="2"/>
  <c r="AC417" i="2" s="1"/>
  <c r="AA416" i="2"/>
  <c r="AC416" i="2" s="1"/>
  <c r="AC415" i="2"/>
  <c r="AA413" i="2"/>
  <c r="AC413" i="2" s="1"/>
  <c r="AA410" i="2"/>
  <c r="AC410" i="2" s="1"/>
  <c r="AA409" i="2"/>
  <c r="AC409" i="2" s="1"/>
  <c r="AA408" i="2"/>
  <c r="AC408" i="2" s="1"/>
  <c r="AA414" i="2"/>
  <c r="AC414" i="2" s="1"/>
  <c r="AA411" i="2"/>
  <c r="AC411" i="2" s="1"/>
  <c r="AA418" i="2"/>
  <c r="AC418" i="2" s="1"/>
  <c r="AA420" i="2"/>
  <c r="AC420" i="2" s="1"/>
  <c r="AA494" i="2"/>
  <c r="AC494" i="2" s="1"/>
  <c r="AA493" i="2"/>
  <c r="AC493" i="2" s="1"/>
  <c r="AA492" i="2"/>
  <c r="AC492" i="2" s="1"/>
  <c r="AA491" i="2"/>
  <c r="AC491" i="2" s="1"/>
  <c r="AA490" i="2"/>
  <c r="AC490" i="2" s="1"/>
  <c r="AA486" i="2"/>
  <c r="AC486" i="2" s="1"/>
  <c r="AA489" i="2"/>
  <c r="AC489" i="2" s="1"/>
  <c r="AA488" i="2"/>
  <c r="AC488" i="2" s="1"/>
  <c r="AA487" i="2"/>
  <c r="AC487" i="2" s="1"/>
  <c r="AA484" i="2"/>
  <c r="AC484" i="2" s="1"/>
  <c r="AA485" i="2"/>
  <c r="AC485" i="2" s="1"/>
  <c r="AA482" i="2"/>
  <c r="AC482" i="2" s="1"/>
  <c r="AA481" i="2"/>
  <c r="AC481" i="2" s="1"/>
  <c r="X475" i="2"/>
  <c r="X473" i="2"/>
  <c r="Y480" i="2"/>
  <c r="Z480" i="2"/>
  <c r="Z479" i="2"/>
  <c r="Y479" i="2"/>
  <c r="Y478" i="2"/>
  <c r="X478" i="2"/>
  <c r="Z477" i="2"/>
  <c r="Y477" i="2"/>
  <c r="Z476" i="2"/>
  <c r="Y476" i="2"/>
  <c r="Y475" i="2"/>
  <c r="X474" i="2"/>
  <c r="Y474" i="2"/>
  <c r="Y473" i="2"/>
  <c r="Z472" i="2"/>
  <c r="Y472" i="2"/>
  <c r="X471" i="2"/>
  <c r="Y471" i="2"/>
  <c r="Y470" i="2"/>
  <c r="X470" i="2"/>
  <c r="Z469" i="2"/>
  <c r="Y469" i="2"/>
  <c r="Z464" i="2"/>
  <c r="X461" i="2"/>
  <c r="Z468" i="2"/>
  <c r="Z467" i="2"/>
  <c r="X463" i="2"/>
  <c r="Z466" i="2"/>
  <c r="Y468" i="2"/>
  <c r="X462" i="2"/>
  <c r="X460" i="2"/>
  <c r="Y467" i="2"/>
  <c r="Y464" i="2"/>
  <c r="Y460" i="2"/>
  <c r="Y461" i="2"/>
  <c r="Y462" i="2"/>
  <c r="Y463" i="2"/>
  <c r="X465" i="2"/>
  <c r="Y466" i="2"/>
  <c r="Y465" i="2"/>
  <c r="Y459" i="2"/>
  <c r="Z459" i="2"/>
  <c r="X459" i="2"/>
  <c r="O407" i="2"/>
  <c r="X407" i="2" s="1"/>
  <c r="U407" i="2"/>
  <c r="O406" i="2"/>
  <c r="X406" i="2" s="1"/>
  <c r="U406" i="2"/>
  <c r="O405" i="2"/>
  <c r="X405" i="2" s="1"/>
  <c r="U405" i="2"/>
  <c r="O404" i="2"/>
  <c r="X404" i="2" s="1"/>
  <c r="U404" i="2"/>
  <c r="O403" i="2"/>
  <c r="X403" i="2" s="1"/>
  <c r="U403" i="2"/>
  <c r="O402" i="2"/>
  <c r="X402" i="2" s="1"/>
  <c r="U402" i="2"/>
  <c r="O401" i="2"/>
  <c r="X401" i="2" s="1"/>
  <c r="U401" i="2"/>
  <c r="O400" i="2"/>
  <c r="X400" i="2" s="1"/>
  <c r="U400" i="2"/>
  <c r="O399" i="2"/>
  <c r="X399" i="2" s="1"/>
  <c r="U399" i="2"/>
  <c r="O398" i="2"/>
  <c r="Z398" i="2" s="1"/>
  <c r="U398" i="2"/>
  <c r="O397" i="2"/>
  <c r="X397" i="2" s="1"/>
  <c r="U397" i="2"/>
  <c r="O396" i="2"/>
  <c r="U396" i="2"/>
  <c r="O395" i="2"/>
  <c r="X395" i="2" s="1"/>
  <c r="U395" i="2"/>
  <c r="O394" i="2"/>
  <c r="X394" i="2" s="1"/>
  <c r="U394" i="2"/>
  <c r="O393" i="2"/>
  <c r="X393" i="2" s="1"/>
  <c r="U393" i="2"/>
  <c r="O390" i="2"/>
  <c r="X390" i="2" s="1"/>
  <c r="U390" i="2"/>
  <c r="O382" i="2"/>
  <c r="X382" i="2" s="1"/>
  <c r="U382" i="2"/>
  <c r="O392" i="2"/>
  <c r="X392" i="2" s="1"/>
  <c r="U392" i="2"/>
  <c r="O391" i="2"/>
  <c r="X391" i="2" s="1"/>
  <c r="U391" i="2"/>
  <c r="O389" i="2"/>
  <c r="X389" i="2" s="1"/>
  <c r="U389" i="2"/>
  <c r="O388" i="2"/>
  <c r="X388" i="2" s="1"/>
  <c r="U388" i="2"/>
  <c r="O387" i="2"/>
  <c r="X387" i="2" s="1"/>
  <c r="U387" i="2"/>
  <c r="O386" i="2"/>
  <c r="X386" i="2" s="1"/>
  <c r="U386" i="2"/>
  <c r="O385" i="2"/>
  <c r="X385" i="2" s="1"/>
  <c r="U385" i="2"/>
  <c r="O384" i="2"/>
  <c r="X384" i="2" s="1"/>
  <c r="U384" i="2"/>
  <c r="O383" i="2"/>
  <c r="Z383" i="2" s="1"/>
  <c r="U383" i="2"/>
  <c r="O381" i="2"/>
  <c r="Z381" i="2" s="1"/>
  <c r="U381" i="2"/>
  <c r="O380" i="2"/>
  <c r="X380" i="2" s="1"/>
  <c r="U380" i="2"/>
  <c r="O379" i="2"/>
  <c r="X379" i="2" s="1"/>
  <c r="U379" i="2"/>
  <c r="O378" i="2"/>
  <c r="U378" i="2"/>
  <c r="O377" i="2"/>
  <c r="X377" i="2" s="1"/>
  <c r="U377" i="2"/>
  <c r="O376" i="2"/>
  <c r="X376" i="2" s="1"/>
  <c r="U376" i="2"/>
  <c r="O375" i="2"/>
  <c r="X375" i="2" s="1"/>
  <c r="U375" i="2"/>
  <c r="O374" i="2"/>
  <c r="X374" i="2" s="1"/>
  <c r="U374" i="2"/>
  <c r="O373" i="2"/>
  <c r="X373" i="2" s="1"/>
  <c r="U373" i="2"/>
  <c r="O371" i="2"/>
  <c r="U371" i="2"/>
  <c r="F16" i="9" l="1"/>
  <c r="F27" i="9" s="1"/>
  <c r="G27" i="9"/>
  <c r="AA475" i="2"/>
  <c r="AC475" i="2" s="1"/>
  <c r="AA480" i="2"/>
  <c r="AC480" i="2" s="1"/>
  <c r="AA473" i="2"/>
  <c r="AC473" i="2" s="1"/>
  <c r="AA479" i="2"/>
  <c r="AC479" i="2" s="1"/>
  <c r="AA478" i="2"/>
  <c r="AC478" i="2" s="1"/>
  <c r="AA477" i="2"/>
  <c r="AC477" i="2" s="1"/>
  <c r="AA476" i="2"/>
  <c r="AC476" i="2" s="1"/>
  <c r="AA474" i="2"/>
  <c r="AC474" i="2" s="1"/>
  <c r="AA472" i="2"/>
  <c r="AC472" i="2" s="1"/>
  <c r="AA471" i="2"/>
  <c r="AC471" i="2" s="1"/>
  <c r="AA470" i="2"/>
  <c r="AC470" i="2" s="1"/>
  <c r="AA469" i="2"/>
  <c r="AC469" i="2" s="1"/>
  <c r="AA461" i="2"/>
  <c r="AC461" i="2" s="1"/>
  <c r="AA464" i="2"/>
  <c r="AC464" i="2" s="1"/>
  <c r="AA468" i="2"/>
  <c r="AC468" i="2" s="1"/>
  <c r="AA467" i="2"/>
  <c r="AC467" i="2" s="1"/>
  <c r="AA466" i="2"/>
  <c r="AC466" i="2" s="1"/>
  <c r="AA463" i="2"/>
  <c r="AC463" i="2" s="1"/>
  <c r="AA462" i="2"/>
  <c r="AC462" i="2" s="1"/>
  <c r="AA460" i="2"/>
  <c r="AC460" i="2" s="1"/>
  <c r="AA465" i="2"/>
  <c r="AC465" i="2" s="1"/>
  <c r="AA459" i="2"/>
  <c r="AC459" i="2" s="1"/>
  <c r="Z407" i="2"/>
  <c r="Y407" i="2"/>
  <c r="Z406" i="2"/>
  <c r="Z405" i="2"/>
  <c r="Y406" i="2"/>
  <c r="Y405" i="2"/>
  <c r="Z404" i="2"/>
  <c r="Y404" i="2"/>
  <c r="Y396" i="2"/>
  <c r="Z403" i="2"/>
  <c r="Y403" i="2"/>
  <c r="Z402" i="2"/>
  <c r="Y402" i="2"/>
  <c r="Y401" i="2"/>
  <c r="Z401" i="2"/>
  <c r="Z400" i="2"/>
  <c r="Y400" i="2"/>
  <c r="Z399" i="2"/>
  <c r="Y399" i="2"/>
  <c r="X398" i="2"/>
  <c r="Y398" i="2"/>
  <c r="Z397" i="2"/>
  <c r="Y397" i="2"/>
  <c r="X396" i="2"/>
  <c r="Z396" i="2"/>
  <c r="Z395" i="2"/>
  <c r="Y395" i="2"/>
  <c r="Z394" i="2"/>
  <c r="Y394" i="2"/>
  <c r="Z393" i="2"/>
  <c r="Y393" i="2"/>
  <c r="Z392" i="2"/>
  <c r="Z390" i="2"/>
  <c r="Y390" i="2"/>
  <c r="Y388" i="2"/>
  <c r="Z387" i="2"/>
  <c r="Y383" i="2"/>
  <c r="X383" i="2"/>
  <c r="Z382" i="2"/>
  <c r="Y382" i="2"/>
  <c r="Z380" i="2"/>
  <c r="Y380" i="2"/>
  <c r="Y378" i="2"/>
  <c r="Y381" i="2"/>
  <c r="Z385" i="2"/>
  <c r="Z386" i="2"/>
  <c r="Z391" i="2"/>
  <c r="X381" i="2"/>
  <c r="Y385" i="2"/>
  <c r="Y387" i="2"/>
  <c r="Z388" i="2"/>
  <c r="Y391" i="2"/>
  <c r="Z378" i="2"/>
  <c r="Y386" i="2"/>
  <c r="Z379" i="2"/>
  <c r="Z389" i="2"/>
  <c r="X378" i="2"/>
  <c r="Y379" i="2"/>
  <c r="Y384" i="2"/>
  <c r="Y389" i="2"/>
  <c r="Y392" i="2"/>
  <c r="Z384" i="2"/>
  <c r="Y377" i="2"/>
  <c r="Z377" i="2"/>
  <c r="Y376" i="2"/>
  <c r="Z376" i="2"/>
  <c r="Y375" i="2"/>
  <c r="Z375" i="2"/>
  <c r="Y374" i="2"/>
  <c r="Z374" i="2"/>
  <c r="Z373" i="2"/>
  <c r="Y371" i="2"/>
  <c r="Y373" i="2"/>
  <c r="Z371" i="2"/>
  <c r="X371" i="2"/>
  <c r="O372" i="2"/>
  <c r="X372" i="2" s="1"/>
  <c r="U372" i="2"/>
  <c r="O370" i="2"/>
  <c r="X370" i="2" s="1"/>
  <c r="U370" i="2"/>
  <c r="O369" i="2"/>
  <c r="X369" i="2" s="1"/>
  <c r="U369" i="2"/>
  <c r="O368" i="2"/>
  <c r="X368" i="2" s="1"/>
  <c r="U368" i="2"/>
  <c r="AA407" i="2" l="1"/>
  <c r="AC407" i="2" s="1"/>
  <c r="AA406" i="2"/>
  <c r="AC406" i="2" s="1"/>
  <c r="AA405" i="2"/>
  <c r="AC405" i="2" s="1"/>
  <c r="AA404" i="2"/>
  <c r="AC404" i="2" s="1"/>
  <c r="AA403" i="2"/>
  <c r="AC403" i="2" s="1"/>
  <c r="AA402" i="2"/>
  <c r="AC402" i="2" s="1"/>
  <c r="AA400" i="2"/>
  <c r="AC400" i="2" s="1"/>
  <c r="AA401" i="2"/>
  <c r="AC401" i="2" s="1"/>
  <c r="AA399" i="2"/>
  <c r="AC399" i="2" s="1"/>
  <c r="AA398" i="2"/>
  <c r="AC398" i="2" s="1"/>
  <c r="AA396" i="2"/>
  <c r="AC396" i="2" s="1"/>
  <c r="AA397" i="2"/>
  <c r="AC397" i="2" s="1"/>
  <c r="AA394" i="2"/>
  <c r="AC394" i="2" s="1"/>
  <c r="AA395" i="2"/>
  <c r="AC395" i="2" s="1"/>
  <c r="AA392" i="2"/>
  <c r="AC392" i="2" s="1"/>
  <c r="AA393" i="2"/>
  <c r="AC393" i="2" s="1"/>
  <c r="AA388" i="2"/>
  <c r="AC388" i="2" s="1"/>
  <c r="AA390" i="2"/>
  <c r="AC390" i="2" s="1"/>
  <c r="AA383" i="2"/>
  <c r="AC383" i="2" s="1"/>
  <c r="AA387" i="2"/>
  <c r="AC387" i="2" s="1"/>
  <c r="AA382" i="2"/>
  <c r="AC382" i="2" s="1"/>
  <c r="AA385" i="2"/>
  <c r="AC385" i="2" s="1"/>
  <c r="AA380" i="2"/>
  <c r="AC380" i="2" s="1"/>
  <c r="AA391" i="2"/>
  <c r="AC391" i="2" s="1"/>
  <c r="AA381" i="2"/>
  <c r="AC381" i="2" s="1"/>
  <c r="AA379" i="2"/>
  <c r="AC379" i="2" s="1"/>
  <c r="AA384" i="2"/>
  <c r="AC384" i="2" s="1"/>
  <c r="AA386" i="2"/>
  <c r="AC386" i="2" s="1"/>
  <c r="AA389" i="2"/>
  <c r="AC389" i="2" s="1"/>
  <c r="AA378" i="2"/>
  <c r="AC378" i="2" s="1"/>
  <c r="AA377" i="2"/>
  <c r="AC377" i="2" s="1"/>
  <c r="AA376" i="2"/>
  <c r="AC376" i="2" s="1"/>
  <c r="AA375" i="2"/>
  <c r="AC375" i="2" s="1"/>
  <c r="AA374" i="2"/>
  <c r="AC374" i="2" s="1"/>
  <c r="AA371" i="2"/>
  <c r="AC371" i="2" s="1"/>
  <c r="AA373" i="2"/>
  <c r="AC373" i="2" s="1"/>
  <c r="Y372" i="2"/>
  <c r="Z372" i="2"/>
  <c r="Z370" i="2"/>
  <c r="Y370" i="2"/>
  <c r="Z369" i="2"/>
  <c r="Y369" i="2"/>
  <c r="Y368" i="2"/>
  <c r="Z368" i="2"/>
  <c r="O308" i="2"/>
  <c r="U308" i="2"/>
  <c r="O289" i="2"/>
  <c r="U289" i="2"/>
  <c r="AA372" i="2" l="1"/>
  <c r="AC372" i="2" s="1"/>
  <c r="AA370" i="2"/>
  <c r="AC370" i="2" s="1"/>
  <c r="AA369" i="2"/>
  <c r="AC369" i="2" s="1"/>
  <c r="AA368" i="2"/>
  <c r="AC368" i="2" s="1"/>
  <c r="Z308" i="2"/>
  <c r="Y308" i="2"/>
  <c r="Y289" i="2"/>
  <c r="E9" i="6"/>
  <c r="E10" i="6"/>
  <c r="E11" i="6"/>
  <c r="E12" i="6"/>
  <c r="E13" i="6"/>
  <c r="E14" i="6"/>
  <c r="E15" i="6"/>
  <c r="E16" i="6"/>
  <c r="AA308" i="2" l="1"/>
  <c r="AC308" i="2" s="1"/>
  <c r="AA289" i="2"/>
  <c r="AC289" i="2" s="1"/>
  <c r="F12" i="10"/>
  <c r="F13" i="10"/>
  <c r="O281" i="2"/>
  <c r="X281" i="2" s="1"/>
  <c r="U281" i="2"/>
  <c r="O282" i="2"/>
  <c r="X282" i="2" s="1"/>
  <c r="U282" i="2"/>
  <c r="O283" i="2"/>
  <c r="X283" i="2" s="1"/>
  <c r="U283" i="2"/>
  <c r="O284" i="2"/>
  <c r="X284" i="2" s="1"/>
  <c r="U284" i="2"/>
  <c r="O273" i="2"/>
  <c r="X273" i="2" s="1"/>
  <c r="U273" i="2"/>
  <c r="O274" i="2"/>
  <c r="X274" i="2" s="1"/>
  <c r="U274" i="2"/>
  <c r="O275" i="2"/>
  <c r="X275" i="2" s="1"/>
  <c r="U275" i="2"/>
  <c r="O276" i="2"/>
  <c r="U276" i="2"/>
  <c r="O277" i="2"/>
  <c r="X277" i="2" s="1"/>
  <c r="U277" i="2"/>
  <c r="O278" i="2"/>
  <c r="X278" i="2" s="1"/>
  <c r="U278" i="2"/>
  <c r="O279" i="2"/>
  <c r="Z279" i="2" s="1"/>
  <c r="U279" i="2"/>
  <c r="O280" i="2"/>
  <c r="X280" i="2" s="1"/>
  <c r="U280" i="2"/>
  <c r="Z281" i="2" l="1"/>
  <c r="Y281" i="2"/>
  <c r="Z282" i="2"/>
  <c r="Y282" i="2"/>
  <c r="Z283" i="2"/>
  <c r="Y283" i="2"/>
  <c r="Z284" i="2"/>
  <c r="Y284" i="2"/>
  <c r="Y276" i="2"/>
  <c r="Z273" i="2"/>
  <c r="Y273" i="2"/>
  <c r="Z274" i="2"/>
  <c r="Z277" i="2"/>
  <c r="Y274" i="2"/>
  <c r="Z275" i="2"/>
  <c r="Y275" i="2"/>
  <c r="Z276" i="2"/>
  <c r="Y277" i="2"/>
  <c r="X276" i="2"/>
  <c r="Z278" i="2"/>
  <c r="Y279" i="2"/>
  <c r="X279" i="2"/>
  <c r="Y278" i="2"/>
  <c r="Z280" i="2"/>
  <c r="Y280" i="2"/>
  <c r="U269" i="2"/>
  <c r="O269" i="2"/>
  <c r="X269" i="2" s="1"/>
  <c r="O268" i="2"/>
  <c r="X268" i="2" s="1"/>
  <c r="U268" i="2"/>
  <c r="O270" i="2"/>
  <c r="X270" i="2" s="1"/>
  <c r="U270" i="2"/>
  <c r="O271" i="2"/>
  <c r="X271" i="2" s="1"/>
  <c r="U271" i="2"/>
  <c r="O272" i="2"/>
  <c r="X272" i="2" s="1"/>
  <c r="U272" i="2"/>
  <c r="U264" i="2"/>
  <c r="O264" i="2"/>
  <c r="X264" i="2" s="1"/>
  <c r="O263" i="2"/>
  <c r="X263" i="2" s="1"/>
  <c r="U263" i="2"/>
  <c r="O265" i="2"/>
  <c r="X265" i="2" s="1"/>
  <c r="U265" i="2"/>
  <c r="O266" i="2"/>
  <c r="X266" i="2" s="1"/>
  <c r="U266" i="2"/>
  <c r="O267" i="2"/>
  <c r="X267" i="2" s="1"/>
  <c r="U267" i="2"/>
  <c r="O258" i="2"/>
  <c r="X258" i="2" s="1"/>
  <c r="U258" i="2"/>
  <c r="O240" i="2"/>
  <c r="X240" i="2" s="1"/>
  <c r="U240" i="2"/>
  <c r="O367" i="2"/>
  <c r="U367" i="2"/>
  <c r="O366" i="2"/>
  <c r="X366" i="2" s="1"/>
  <c r="U366" i="2"/>
  <c r="O365" i="2"/>
  <c r="X365" i="2" s="1"/>
  <c r="U365" i="2"/>
  <c r="O364" i="2"/>
  <c r="X364" i="2" s="1"/>
  <c r="U364" i="2"/>
  <c r="O363" i="2"/>
  <c r="X363" i="2" s="1"/>
  <c r="U363" i="2"/>
  <c r="O362" i="2"/>
  <c r="X362" i="2" s="1"/>
  <c r="U362" i="2"/>
  <c r="O361" i="2"/>
  <c r="X361" i="2" s="1"/>
  <c r="U361" i="2"/>
  <c r="O360" i="2"/>
  <c r="X360" i="2" s="1"/>
  <c r="U360" i="2"/>
  <c r="O359" i="2"/>
  <c r="X359" i="2" s="1"/>
  <c r="U359" i="2"/>
  <c r="O358" i="2"/>
  <c r="X358" i="2" s="1"/>
  <c r="U358" i="2"/>
  <c r="U357" i="2"/>
  <c r="O357" i="2"/>
  <c r="X357" i="2" s="1"/>
  <c r="U356" i="2"/>
  <c r="O356" i="2"/>
  <c r="X356" i="2" s="1"/>
  <c r="O355" i="2"/>
  <c r="X355" i="2" s="1"/>
  <c r="U355" i="2"/>
  <c r="O354" i="2"/>
  <c r="X354" i="2" s="1"/>
  <c r="U354" i="2"/>
  <c r="O353" i="2"/>
  <c r="X353" i="2" s="1"/>
  <c r="U353" i="2"/>
  <c r="O352" i="2"/>
  <c r="Z352" i="2" s="1"/>
  <c r="U352" i="2"/>
  <c r="O351" i="2"/>
  <c r="Z351" i="2" s="1"/>
  <c r="U351" i="2"/>
  <c r="O350" i="2"/>
  <c r="X350" i="2" s="1"/>
  <c r="U350" i="2"/>
  <c r="O349" i="2"/>
  <c r="X349" i="2" s="1"/>
  <c r="U349" i="2"/>
  <c r="O348" i="2"/>
  <c r="X348" i="2" s="1"/>
  <c r="U348" i="2"/>
  <c r="U340" i="2"/>
  <c r="O340" i="2"/>
  <c r="X340" i="2" s="1"/>
  <c r="U339" i="2"/>
  <c r="O339" i="2"/>
  <c r="X339" i="2" s="1"/>
  <c r="O347" i="2"/>
  <c r="X347" i="2" s="1"/>
  <c r="U347" i="2"/>
  <c r="O346" i="2"/>
  <c r="Z346" i="2" s="1"/>
  <c r="U346" i="2"/>
  <c r="O345" i="2"/>
  <c r="Z345" i="2" s="1"/>
  <c r="U345" i="2"/>
  <c r="O344" i="2"/>
  <c r="U344" i="2"/>
  <c r="O343" i="2"/>
  <c r="X343" i="2" s="1"/>
  <c r="U343" i="2"/>
  <c r="O342" i="2"/>
  <c r="Z342" i="2" s="1"/>
  <c r="U342" i="2"/>
  <c r="O341" i="2"/>
  <c r="X341" i="2" s="1"/>
  <c r="U341" i="2"/>
  <c r="U337" i="2"/>
  <c r="O337" i="2"/>
  <c r="X337" i="2" s="1"/>
  <c r="U336" i="2"/>
  <c r="O336" i="2"/>
  <c r="X336" i="2" s="1"/>
  <c r="O338" i="2"/>
  <c r="X338" i="2" s="1"/>
  <c r="U338" i="2"/>
  <c r="O335" i="2"/>
  <c r="X335" i="2" s="1"/>
  <c r="U335" i="2"/>
  <c r="O334" i="2"/>
  <c r="X334" i="2" s="1"/>
  <c r="U334" i="2"/>
  <c r="O333" i="2"/>
  <c r="X333" i="2" s="1"/>
  <c r="U333" i="2"/>
  <c r="O332" i="2"/>
  <c r="X332" i="2" s="1"/>
  <c r="U332" i="2"/>
  <c r="O331" i="2"/>
  <c r="X331" i="2" s="1"/>
  <c r="U331" i="2"/>
  <c r="O330" i="2"/>
  <c r="U330" i="2"/>
  <c r="O329" i="2"/>
  <c r="X329" i="2" s="1"/>
  <c r="U329" i="2"/>
  <c r="O328" i="2"/>
  <c r="X328" i="2" s="1"/>
  <c r="U328" i="2"/>
  <c r="O327" i="2"/>
  <c r="X327" i="2" s="1"/>
  <c r="U327" i="2"/>
  <c r="O326" i="2"/>
  <c r="X326" i="2" s="1"/>
  <c r="U326" i="2"/>
  <c r="O325" i="2"/>
  <c r="X325" i="2" s="1"/>
  <c r="U325" i="2"/>
  <c r="O324" i="2"/>
  <c r="X324" i="2" s="1"/>
  <c r="U324" i="2"/>
  <c r="O323" i="2"/>
  <c r="X323" i="2" s="1"/>
  <c r="U323" i="2"/>
  <c r="O322" i="2"/>
  <c r="X322" i="2" s="1"/>
  <c r="U322" i="2"/>
  <c r="O321" i="2"/>
  <c r="Z321" i="2" s="1"/>
  <c r="U321" i="2"/>
  <c r="O320" i="2"/>
  <c r="Z320" i="2" s="1"/>
  <c r="U320" i="2"/>
  <c r="O319" i="2"/>
  <c r="Z319" i="2" s="1"/>
  <c r="U319" i="2"/>
  <c r="O318" i="2"/>
  <c r="U318" i="2"/>
  <c r="O317" i="2"/>
  <c r="X317" i="2" s="1"/>
  <c r="U317" i="2"/>
  <c r="O316" i="2"/>
  <c r="X316" i="2" s="1"/>
  <c r="U316" i="2"/>
  <c r="O315" i="2"/>
  <c r="X315" i="2" s="1"/>
  <c r="U315" i="2"/>
  <c r="O314" i="2"/>
  <c r="Z314" i="2" s="1"/>
  <c r="U314" i="2"/>
  <c r="O313" i="2"/>
  <c r="Z313" i="2" s="1"/>
  <c r="U313" i="2"/>
  <c r="O312" i="2"/>
  <c r="X312" i="2" s="1"/>
  <c r="U312" i="2"/>
  <c r="O311" i="2"/>
  <c r="X311" i="2" s="1"/>
  <c r="U311" i="2"/>
  <c r="O310" i="2"/>
  <c r="X310" i="2" s="1"/>
  <c r="U310" i="2"/>
  <c r="O309" i="2"/>
  <c r="X309" i="2" s="1"/>
  <c r="U309" i="2"/>
  <c r="O307" i="2"/>
  <c r="X307" i="2" s="1"/>
  <c r="U307" i="2"/>
  <c r="O306" i="2"/>
  <c r="X306" i="2" s="1"/>
  <c r="U306" i="2"/>
  <c r="O305" i="2"/>
  <c r="Z305" i="2" s="1"/>
  <c r="U305" i="2"/>
  <c r="O304" i="2"/>
  <c r="X304" i="2" s="1"/>
  <c r="U304" i="2"/>
  <c r="O303" i="2"/>
  <c r="X303" i="2" s="1"/>
  <c r="U303" i="2"/>
  <c r="U298" i="2"/>
  <c r="O298" i="2"/>
  <c r="X298" i="2" s="1"/>
  <c r="U288" i="2"/>
  <c r="O288" i="2"/>
  <c r="Z288" i="2" s="1"/>
  <c r="O302" i="2"/>
  <c r="U302" i="2"/>
  <c r="O301" i="2"/>
  <c r="X301" i="2" s="1"/>
  <c r="U301" i="2"/>
  <c r="O300" i="2"/>
  <c r="X300" i="2" s="1"/>
  <c r="U300" i="2"/>
  <c r="O299" i="2"/>
  <c r="X299" i="2" s="1"/>
  <c r="U299" i="2"/>
  <c r="O297" i="2"/>
  <c r="X297" i="2" s="1"/>
  <c r="U297" i="2"/>
  <c r="O296" i="2"/>
  <c r="U296" i="2"/>
  <c r="O295" i="2"/>
  <c r="X295" i="2" s="1"/>
  <c r="U295" i="2"/>
  <c r="O294" i="2"/>
  <c r="Z294" i="2" s="1"/>
  <c r="U294" i="2"/>
  <c r="O293" i="2"/>
  <c r="Z293" i="2" s="1"/>
  <c r="U293" i="2"/>
  <c r="O292" i="2"/>
  <c r="Z292" i="2" s="1"/>
  <c r="U292" i="2"/>
  <c r="O291" i="2"/>
  <c r="X291" i="2" s="1"/>
  <c r="U291" i="2"/>
  <c r="O290" i="2"/>
  <c r="X290" i="2" s="1"/>
  <c r="U290" i="2"/>
  <c r="O287" i="2"/>
  <c r="Z287" i="2" s="1"/>
  <c r="U287" i="2"/>
  <c r="O286" i="2"/>
  <c r="U286" i="2"/>
  <c r="O285" i="2"/>
  <c r="Z285" i="2" s="1"/>
  <c r="U285" i="2"/>
  <c r="O222" i="2"/>
  <c r="X222" i="2" s="1"/>
  <c r="U222" i="2"/>
  <c r="U262" i="2"/>
  <c r="O262" i="2"/>
  <c r="X262" i="2" s="1"/>
  <c r="U260" i="2"/>
  <c r="O260" i="2"/>
  <c r="X260" i="2" s="1"/>
  <c r="O261" i="2"/>
  <c r="X261" i="2" s="1"/>
  <c r="U261" i="2"/>
  <c r="O259" i="2"/>
  <c r="X259" i="2" s="1"/>
  <c r="U259" i="2"/>
  <c r="U257" i="2"/>
  <c r="O257" i="2"/>
  <c r="X257" i="2" s="1"/>
  <c r="U255" i="2"/>
  <c r="O255" i="2"/>
  <c r="X255" i="2" s="1"/>
  <c r="U247" i="2"/>
  <c r="O247" i="2"/>
  <c r="X247" i="2" s="1"/>
  <c r="O256" i="2"/>
  <c r="U256" i="2"/>
  <c r="O254" i="2"/>
  <c r="X254" i="2" s="1"/>
  <c r="U254" i="2"/>
  <c r="O253" i="2"/>
  <c r="X253" i="2" s="1"/>
  <c r="U253" i="2"/>
  <c r="O252" i="2"/>
  <c r="Z252" i="2" s="1"/>
  <c r="U252" i="2"/>
  <c r="O251" i="2"/>
  <c r="X251" i="2" s="1"/>
  <c r="U251" i="2"/>
  <c r="O250" i="2"/>
  <c r="X250" i="2" s="1"/>
  <c r="U250" i="2"/>
  <c r="O249" i="2"/>
  <c r="X249" i="2" s="1"/>
  <c r="U249" i="2"/>
  <c r="O248" i="2"/>
  <c r="X248" i="2" s="1"/>
  <c r="U248" i="2"/>
  <c r="U237" i="2"/>
  <c r="O237" i="2"/>
  <c r="X237" i="2" s="1"/>
  <c r="U235" i="2"/>
  <c r="O235" i="2"/>
  <c r="X235" i="2" s="1"/>
  <c r="U232" i="2"/>
  <c r="O232" i="2"/>
  <c r="X232" i="2" s="1"/>
  <c r="O246" i="2"/>
  <c r="X246" i="2" s="1"/>
  <c r="U246" i="2"/>
  <c r="O245" i="2"/>
  <c r="X245" i="2" s="1"/>
  <c r="U245" i="2"/>
  <c r="O244" i="2"/>
  <c r="X244" i="2" s="1"/>
  <c r="U244" i="2"/>
  <c r="O243" i="2"/>
  <c r="Z243" i="2" s="1"/>
  <c r="U243" i="2"/>
  <c r="O242" i="2"/>
  <c r="Z242" i="2" s="1"/>
  <c r="U242" i="2"/>
  <c r="O241" i="2"/>
  <c r="U241" i="2"/>
  <c r="O239" i="2"/>
  <c r="X239" i="2" s="1"/>
  <c r="U239" i="2"/>
  <c r="O238" i="2"/>
  <c r="Z238" i="2" s="1"/>
  <c r="U238" i="2"/>
  <c r="O236" i="2"/>
  <c r="U236" i="2"/>
  <c r="O234" i="2"/>
  <c r="Z234" i="2" s="1"/>
  <c r="U234" i="2"/>
  <c r="O233" i="2"/>
  <c r="X233" i="2" s="1"/>
  <c r="U233" i="2"/>
  <c r="U230" i="2"/>
  <c r="O230" i="2"/>
  <c r="X230" i="2" s="1"/>
  <c r="O231" i="2"/>
  <c r="Z231" i="2" s="1"/>
  <c r="U231" i="2"/>
  <c r="O229" i="2"/>
  <c r="X229" i="2" s="1"/>
  <c r="U229" i="2"/>
  <c r="O228" i="2"/>
  <c r="X228" i="2" s="1"/>
  <c r="U228" i="2"/>
  <c r="O227" i="2"/>
  <c r="X227" i="2" s="1"/>
  <c r="U227" i="2"/>
  <c r="O226" i="2"/>
  <c r="X226" i="2" s="1"/>
  <c r="U226" i="2"/>
  <c r="O225" i="2"/>
  <c r="Z225" i="2" s="1"/>
  <c r="U225" i="2"/>
  <c r="O224" i="2"/>
  <c r="X224" i="2" s="1"/>
  <c r="U224" i="2"/>
  <c r="O223" i="2"/>
  <c r="X223" i="2" s="1"/>
  <c r="U223" i="2"/>
  <c r="O221" i="2"/>
  <c r="U221" i="2"/>
  <c r="O220" i="2"/>
  <c r="X220" i="2" s="1"/>
  <c r="U220" i="2"/>
  <c r="O219" i="2"/>
  <c r="X219" i="2" s="1"/>
  <c r="U219" i="2"/>
  <c r="O218" i="2"/>
  <c r="X218" i="2" s="1"/>
  <c r="U218" i="2"/>
  <c r="O217" i="2"/>
  <c r="X217" i="2" s="1"/>
  <c r="U217" i="2"/>
  <c r="O216" i="2"/>
  <c r="X216" i="2" s="1"/>
  <c r="U216" i="2"/>
  <c r="O215" i="2"/>
  <c r="X215" i="2" s="1"/>
  <c r="U215" i="2"/>
  <c r="O214" i="2"/>
  <c r="X214" i="2" s="1"/>
  <c r="U214" i="2"/>
  <c r="O213" i="2"/>
  <c r="U213" i="2"/>
  <c r="O212" i="2"/>
  <c r="X212" i="2" s="1"/>
  <c r="U212" i="2"/>
  <c r="U207" i="2"/>
  <c r="O207" i="2"/>
  <c r="X207" i="2" s="1"/>
  <c r="O211" i="2"/>
  <c r="X211" i="2" s="1"/>
  <c r="U211" i="2"/>
  <c r="O210" i="2"/>
  <c r="X210" i="2" s="1"/>
  <c r="U210" i="2"/>
  <c r="O209" i="2"/>
  <c r="X209" i="2" s="1"/>
  <c r="U209" i="2"/>
  <c r="O208" i="2"/>
  <c r="Z208" i="2" s="1"/>
  <c r="U208" i="2"/>
  <c r="O206" i="2"/>
  <c r="U206" i="2"/>
  <c r="O205" i="2"/>
  <c r="X205" i="2" s="1"/>
  <c r="U205" i="2"/>
  <c r="O204" i="2"/>
  <c r="X204" i="2" s="1"/>
  <c r="U204" i="2"/>
  <c r="O203" i="2"/>
  <c r="X203" i="2" s="1"/>
  <c r="U203" i="2"/>
  <c r="O202" i="2"/>
  <c r="U202" i="2"/>
  <c r="O201" i="2"/>
  <c r="X201" i="2" s="1"/>
  <c r="U201" i="2"/>
  <c r="O200" i="2"/>
  <c r="X200" i="2" s="1"/>
  <c r="U200" i="2"/>
  <c r="O199" i="2"/>
  <c r="X199" i="2" s="1"/>
  <c r="U199" i="2"/>
  <c r="O198" i="2"/>
  <c r="Z198" i="2" s="1"/>
  <c r="U198" i="2"/>
  <c r="O197" i="2"/>
  <c r="X197" i="2" s="1"/>
  <c r="U197" i="2"/>
  <c r="O196" i="2"/>
  <c r="X196" i="2" s="1"/>
  <c r="U196" i="2"/>
  <c r="U192" i="2"/>
  <c r="O192" i="2"/>
  <c r="X192" i="2" s="1"/>
  <c r="U188" i="2"/>
  <c r="O188" i="2"/>
  <c r="X188" i="2" s="1"/>
  <c r="O195" i="2"/>
  <c r="X195" i="2" s="1"/>
  <c r="U195" i="2"/>
  <c r="O194" i="2"/>
  <c r="Z194" i="2" s="1"/>
  <c r="U194" i="2"/>
  <c r="O193" i="2"/>
  <c r="Z193" i="2" s="1"/>
  <c r="U193" i="2"/>
  <c r="O191" i="2"/>
  <c r="Z191" i="2" s="1"/>
  <c r="U191" i="2"/>
  <c r="O190" i="2"/>
  <c r="Z190" i="2" s="1"/>
  <c r="U190" i="2"/>
  <c r="O189" i="2"/>
  <c r="X189" i="2" s="1"/>
  <c r="U189" i="2"/>
  <c r="O187" i="2"/>
  <c r="U187" i="2"/>
  <c r="O186" i="2"/>
  <c r="Z186" i="2" s="1"/>
  <c r="U186" i="2"/>
  <c r="O185" i="2"/>
  <c r="X185" i="2" s="1"/>
  <c r="U185" i="2"/>
  <c r="O184" i="2"/>
  <c r="X184" i="2" s="1"/>
  <c r="U184" i="2"/>
  <c r="O183" i="2"/>
  <c r="X183" i="2" s="1"/>
  <c r="U183" i="2"/>
  <c r="O182" i="2"/>
  <c r="U182" i="2"/>
  <c r="O181" i="2"/>
  <c r="X181" i="2" s="1"/>
  <c r="U181" i="2"/>
  <c r="O180" i="2"/>
  <c r="X180" i="2" s="1"/>
  <c r="U180" i="2"/>
  <c r="U179" i="2"/>
  <c r="O179" i="2"/>
  <c r="X179" i="2" s="1"/>
  <c r="O178" i="2"/>
  <c r="X178" i="2" s="1"/>
  <c r="U178" i="2"/>
  <c r="O177" i="2"/>
  <c r="Z177" i="2" s="1"/>
  <c r="U177" i="2"/>
  <c r="O176" i="2"/>
  <c r="X176" i="2" s="1"/>
  <c r="U176" i="2"/>
  <c r="U173" i="2"/>
  <c r="O173" i="2"/>
  <c r="X173" i="2" s="1"/>
  <c r="O175" i="2"/>
  <c r="X175" i="2" s="1"/>
  <c r="U175" i="2"/>
  <c r="O174" i="2"/>
  <c r="X174" i="2" s="1"/>
  <c r="U174" i="2"/>
  <c r="O172" i="2"/>
  <c r="U172" i="2"/>
  <c r="O171" i="2"/>
  <c r="X171" i="2" s="1"/>
  <c r="U171" i="2"/>
  <c r="O170" i="2"/>
  <c r="Z170" i="2" s="1"/>
  <c r="U170" i="2"/>
  <c r="O169" i="2"/>
  <c r="X169" i="2" s="1"/>
  <c r="U169" i="2"/>
  <c r="O168" i="2"/>
  <c r="X168" i="2" s="1"/>
  <c r="U168" i="2"/>
  <c r="O167" i="2"/>
  <c r="Z167" i="2" s="1"/>
  <c r="U167" i="2"/>
  <c r="O166" i="2"/>
  <c r="Z166" i="2" s="1"/>
  <c r="U166" i="2"/>
  <c r="O165" i="2"/>
  <c r="X165" i="2" s="1"/>
  <c r="U165" i="2"/>
  <c r="O164" i="2"/>
  <c r="X164" i="2" s="1"/>
  <c r="U164" i="2"/>
  <c r="O163" i="2"/>
  <c r="X163" i="2" s="1"/>
  <c r="U163" i="2"/>
  <c r="O162" i="2"/>
  <c r="X162" i="2" s="1"/>
  <c r="U162" i="2"/>
  <c r="F11" i="10"/>
  <c r="F10" i="10"/>
  <c r="U12" i="2"/>
  <c r="U10" i="2"/>
  <c r="U11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F9" i="10" l="1"/>
  <c r="X344" i="2"/>
  <c r="Y344" i="2"/>
  <c r="AA283" i="2"/>
  <c r="AC283" i="2" s="1"/>
  <c r="AA282" i="2"/>
  <c r="AC282" i="2" s="1"/>
  <c r="AA281" i="2"/>
  <c r="AC281" i="2" s="1"/>
  <c r="AA284" i="2"/>
  <c r="AC284" i="2" s="1"/>
  <c r="AA275" i="2"/>
  <c r="AC275" i="2" s="1"/>
  <c r="AA274" i="2"/>
  <c r="AC274" i="2" s="1"/>
  <c r="AA273" i="2"/>
  <c r="AC273" i="2" s="1"/>
  <c r="AA277" i="2"/>
  <c r="AC277" i="2" s="1"/>
  <c r="AA278" i="2"/>
  <c r="AC278" i="2" s="1"/>
  <c r="AA279" i="2"/>
  <c r="AC279" i="2" s="1"/>
  <c r="AA276" i="2"/>
  <c r="AC276" i="2" s="1"/>
  <c r="AA280" i="2"/>
  <c r="AC280" i="2" s="1"/>
  <c r="Y269" i="2"/>
  <c r="Z269" i="2"/>
  <c r="Z268" i="2"/>
  <c r="Y268" i="2"/>
  <c r="Z270" i="2"/>
  <c r="Y270" i="2"/>
  <c r="Z271" i="2"/>
  <c r="Y271" i="2"/>
  <c r="Z272" i="2"/>
  <c r="Y272" i="2"/>
  <c r="Y264" i="2"/>
  <c r="Z264" i="2"/>
  <c r="Z263" i="2"/>
  <c r="Y263" i="2"/>
  <c r="Z265" i="2"/>
  <c r="Z266" i="2"/>
  <c r="Y265" i="2"/>
  <c r="Y266" i="2"/>
  <c r="Z267" i="2"/>
  <c r="Y267" i="2"/>
  <c r="Z258" i="2"/>
  <c r="Y258" i="2"/>
  <c r="Z240" i="2"/>
  <c r="Y240" i="2"/>
  <c r="Y367" i="2"/>
  <c r="Z367" i="2"/>
  <c r="X367" i="2"/>
  <c r="Z366" i="2"/>
  <c r="Y366" i="2"/>
  <c r="Z365" i="2"/>
  <c r="Y365" i="2"/>
  <c r="Z364" i="2"/>
  <c r="Y364" i="2"/>
  <c r="Z363" i="2"/>
  <c r="Y363" i="2"/>
  <c r="Y362" i="2"/>
  <c r="Z362" i="2"/>
  <c r="Y361" i="2"/>
  <c r="Z361" i="2"/>
  <c r="Y360" i="2"/>
  <c r="Z360" i="2"/>
  <c r="Z359" i="2"/>
  <c r="Y359" i="2"/>
  <c r="Z358" i="2"/>
  <c r="Y350" i="2"/>
  <c r="Y358" i="2"/>
  <c r="Y357" i="2"/>
  <c r="Z357" i="2"/>
  <c r="Y356" i="2"/>
  <c r="Z356" i="2"/>
  <c r="Y355" i="2"/>
  <c r="Z355" i="2"/>
  <c r="Y354" i="2"/>
  <c r="Z354" i="2"/>
  <c r="Z353" i="2"/>
  <c r="Y353" i="2"/>
  <c r="X352" i="2"/>
  <c r="Y352" i="2"/>
  <c r="X351" i="2"/>
  <c r="Y351" i="2"/>
  <c r="Z350" i="2"/>
  <c r="Z349" i="2"/>
  <c r="Y349" i="2"/>
  <c r="Z348" i="2"/>
  <c r="Y348" i="2"/>
  <c r="Z347" i="2"/>
  <c r="Y347" i="2"/>
  <c r="X346" i="2"/>
  <c r="Y346" i="2"/>
  <c r="X345" i="2"/>
  <c r="Y345" i="2"/>
  <c r="Z344" i="2"/>
  <c r="Z343" i="2"/>
  <c r="Y343" i="2"/>
  <c r="X342" i="2"/>
  <c r="Y342" i="2"/>
  <c r="Z341" i="2"/>
  <c r="Y341" i="2"/>
  <c r="Y340" i="2"/>
  <c r="Z340" i="2"/>
  <c r="Y339" i="2"/>
  <c r="Z339" i="2"/>
  <c r="Y318" i="2"/>
  <c r="Z338" i="2"/>
  <c r="Y338" i="2"/>
  <c r="Y337" i="2"/>
  <c r="Z337" i="2"/>
  <c r="Y336" i="2"/>
  <c r="Z336" i="2"/>
  <c r="Z335" i="2"/>
  <c r="Y335" i="2"/>
  <c r="Z334" i="2"/>
  <c r="Y334" i="2"/>
  <c r="Z333" i="2"/>
  <c r="Y333" i="2"/>
  <c r="Z332" i="2"/>
  <c r="Y332" i="2"/>
  <c r="Z325" i="2"/>
  <c r="Z331" i="2"/>
  <c r="Y331" i="2"/>
  <c r="Y330" i="2"/>
  <c r="Z330" i="2"/>
  <c r="X330" i="2"/>
  <c r="Y329" i="2"/>
  <c r="Z329" i="2"/>
  <c r="Z328" i="2"/>
  <c r="Y328" i="2"/>
  <c r="Z327" i="2"/>
  <c r="Y327" i="2"/>
  <c r="Y326" i="2"/>
  <c r="Z326" i="2"/>
  <c r="Y325" i="2"/>
  <c r="Z324" i="2"/>
  <c r="Y324" i="2"/>
  <c r="Z323" i="2"/>
  <c r="Y323" i="2"/>
  <c r="Z322" i="2"/>
  <c r="Y322" i="2"/>
  <c r="X321" i="2"/>
  <c r="Y321" i="2"/>
  <c r="X320" i="2"/>
  <c r="Y320" i="2"/>
  <c r="X319" i="2"/>
  <c r="Y319" i="2"/>
  <c r="Z318" i="2"/>
  <c r="X318" i="2"/>
  <c r="Z317" i="2"/>
  <c r="Y317" i="2"/>
  <c r="Z316" i="2"/>
  <c r="Y316" i="2"/>
  <c r="Z315" i="2"/>
  <c r="Y315" i="2"/>
  <c r="X314" i="2"/>
  <c r="Y314" i="2"/>
  <c r="Y313" i="2"/>
  <c r="X313" i="2"/>
  <c r="Y312" i="2"/>
  <c r="Z312" i="2"/>
  <c r="Z311" i="2"/>
  <c r="Y311" i="2"/>
  <c r="Z310" i="2"/>
  <c r="Y310" i="2"/>
  <c r="Y309" i="2"/>
  <c r="Z309" i="2"/>
  <c r="Z307" i="2"/>
  <c r="Y307" i="2"/>
  <c r="Z306" i="2"/>
  <c r="Y306" i="2"/>
  <c r="X305" i="2"/>
  <c r="Y305" i="2"/>
  <c r="Y304" i="2"/>
  <c r="Z304" i="2"/>
  <c r="Z303" i="2"/>
  <c r="Y302" i="2"/>
  <c r="Y303" i="2"/>
  <c r="Y296" i="2"/>
  <c r="Y301" i="2"/>
  <c r="Z302" i="2"/>
  <c r="X302" i="2"/>
  <c r="Z301" i="2"/>
  <c r="Z300" i="2"/>
  <c r="Y300" i="2"/>
  <c r="Z299" i="2"/>
  <c r="Y299" i="2"/>
  <c r="Y298" i="2"/>
  <c r="Z298" i="2"/>
  <c r="Z297" i="2"/>
  <c r="Y297" i="2"/>
  <c r="Z296" i="2"/>
  <c r="X296" i="2"/>
  <c r="Z295" i="2"/>
  <c r="Y295" i="2"/>
  <c r="X294" i="2"/>
  <c r="Y294" i="2"/>
  <c r="X293" i="2"/>
  <c r="Y293" i="2"/>
  <c r="Y292" i="2"/>
  <c r="X292" i="2"/>
  <c r="Z291" i="2"/>
  <c r="Y291" i="2"/>
  <c r="Z290" i="2"/>
  <c r="Y290" i="2"/>
  <c r="X288" i="2"/>
  <c r="Y288" i="2"/>
  <c r="X287" i="2"/>
  <c r="Y287" i="2"/>
  <c r="Y286" i="2"/>
  <c r="Z286" i="2"/>
  <c r="X286" i="2"/>
  <c r="Y285" i="2"/>
  <c r="X285" i="2"/>
  <c r="Z222" i="2"/>
  <c r="Y222" i="2"/>
  <c r="Y262" i="2"/>
  <c r="Z262" i="2"/>
  <c r="Z261" i="2"/>
  <c r="Y261" i="2"/>
  <c r="Y260" i="2"/>
  <c r="Z260" i="2"/>
  <c r="Z259" i="2"/>
  <c r="Y259" i="2"/>
  <c r="Y256" i="2"/>
  <c r="Y257" i="2"/>
  <c r="Z257" i="2"/>
  <c r="Z256" i="2"/>
  <c r="X256" i="2"/>
  <c r="Y255" i="2"/>
  <c r="Z255" i="2"/>
  <c r="Z254" i="2"/>
  <c r="Y252" i="2"/>
  <c r="X252" i="2"/>
  <c r="Z251" i="2"/>
  <c r="Y251" i="2"/>
  <c r="Z250" i="2"/>
  <c r="Z249" i="2"/>
  <c r="Z253" i="2"/>
  <c r="Y249" i="2"/>
  <c r="Y253" i="2"/>
  <c r="Y250" i="2"/>
  <c r="Y254" i="2"/>
  <c r="Z248" i="2"/>
  <c r="Y248" i="2"/>
  <c r="Y247" i="2"/>
  <c r="Z247" i="2"/>
  <c r="Z246" i="2"/>
  <c r="Y246" i="2"/>
  <c r="Y245" i="2"/>
  <c r="Z245" i="2"/>
  <c r="Z244" i="2"/>
  <c r="Y244" i="2"/>
  <c r="X243" i="2"/>
  <c r="Y243" i="2"/>
  <c r="X242" i="2"/>
  <c r="Y242" i="2"/>
  <c r="Y241" i="2"/>
  <c r="X241" i="2"/>
  <c r="Z241" i="2"/>
  <c r="Z239" i="2"/>
  <c r="Y239" i="2"/>
  <c r="X238" i="2"/>
  <c r="Y238" i="2"/>
  <c r="Y237" i="2"/>
  <c r="Z237" i="2"/>
  <c r="Y236" i="2"/>
  <c r="X236" i="2"/>
  <c r="Z236" i="2"/>
  <c r="Y235" i="2"/>
  <c r="Z235" i="2"/>
  <c r="X234" i="2"/>
  <c r="Y234" i="2"/>
  <c r="Z233" i="2"/>
  <c r="Y233" i="2"/>
  <c r="Y232" i="2"/>
  <c r="Z232" i="2"/>
  <c r="X231" i="2"/>
  <c r="Y230" i="2"/>
  <c r="Z230" i="2"/>
  <c r="Y231" i="2"/>
  <c r="Z229" i="2"/>
  <c r="Y229" i="2"/>
  <c r="Y221" i="2"/>
  <c r="Z228" i="2"/>
  <c r="Y228" i="2"/>
  <c r="Y227" i="2"/>
  <c r="Z227" i="2"/>
  <c r="Z226" i="2"/>
  <c r="Y226" i="2"/>
  <c r="X225" i="2"/>
  <c r="Y225" i="2"/>
  <c r="Z224" i="2"/>
  <c r="Y224" i="2"/>
  <c r="Z223" i="2"/>
  <c r="Z218" i="2"/>
  <c r="X221" i="2"/>
  <c r="Y223" i="2"/>
  <c r="Y210" i="2"/>
  <c r="Y218" i="2"/>
  <c r="Z220" i="2"/>
  <c r="Z217" i="2"/>
  <c r="Z216" i="2"/>
  <c r="Y217" i="2"/>
  <c r="Z221" i="2"/>
  <c r="Z215" i="2"/>
  <c r="Z219" i="2"/>
  <c r="Y215" i="2"/>
  <c r="Y219" i="2"/>
  <c r="Z210" i="2"/>
  <c r="Y216" i="2"/>
  <c r="Y220" i="2"/>
  <c r="Z214" i="2"/>
  <c r="Y214" i="2"/>
  <c r="Y213" i="2"/>
  <c r="Z213" i="2"/>
  <c r="X213" i="2"/>
  <c r="Z212" i="2"/>
  <c r="Y206" i="2"/>
  <c r="Y212" i="2"/>
  <c r="Z211" i="2"/>
  <c r="Y211" i="2"/>
  <c r="Y209" i="2"/>
  <c r="Z209" i="2"/>
  <c r="X208" i="2"/>
  <c r="Y208" i="2"/>
  <c r="Y207" i="2"/>
  <c r="Z207" i="2"/>
  <c r="X206" i="2"/>
  <c r="Z206" i="2"/>
  <c r="Y205" i="2"/>
  <c r="Z205" i="2"/>
  <c r="Z204" i="2"/>
  <c r="Y204" i="2"/>
  <c r="Z203" i="2"/>
  <c r="Y202" i="2"/>
  <c r="Y203" i="2"/>
  <c r="Z202" i="2"/>
  <c r="X202" i="2"/>
  <c r="Z201" i="2"/>
  <c r="Y201" i="2"/>
  <c r="Y200" i="2"/>
  <c r="Z200" i="2"/>
  <c r="Z199" i="2"/>
  <c r="Y199" i="2"/>
  <c r="Y198" i="2"/>
  <c r="X198" i="2"/>
  <c r="Y197" i="2"/>
  <c r="Z197" i="2"/>
  <c r="Z196" i="2"/>
  <c r="Y196" i="2"/>
  <c r="Z195" i="2"/>
  <c r="Y195" i="2"/>
  <c r="X194" i="2"/>
  <c r="Y194" i="2"/>
  <c r="X193" i="2"/>
  <c r="Y193" i="2"/>
  <c r="Y192" i="2"/>
  <c r="Z192" i="2"/>
  <c r="X191" i="2"/>
  <c r="Y191" i="2"/>
  <c r="Y190" i="2"/>
  <c r="X190" i="2"/>
  <c r="Z189" i="2"/>
  <c r="Y189" i="2"/>
  <c r="Y188" i="2"/>
  <c r="Z188" i="2"/>
  <c r="X167" i="2"/>
  <c r="Y187" i="2"/>
  <c r="Z187" i="2"/>
  <c r="X187" i="2"/>
  <c r="X186" i="2"/>
  <c r="Y186" i="2"/>
  <c r="Z185" i="2"/>
  <c r="Y185" i="2"/>
  <c r="Z184" i="2"/>
  <c r="Y184" i="2"/>
  <c r="Z183" i="2"/>
  <c r="Y183" i="2"/>
  <c r="Y182" i="2"/>
  <c r="X182" i="2"/>
  <c r="Z182" i="2"/>
  <c r="Z181" i="2"/>
  <c r="Y181" i="2"/>
  <c r="Z180" i="2"/>
  <c r="Y180" i="2"/>
  <c r="Y179" i="2"/>
  <c r="Z179" i="2"/>
  <c r="Y178" i="2"/>
  <c r="Z178" i="2"/>
  <c r="X177" i="2"/>
  <c r="Y177" i="2"/>
  <c r="Z176" i="2"/>
  <c r="Y176" i="2"/>
  <c r="Y172" i="2"/>
  <c r="Z175" i="2"/>
  <c r="Y175" i="2"/>
  <c r="Z174" i="2"/>
  <c r="Y174" i="2"/>
  <c r="Y173" i="2"/>
  <c r="Z173" i="2"/>
  <c r="Z172" i="2"/>
  <c r="X172" i="2"/>
  <c r="Z171" i="2"/>
  <c r="Y171" i="2"/>
  <c r="X170" i="2"/>
  <c r="Y170" i="2"/>
  <c r="Z169" i="2"/>
  <c r="Y169" i="2"/>
  <c r="X166" i="2"/>
  <c r="Z168" i="2"/>
  <c r="Y168" i="2"/>
  <c r="Y167" i="2"/>
  <c r="Y165" i="2"/>
  <c r="Y166" i="2"/>
  <c r="Z165" i="2"/>
  <c r="Z164" i="2"/>
  <c r="Y164" i="2"/>
  <c r="Z163" i="2"/>
  <c r="Y163" i="2"/>
  <c r="Z162" i="2"/>
  <c r="Y162" i="2"/>
  <c r="O153" i="2"/>
  <c r="AA350" i="2" l="1"/>
  <c r="AC350" i="2" s="1"/>
  <c r="AA269" i="2"/>
  <c r="AC269" i="2" s="1"/>
  <c r="AA268" i="2"/>
  <c r="AC268" i="2" s="1"/>
  <c r="AA271" i="2"/>
  <c r="AC271" i="2" s="1"/>
  <c r="AA270" i="2"/>
  <c r="AC270" i="2" s="1"/>
  <c r="AA272" i="2"/>
  <c r="AC272" i="2" s="1"/>
  <c r="AA266" i="2"/>
  <c r="AC266" i="2" s="1"/>
  <c r="AA265" i="2"/>
  <c r="AC265" i="2" s="1"/>
  <c r="AA264" i="2"/>
  <c r="AC264" i="2" s="1"/>
  <c r="AA263" i="2"/>
  <c r="AC263" i="2" s="1"/>
  <c r="AA267" i="2"/>
  <c r="AC267" i="2" s="1"/>
  <c r="AA258" i="2"/>
  <c r="AC258" i="2" s="1"/>
  <c r="AA240" i="2"/>
  <c r="AC240" i="2" s="1"/>
  <c r="AA367" i="2"/>
  <c r="AC367" i="2" s="1"/>
  <c r="AA366" i="2"/>
  <c r="AC366" i="2" s="1"/>
  <c r="AA365" i="2"/>
  <c r="AC365" i="2" s="1"/>
  <c r="AA364" i="2"/>
  <c r="AC364" i="2" s="1"/>
  <c r="AA363" i="2"/>
  <c r="AC363" i="2" s="1"/>
  <c r="AA362" i="2"/>
  <c r="AC362" i="2" s="1"/>
  <c r="AA361" i="2"/>
  <c r="AC361" i="2" s="1"/>
  <c r="AA360" i="2"/>
  <c r="AC360" i="2" s="1"/>
  <c r="AA359" i="2"/>
  <c r="AC359" i="2" s="1"/>
  <c r="AA358" i="2"/>
  <c r="AC358" i="2" s="1"/>
  <c r="AA355" i="2"/>
  <c r="AC355" i="2" s="1"/>
  <c r="AA357" i="2"/>
  <c r="AC357" i="2" s="1"/>
  <c r="AA354" i="2"/>
  <c r="AC354" i="2" s="1"/>
  <c r="AA356" i="2"/>
  <c r="AC356" i="2" s="1"/>
  <c r="AA353" i="2"/>
  <c r="AC353" i="2" s="1"/>
  <c r="AA352" i="2"/>
  <c r="AC352" i="2" s="1"/>
  <c r="AA351" i="2"/>
  <c r="AC351" i="2" s="1"/>
  <c r="AA349" i="2"/>
  <c r="AC349" i="2" s="1"/>
  <c r="AA348" i="2"/>
  <c r="AC348" i="2" s="1"/>
  <c r="AA347" i="2"/>
  <c r="AC347" i="2" s="1"/>
  <c r="AA346" i="2"/>
  <c r="AC346" i="2" s="1"/>
  <c r="AA345" i="2"/>
  <c r="AC345" i="2" s="1"/>
  <c r="AA344" i="2"/>
  <c r="AC344" i="2" s="1"/>
  <c r="AA343" i="2"/>
  <c r="AC343" i="2" s="1"/>
  <c r="AA342" i="2"/>
  <c r="AC342" i="2" s="1"/>
  <c r="AA341" i="2"/>
  <c r="AC341" i="2" s="1"/>
  <c r="AA340" i="2"/>
  <c r="AC340" i="2" s="1"/>
  <c r="AA339" i="2"/>
  <c r="AC339" i="2" s="1"/>
  <c r="AA338" i="2"/>
  <c r="AC338" i="2" s="1"/>
  <c r="AA337" i="2"/>
  <c r="AC337" i="2" s="1"/>
  <c r="AA336" i="2"/>
  <c r="AC336" i="2" s="1"/>
  <c r="AA335" i="2"/>
  <c r="AC335" i="2" s="1"/>
  <c r="AA334" i="2"/>
  <c r="AC334" i="2" s="1"/>
  <c r="AA333" i="2"/>
  <c r="AC333" i="2" s="1"/>
  <c r="AA332" i="2"/>
  <c r="AC332" i="2" s="1"/>
  <c r="AA325" i="2"/>
  <c r="AC325" i="2" s="1"/>
  <c r="AA330" i="2"/>
  <c r="AC330" i="2" s="1"/>
  <c r="AA331" i="2"/>
  <c r="AC331" i="2" s="1"/>
  <c r="AA329" i="2"/>
  <c r="AC329" i="2" s="1"/>
  <c r="AA328" i="2"/>
  <c r="AC328" i="2" s="1"/>
  <c r="AA326" i="2"/>
  <c r="AC326" i="2" s="1"/>
  <c r="AA327" i="2"/>
  <c r="AC327" i="2" s="1"/>
  <c r="AA324" i="2"/>
  <c r="AC324" i="2" s="1"/>
  <c r="AA322" i="2"/>
  <c r="AC322" i="2" s="1"/>
  <c r="AA323" i="2"/>
  <c r="AC323" i="2" s="1"/>
  <c r="AA321" i="2"/>
  <c r="AC321" i="2" s="1"/>
  <c r="AA320" i="2"/>
  <c r="AC320" i="2" s="1"/>
  <c r="AA318" i="2"/>
  <c r="AC318" i="2" s="1"/>
  <c r="AA319" i="2"/>
  <c r="AC319" i="2" s="1"/>
  <c r="AA317" i="2"/>
  <c r="AC317" i="2" s="1"/>
  <c r="AA316" i="2"/>
  <c r="AC316" i="2" s="1"/>
  <c r="AA301" i="2"/>
  <c r="AC301" i="2" s="1"/>
  <c r="AA314" i="2"/>
  <c r="AC314" i="2" s="1"/>
  <c r="AA315" i="2"/>
  <c r="AC315" i="2" s="1"/>
  <c r="AA312" i="2"/>
  <c r="AC312" i="2" s="1"/>
  <c r="AA313" i="2"/>
  <c r="AC313" i="2" s="1"/>
  <c r="AA311" i="2"/>
  <c r="AC311" i="2" s="1"/>
  <c r="AA310" i="2"/>
  <c r="AC310" i="2" s="1"/>
  <c r="AA307" i="2"/>
  <c r="AC307" i="2" s="1"/>
  <c r="AA309" i="2"/>
  <c r="AC309" i="2" s="1"/>
  <c r="AA306" i="2"/>
  <c r="AC306" i="2" s="1"/>
  <c r="AA304" i="2"/>
  <c r="AC304" i="2" s="1"/>
  <c r="AA305" i="2"/>
  <c r="AC305" i="2" s="1"/>
  <c r="AA303" i="2"/>
  <c r="AC303" i="2" s="1"/>
  <c r="AA288" i="2"/>
  <c r="AC288" i="2" s="1"/>
  <c r="AA302" i="2"/>
  <c r="AC302" i="2" s="1"/>
  <c r="AA300" i="2"/>
  <c r="AC300" i="2" s="1"/>
  <c r="AA299" i="2"/>
  <c r="AC299" i="2" s="1"/>
  <c r="AA298" i="2"/>
  <c r="AC298" i="2" s="1"/>
  <c r="AA297" i="2"/>
  <c r="AC297" i="2" s="1"/>
  <c r="AA296" i="2"/>
  <c r="AC296" i="2" s="1"/>
  <c r="AA295" i="2"/>
  <c r="AC295" i="2" s="1"/>
  <c r="AA294" i="2"/>
  <c r="AC294" i="2" s="1"/>
  <c r="AA293" i="2"/>
  <c r="AC293" i="2" s="1"/>
  <c r="AA292" i="2"/>
  <c r="AC292" i="2" s="1"/>
  <c r="AA291" i="2"/>
  <c r="AC291" i="2" s="1"/>
  <c r="AA290" i="2"/>
  <c r="AC290" i="2" s="1"/>
  <c r="AA287" i="2"/>
  <c r="AC287" i="2" s="1"/>
  <c r="AA286" i="2"/>
  <c r="AC286" i="2" s="1"/>
  <c r="AA285" i="2"/>
  <c r="AC285" i="2" s="1"/>
  <c r="AA222" i="2"/>
  <c r="AC222" i="2" s="1"/>
  <c r="AA261" i="2"/>
  <c r="AC261" i="2" s="1"/>
  <c r="AA262" i="2"/>
  <c r="AC262" i="2" s="1"/>
  <c r="AA259" i="2"/>
  <c r="AC259" i="2" s="1"/>
  <c r="AA260" i="2"/>
  <c r="AC260" i="2" s="1"/>
  <c r="AA256" i="2"/>
  <c r="AC256" i="2" s="1"/>
  <c r="AA257" i="2"/>
  <c r="AC257" i="2" s="1"/>
  <c r="AA254" i="2"/>
  <c r="AC254" i="2" s="1"/>
  <c r="AA255" i="2"/>
  <c r="AC255" i="2" s="1"/>
  <c r="AA251" i="2"/>
  <c r="AC251" i="2" s="1"/>
  <c r="AA252" i="2"/>
  <c r="AC252" i="2" s="1"/>
  <c r="AA250" i="2"/>
  <c r="AC250" i="2" s="1"/>
  <c r="AA253" i="2"/>
  <c r="AC253" i="2" s="1"/>
  <c r="AA249" i="2"/>
  <c r="AC249" i="2" s="1"/>
  <c r="AA248" i="2"/>
  <c r="AC248" i="2" s="1"/>
  <c r="AA247" i="2"/>
  <c r="AC247" i="2" s="1"/>
  <c r="AA244" i="2"/>
  <c r="AC244" i="2" s="1"/>
  <c r="AA246" i="2"/>
  <c r="AC246" i="2" s="1"/>
  <c r="AA245" i="2"/>
  <c r="AC245" i="2" s="1"/>
  <c r="AA243" i="2"/>
  <c r="AC243" i="2" s="1"/>
  <c r="AA242" i="2"/>
  <c r="AC242" i="2" s="1"/>
  <c r="AA239" i="2"/>
  <c r="AC239" i="2" s="1"/>
  <c r="AA241" i="2"/>
  <c r="AC241" i="2" s="1"/>
  <c r="AA238" i="2"/>
  <c r="AC238" i="2" s="1"/>
  <c r="AA237" i="2"/>
  <c r="AC237" i="2" s="1"/>
  <c r="AA236" i="2"/>
  <c r="AC236" i="2" s="1"/>
  <c r="AA233" i="2"/>
  <c r="AC233" i="2" s="1"/>
  <c r="AA235" i="2"/>
  <c r="AC235" i="2" s="1"/>
  <c r="AA234" i="2"/>
  <c r="AC234" i="2" s="1"/>
  <c r="AA232" i="2"/>
  <c r="AC232" i="2" s="1"/>
  <c r="AA231" i="2"/>
  <c r="AC231" i="2" s="1"/>
  <c r="AA230" i="2"/>
  <c r="AC230" i="2" s="1"/>
  <c r="AA229" i="2"/>
  <c r="AC229" i="2" s="1"/>
  <c r="AA210" i="2"/>
  <c r="AC210" i="2" s="1"/>
  <c r="AA228" i="2"/>
  <c r="AC228" i="2" s="1"/>
  <c r="AA226" i="2"/>
  <c r="AC226" i="2" s="1"/>
  <c r="AA227" i="2"/>
  <c r="AC227" i="2" s="1"/>
  <c r="AA225" i="2"/>
  <c r="AC225" i="2" s="1"/>
  <c r="AA224" i="2"/>
  <c r="AC224" i="2" s="1"/>
  <c r="AA223" i="2"/>
  <c r="AC223" i="2" s="1"/>
  <c r="AA221" i="2"/>
  <c r="AC221" i="2" s="1"/>
  <c r="AA218" i="2"/>
  <c r="AC218" i="2" s="1"/>
  <c r="AA216" i="2"/>
  <c r="AC216" i="2" s="1"/>
  <c r="AA215" i="2"/>
  <c r="AC215" i="2" s="1"/>
  <c r="AA217" i="2"/>
  <c r="AC217" i="2" s="1"/>
  <c r="AA220" i="2"/>
  <c r="AC220" i="2" s="1"/>
  <c r="AA219" i="2"/>
  <c r="AC219" i="2" s="1"/>
  <c r="AA214" i="2"/>
  <c r="AC214" i="2" s="1"/>
  <c r="AA213" i="2"/>
  <c r="AC213" i="2" s="1"/>
  <c r="AA212" i="2"/>
  <c r="AC212" i="2" s="1"/>
  <c r="AA211" i="2"/>
  <c r="AC211" i="2" s="1"/>
  <c r="AA209" i="2"/>
  <c r="AC209" i="2" s="1"/>
  <c r="AA208" i="2"/>
  <c r="AC208" i="2" s="1"/>
  <c r="AA207" i="2"/>
  <c r="AC207" i="2" s="1"/>
  <c r="AA206" i="2"/>
  <c r="AC206" i="2" s="1"/>
  <c r="AA203" i="2"/>
  <c r="AC203" i="2" s="1"/>
  <c r="AA205" i="2"/>
  <c r="AC205" i="2" s="1"/>
  <c r="AA204" i="2"/>
  <c r="AC204" i="2" s="1"/>
  <c r="AA202" i="2"/>
  <c r="AC202" i="2" s="1"/>
  <c r="AA201" i="2"/>
  <c r="AC201" i="2" s="1"/>
  <c r="AA200" i="2"/>
  <c r="AC200" i="2" s="1"/>
  <c r="AA198" i="2"/>
  <c r="AC198" i="2" s="1"/>
  <c r="AA199" i="2"/>
  <c r="AC199" i="2" s="1"/>
  <c r="AA197" i="2"/>
  <c r="AC197" i="2" s="1"/>
  <c r="AA196" i="2"/>
  <c r="AC196" i="2" s="1"/>
  <c r="AA195" i="2"/>
  <c r="AC195" i="2" s="1"/>
  <c r="AA194" i="2"/>
  <c r="AC194" i="2" s="1"/>
  <c r="AA193" i="2"/>
  <c r="AC193" i="2" s="1"/>
  <c r="AA191" i="2"/>
  <c r="AC191" i="2" s="1"/>
  <c r="AA190" i="2"/>
  <c r="AC190" i="2" s="1"/>
  <c r="AA192" i="2"/>
  <c r="AC192" i="2" s="1"/>
  <c r="AA189" i="2"/>
  <c r="AC189" i="2" s="1"/>
  <c r="AA188" i="2"/>
  <c r="AC188" i="2" s="1"/>
  <c r="AA167" i="2"/>
  <c r="AC167" i="2" s="1"/>
  <c r="AA184" i="2"/>
  <c r="AC184" i="2" s="1"/>
  <c r="AA187" i="2"/>
  <c r="AC187" i="2" s="1"/>
  <c r="AA186" i="2"/>
  <c r="AC186" i="2" s="1"/>
  <c r="AA185" i="2"/>
  <c r="AC185" i="2" s="1"/>
  <c r="AA183" i="2"/>
  <c r="AC183" i="2" s="1"/>
  <c r="AA182" i="2"/>
  <c r="AC182" i="2" s="1"/>
  <c r="AA181" i="2"/>
  <c r="AC181" i="2" s="1"/>
  <c r="AA180" i="2"/>
  <c r="AC180" i="2" s="1"/>
  <c r="AA179" i="2"/>
  <c r="AC179" i="2" s="1"/>
  <c r="AA178" i="2"/>
  <c r="AC178" i="2" s="1"/>
  <c r="AA177" i="2"/>
  <c r="AC177" i="2" s="1"/>
  <c r="AA176" i="2"/>
  <c r="AC176" i="2" s="1"/>
  <c r="AA175" i="2"/>
  <c r="AC175" i="2" s="1"/>
  <c r="AA171" i="2"/>
  <c r="AC171" i="2" s="1"/>
  <c r="AA174" i="2"/>
  <c r="AC174" i="2" s="1"/>
  <c r="AA173" i="2"/>
  <c r="AC173" i="2" s="1"/>
  <c r="AA172" i="2"/>
  <c r="AC172" i="2" s="1"/>
  <c r="AA169" i="2"/>
  <c r="AC169" i="2" s="1"/>
  <c r="AA170" i="2"/>
  <c r="AC170" i="2" s="1"/>
  <c r="AA166" i="2"/>
  <c r="AC166" i="2" s="1"/>
  <c r="AA168" i="2"/>
  <c r="AC168" i="2" s="1"/>
  <c r="AA165" i="2"/>
  <c r="AC165" i="2" s="1"/>
  <c r="AA164" i="2"/>
  <c r="AC164" i="2" s="1"/>
  <c r="AA163" i="2"/>
  <c r="AC163" i="2" s="1"/>
  <c r="AA162" i="2"/>
  <c r="AC162" i="2" s="1"/>
  <c r="Y153" i="2"/>
  <c r="O125" i="2"/>
  <c r="Z125" i="2" s="1"/>
  <c r="O161" i="2"/>
  <c r="X161" i="2" s="1"/>
  <c r="O160" i="2"/>
  <c r="O159" i="2"/>
  <c r="X159" i="2" s="1"/>
  <c r="O158" i="2"/>
  <c r="X158" i="2" s="1"/>
  <c r="AA153" i="2" l="1"/>
  <c r="AC153" i="2" s="1"/>
  <c r="Y125" i="2"/>
  <c r="X125" i="2"/>
  <c r="Z161" i="2"/>
  <c r="Y161" i="2"/>
  <c r="Y160" i="2"/>
  <c r="X160" i="2"/>
  <c r="Z160" i="2"/>
  <c r="Z159" i="2"/>
  <c r="Y159" i="2"/>
  <c r="Y158" i="2"/>
  <c r="Z158" i="2"/>
  <c r="O157" i="2"/>
  <c r="X157" i="2" s="1"/>
  <c r="O146" i="2"/>
  <c r="O156" i="2"/>
  <c r="X156" i="2" s="1"/>
  <c r="O155" i="2"/>
  <c r="X155" i="2" s="1"/>
  <c r="O154" i="2"/>
  <c r="X154" i="2" s="1"/>
  <c r="O152" i="2"/>
  <c r="X152" i="2" s="1"/>
  <c r="O151" i="2"/>
  <c r="O150" i="2"/>
  <c r="X150" i="2" s="1"/>
  <c r="O149" i="2"/>
  <c r="O148" i="2"/>
  <c r="X148" i="2" s="1"/>
  <c r="O147" i="2"/>
  <c r="X147" i="2" s="1"/>
  <c r="O145" i="2"/>
  <c r="X145" i="2" s="1"/>
  <c r="O144" i="2"/>
  <c r="X144" i="2" s="1"/>
  <c r="O143" i="2"/>
  <c r="X143" i="2" s="1"/>
  <c r="O142" i="2"/>
  <c r="X142" i="2" s="1"/>
  <c r="O141" i="2"/>
  <c r="X141" i="2" s="1"/>
  <c r="O140" i="2"/>
  <c r="X140" i="2" s="1"/>
  <c r="O139" i="2"/>
  <c r="X139" i="2" s="1"/>
  <c r="O138" i="2"/>
  <c r="X138" i="2" s="1"/>
  <c r="O137" i="2"/>
  <c r="O136" i="2"/>
  <c r="X136" i="2" s="1"/>
  <c r="O135" i="2"/>
  <c r="X135" i="2" s="1"/>
  <c r="O134" i="2"/>
  <c r="O133" i="2"/>
  <c r="X133" i="2" s="1"/>
  <c r="O132" i="2"/>
  <c r="X132" i="2" s="1"/>
  <c r="O131" i="2"/>
  <c r="X131" i="2" s="1"/>
  <c r="O130" i="2"/>
  <c r="O129" i="2"/>
  <c r="X129" i="2" s="1"/>
  <c r="O128" i="2"/>
  <c r="X128" i="2" s="1"/>
  <c r="O127" i="2"/>
  <c r="Z127" i="2" s="1"/>
  <c r="O126" i="2"/>
  <c r="Z126" i="2" s="1"/>
  <c r="O124" i="2"/>
  <c r="X124" i="2" s="1"/>
  <c r="O123" i="2"/>
  <c r="X123" i="2" s="1"/>
  <c r="O122" i="2"/>
  <c r="X122" i="2" s="1"/>
  <c r="O121" i="2"/>
  <c r="X121" i="2" s="1"/>
  <c r="O120" i="2"/>
  <c r="X120" i="2" s="1"/>
  <c r="O119" i="2"/>
  <c r="X119" i="2" s="1"/>
  <c r="O118" i="2"/>
  <c r="X118" i="2" s="1"/>
  <c r="O117" i="2"/>
  <c r="X117" i="2" s="1"/>
  <c r="O116" i="2"/>
  <c r="X116" i="2" s="1"/>
  <c r="O115" i="2"/>
  <c r="X115" i="2" s="1"/>
  <c r="O114" i="2"/>
  <c r="X114" i="2" s="1"/>
  <c r="O113" i="2"/>
  <c r="X113" i="2" s="1"/>
  <c r="O112" i="2"/>
  <c r="O111" i="2"/>
  <c r="X111" i="2" s="1"/>
  <c r="O110" i="2"/>
  <c r="X110" i="2" s="1"/>
  <c r="AA125" i="2" l="1"/>
  <c r="AC125" i="2" s="1"/>
  <c r="AA161" i="2"/>
  <c r="AC161" i="2" s="1"/>
  <c r="AA160" i="2"/>
  <c r="AC160" i="2" s="1"/>
  <c r="AA159" i="2"/>
  <c r="AC159" i="2" s="1"/>
  <c r="AA158" i="2"/>
  <c r="AC158" i="2" s="1"/>
  <c r="Y146" i="2"/>
  <c r="Z157" i="2"/>
  <c r="Y152" i="2"/>
  <c r="X151" i="2"/>
  <c r="Y151" i="2"/>
  <c r="X146" i="2"/>
  <c r="Y157" i="2"/>
  <c r="Z146" i="2"/>
  <c r="Z154" i="2"/>
  <c r="Z152" i="2"/>
  <c r="Y154" i="2"/>
  <c r="Z155" i="2"/>
  <c r="Z156" i="2"/>
  <c r="Y155" i="2"/>
  <c r="Z151" i="2"/>
  <c r="Y156" i="2"/>
  <c r="Y150" i="2"/>
  <c r="Z150" i="2"/>
  <c r="Y149" i="2"/>
  <c r="X149" i="2"/>
  <c r="Z149" i="2"/>
  <c r="Z148" i="2"/>
  <c r="Y148" i="2"/>
  <c r="Z147" i="2"/>
  <c r="Y147" i="2"/>
  <c r="Z145" i="2"/>
  <c r="Y145" i="2"/>
  <c r="Z144" i="2"/>
  <c r="Y144" i="2"/>
  <c r="Y143" i="2"/>
  <c r="Z143" i="2"/>
  <c r="Z142" i="2"/>
  <c r="Y142" i="2"/>
  <c r="Z141" i="2"/>
  <c r="Y141" i="2"/>
  <c r="Z140" i="2"/>
  <c r="Y140" i="2"/>
  <c r="Y139" i="2"/>
  <c r="Z139" i="2"/>
  <c r="Z138" i="2"/>
  <c r="Y138" i="2"/>
  <c r="Y137" i="2"/>
  <c r="Z137" i="2"/>
  <c r="X137" i="2"/>
  <c r="Z136" i="2"/>
  <c r="Y136" i="2"/>
  <c r="Y135" i="2"/>
  <c r="Z135" i="2"/>
  <c r="Y134" i="2"/>
  <c r="Z134" i="2"/>
  <c r="X134" i="2"/>
  <c r="Z133" i="2"/>
  <c r="Y133" i="2"/>
  <c r="Z132" i="2"/>
  <c r="Y132" i="2"/>
  <c r="Z131" i="2"/>
  <c r="Y131" i="2"/>
  <c r="Y130" i="2"/>
  <c r="X130" i="2"/>
  <c r="Z130" i="2"/>
  <c r="Z129" i="2"/>
  <c r="Y129" i="2"/>
  <c r="Z128" i="2"/>
  <c r="Y128" i="2"/>
  <c r="Y127" i="2"/>
  <c r="X127" i="2"/>
  <c r="Y126" i="2"/>
  <c r="X126" i="2"/>
  <c r="Z124" i="2"/>
  <c r="Y124" i="2"/>
  <c r="Z123" i="2"/>
  <c r="Y123" i="2"/>
  <c r="Z122" i="2"/>
  <c r="Y122" i="2"/>
  <c r="Z121" i="2"/>
  <c r="Z120" i="2"/>
  <c r="Y120" i="2"/>
  <c r="Y121" i="2"/>
  <c r="Z119" i="2"/>
  <c r="Y119" i="2"/>
  <c r="Y118" i="2"/>
  <c r="Z118" i="2"/>
  <c r="Z117" i="2"/>
  <c r="Y117" i="2"/>
  <c r="Y116" i="2"/>
  <c r="Z116" i="2"/>
  <c r="Z115" i="2"/>
  <c r="Y115" i="2"/>
  <c r="Y114" i="2"/>
  <c r="Z114" i="2"/>
  <c r="Z113" i="2"/>
  <c r="Y113" i="2"/>
  <c r="Y112" i="2"/>
  <c r="Z112" i="2"/>
  <c r="X112" i="2"/>
  <c r="Z111" i="2"/>
  <c r="Y111" i="2"/>
  <c r="Y110" i="2"/>
  <c r="Z110" i="2"/>
  <c r="AA157" i="2" l="1"/>
  <c r="AC157" i="2" s="1"/>
  <c r="AA156" i="2"/>
  <c r="AC156" i="2" s="1"/>
  <c r="AA146" i="2"/>
  <c r="AC146" i="2" s="1"/>
  <c r="AA152" i="2"/>
  <c r="AC152" i="2" s="1"/>
  <c r="AA155" i="2"/>
  <c r="AC155" i="2" s="1"/>
  <c r="AA154" i="2"/>
  <c r="AC154" i="2" s="1"/>
  <c r="AA151" i="2"/>
  <c r="AC151" i="2" s="1"/>
  <c r="AA150" i="2"/>
  <c r="AC150" i="2" s="1"/>
  <c r="AA149" i="2"/>
  <c r="AC149" i="2" s="1"/>
  <c r="AA148" i="2"/>
  <c r="AC148" i="2" s="1"/>
  <c r="AA147" i="2"/>
  <c r="AC147" i="2" s="1"/>
  <c r="AA145" i="2"/>
  <c r="AC145" i="2" s="1"/>
  <c r="AA144" i="2"/>
  <c r="AC144" i="2" s="1"/>
  <c r="AA143" i="2"/>
  <c r="AC143" i="2" s="1"/>
  <c r="AA142" i="2"/>
  <c r="AC142" i="2" s="1"/>
  <c r="AA141" i="2"/>
  <c r="AC141" i="2" s="1"/>
  <c r="AA140" i="2"/>
  <c r="AC140" i="2" s="1"/>
  <c r="AA139" i="2"/>
  <c r="AC139" i="2" s="1"/>
  <c r="AA138" i="2"/>
  <c r="AC138" i="2" s="1"/>
  <c r="AA137" i="2"/>
  <c r="AC137" i="2" s="1"/>
  <c r="AA136" i="2"/>
  <c r="AC136" i="2" s="1"/>
  <c r="AA135" i="2"/>
  <c r="AC135" i="2" s="1"/>
  <c r="AA134" i="2"/>
  <c r="AC134" i="2" s="1"/>
  <c r="AA133" i="2"/>
  <c r="AC133" i="2" s="1"/>
  <c r="AA132" i="2"/>
  <c r="AC132" i="2" s="1"/>
  <c r="AA131" i="2"/>
  <c r="AC131" i="2" s="1"/>
  <c r="AA130" i="2"/>
  <c r="AC130" i="2" s="1"/>
  <c r="AA129" i="2"/>
  <c r="AC129" i="2" s="1"/>
  <c r="AA128" i="2"/>
  <c r="AC128" i="2" s="1"/>
  <c r="AA127" i="2"/>
  <c r="AC127" i="2" s="1"/>
  <c r="AA126" i="2"/>
  <c r="AC126" i="2" s="1"/>
  <c r="AA124" i="2"/>
  <c r="AC124" i="2" s="1"/>
  <c r="AA123" i="2"/>
  <c r="AC123" i="2" s="1"/>
  <c r="AA122" i="2"/>
  <c r="AC122" i="2" s="1"/>
  <c r="AA121" i="2"/>
  <c r="AC121" i="2" s="1"/>
  <c r="AA120" i="2"/>
  <c r="AC120" i="2" s="1"/>
  <c r="AA119" i="2"/>
  <c r="AC119" i="2" s="1"/>
  <c r="AA118" i="2"/>
  <c r="AC118" i="2" s="1"/>
  <c r="AA117" i="2"/>
  <c r="AC117" i="2" s="1"/>
  <c r="AA116" i="2"/>
  <c r="AC116" i="2" s="1"/>
  <c r="AA115" i="2"/>
  <c r="AC115" i="2" s="1"/>
  <c r="AA114" i="2"/>
  <c r="AC114" i="2" s="1"/>
  <c r="AA113" i="2"/>
  <c r="AC113" i="2" s="1"/>
  <c r="AA112" i="2"/>
  <c r="AC112" i="2" s="1"/>
  <c r="AA111" i="2"/>
  <c r="AC111" i="2" s="1"/>
  <c r="AA110" i="2"/>
  <c r="AC110" i="2" s="1"/>
  <c r="O109" i="2" l="1"/>
  <c r="O108" i="2"/>
  <c r="O107" i="2"/>
  <c r="O106" i="2"/>
  <c r="X106" i="2" s="1"/>
  <c r="O105" i="2"/>
  <c r="X105" i="2" s="1"/>
  <c r="O104" i="2"/>
  <c r="X104" i="2" s="1"/>
  <c r="O103" i="2"/>
  <c r="X103" i="2" s="1"/>
  <c r="O97" i="2"/>
  <c r="O102" i="2"/>
  <c r="X102" i="2" s="1"/>
  <c r="O101" i="2"/>
  <c r="O100" i="2"/>
  <c r="X100" i="2" s="1"/>
  <c r="O99" i="2"/>
  <c r="X99" i="2" s="1"/>
  <c r="Y109" i="2" l="1"/>
  <c r="X109" i="2"/>
  <c r="Z109" i="2"/>
  <c r="Y108" i="2"/>
  <c r="Z108" i="2"/>
  <c r="X108" i="2"/>
  <c r="Y107" i="2"/>
  <c r="Z104" i="2"/>
  <c r="Y104" i="2"/>
  <c r="X107" i="2"/>
  <c r="Z105" i="2"/>
  <c r="Z107" i="2"/>
  <c r="Y105" i="2"/>
  <c r="Z106" i="2"/>
  <c r="Y106" i="2"/>
  <c r="Y103" i="2"/>
  <c r="Z103" i="2"/>
  <c r="Y101" i="2"/>
  <c r="Y97" i="2"/>
  <c r="Z97" i="2"/>
  <c r="Z101" i="2"/>
  <c r="Z102" i="2"/>
  <c r="X101" i="2"/>
  <c r="Y102" i="2"/>
  <c r="X97" i="2"/>
  <c r="Z100" i="2"/>
  <c r="Y100" i="2"/>
  <c r="Z99" i="2"/>
  <c r="Y99" i="2"/>
  <c r="AA109" i="2" l="1"/>
  <c r="AC109" i="2" s="1"/>
  <c r="AA108" i="2"/>
  <c r="AC108" i="2" s="1"/>
  <c r="AA104" i="2"/>
  <c r="AC104" i="2" s="1"/>
  <c r="AA105" i="2"/>
  <c r="AC105" i="2" s="1"/>
  <c r="AA103" i="2"/>
  <c r="AC103" i="2" s="1"/>
  <c r="AA106" i="2"/>
  <c r="AC106" i="2" s="1"/>
  <c r="AA107" i="2"/>
  <c r="AC107" i="2" s="1"/>
  <c r="AA102" i="2"/>
  <c r="AC102" i="2" s="1"/>
  <c r="AA101" i="2"/>
  <c r="AC101" i="2" s="1"/>
  <c r="AA97" i="2"/>
  <c r="AC97" i="2" s="1"/>
  <c r="AA100" i="2"/>
  <c r="AC100" i="2" s="1"/>
  <c r="AA99" i="2"/>
  <c r="AC99" i="2" s="1"/>
  <c r="O98" i="2" l="1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W74" i="2"/>
  <c r="W73" i="2"/>
  <c r="O72" i="2"/>
  <c r="O73" i="2"/>
  <c r="O11" i="2"/>
  <c r="O12" i="2"/>
  <c r="O70" i="2"/>
  <c r="O71" i="2"/>
  <c r="O74" i="2"/>
  <c r="W70" i="2"/>
  <c r="O10" i="2"/>
  <c r="H48" i="11"/>
  <c r="H50" i="11"/>
  <c r="H52" i="11"/>
  <c r="H54" i="11"/>
  <c r="H56" i="11"/>
  <c r="H58" i="11"/>
  <c r="H60" i="11"/>
  <c r="H62" i="11"/>
  <c r="H64" i="11"/>
  <c r="H66" i="11"/>
  <c r="H68" i="11"/>
  <c r="H46" i="11"/>
  <c r="X73" i="2" l="1"/>
  <c r="Z73" i="2"/>
  <c r="X10" i="2"/>
  <c r="Z10" i="2"/>
  <c r="X70" i="2"/>
  <c r="Z70" i="2"/>
  <c r="X72" i="2"/>
  <c r="Z72" i="2"/>
  <c r="X80" i="2"/>
  <c r="Z80" i="2"/>
  <c r="X84" i="2"/>
  <c r="Z84" i="2"/>
  <c r="X86" i="2"/>
  <c r="Z86" i="2"/>
  <c r="X88" i="2"/>
  <c r="Z88" i="2"/>
  <c r="X90" i="2"/>
  <c r="Z90" i="2"/>
  <c r="X92" i="2"/>
  <c r="Z92" i="2"/>
  <c r="X94" i="2"/>
  <c r="Z94" i="2"/>
  <c r="X96" i="2"/>
  <c r="Z96" i="2"/>
  <c r="X76" i="2"/>
  <c r="Z76" i="2"/>
  <c r="X78" i="2"/>
  <c r="Z78" i="2"/>
  <c r="X82" i="2"/>
  <c r="Z82" i="2"/>
  <c r="X74" i="2"/>
  <c r="Z74" i="2"/>
  <c r="X11" i="2"/>
  <c r="Z11" i="2"/>
  <c r="Z12" i="2"/>
  <c r="X71" i="2"/>
  <c r="Z71" i="2"/>
  <c r="X75" i="2"/>
  <c r="Z75" i="2"/>
  <c r="X77" i="2"/>
  <c r="Z77" i="2"/>
  <c r="X79" i="2"/>
  <c r="Z79" i="2"/>
  <c r="X81" i="2"/>
  <c r="Z81" i="2"/>
  <c r="X83" i="2"/>
  <c r="Z83" i="2"/>
  <c r="X85" i="2"/>
  <c r="Z85" i="2"/>
  <c r="X87" i="2"/>
  <c r="Z87" i="2"/>
  <c r="X89" i="2"/>
  <c r="Z89" i="2"/>
  <c r="X91" i="2"/>
  <c r="Z91" i="2"/>
  <c r="X93" i="2"/>
  <c r="Z93" i="2"/>
  <c r="X95" i="2"/>
  <c r="Z95" i="2"/>
  <c r="X98" i="2"/>
  <c r="Z98" i="2"/>
  <c r="Y98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F14" i="10" l="1"/>
  <c r="F27" i="10" s="1"/>
  <c r="D27" i="10"/>
  <c r="Z732" i="2"/>
  <c r="X732" i="2"/>
  <c r="AA84" i="2"/>
  <c r="AC84" i="2" s="1"/>
  <c r="AA88" i="2"/>
  <c r="AC88" i="2" s="1"/>
  <c r="AA92" i="2"/>
  <c r="AC92" i="2" s="1"/>
  <c r="AA96" i="2"/>
  <c r="AC96" i="2" s="1"/>
  <c r="AA82" i="2"/>
  <c r="AC82" i="2" s="1"/>
  <c r="AA86" i="2"/>
  <c r="AC86" i="2" s="1"/>
  <c r="AA90" i="2"/>
  <c r="AC90" i="2" s="1"/>
  <c r="AA80" i="2"/>
  <c r="AC80" i="2" s="1"/>
  <c r="AA77" i="2"/>
  <c r="AC77" i="2" s="1"/>
  <c r="AA81" i="2"/>
  <c r="AC81" i="2" s="1"/>
  <c r="AA85" i="2"/>
  <c r="AC85" i="2" s="1"/>
  <c r="AA89" i="2"/>
  <c r="AC89" i="2" s="1"/>
  <c r="AA93" i="2"/>
  <c r="AC93" i="2" s="1"/>
  <c r="AA98" i="2"/>
  <c r="AC98" i="2" s="1"/>
  <c r="AA78" i="2"/>
  <c r="AC78" i="2" s="1"/>
  <c r="AA79" i="2"/>
  <c r="AC79" i="2" s="1"/>
  <c r="AA83" i="2"/>
  <c r="AC83" i="2" s="1"/>
  <c r="AA87" i="2"/>
  <c r="AC87" i="2" s="1"/>
  <c r="AA91" i="2"/>
  <c r="AC91" i="2" s="1"/>
  <c r="AA95" i="2"/>
  <c r="AC95" i="2" s="1"/>
  <c r="AA94" i="2"/>
  <c r="AC94" i="2" s="1"/>
  <c r="C17" i="6" l="1"/>
  <c r="E17" i="6"/>
  <c r="D17" i="6"/>
  <c r="F17" i="6"/>
  <c r="B4" i="6"/>
  <c r="B3" i="6"/>
  <c r="B2" i="6"/>
  <c r="F12" i="4"/>
  <c r="E12" i="4"/>
  <c r="G12" i="4"/>
  <c r="B1" i="4"/>
  <c r="B4" i="4"/>
  <c r="B2" i="4"/>
  <c r="B3" i="4"/>
  <c r="Y76" i="2" l="1"/>
  <c r="AA76" i="2" s="1"/>
  <c r="AC76" i="2" s="1"/>
  <c r="Y72" i="2" l="1"/>
  <c r="AA72" i="2" s="1"/>
  <c r="AC72" i="2" s="1"/>
  <c r="Y73" i="2"/>
  <c r="AA73" i="2" s="1"/>
  <c r="AC73" i="2" s="1"/>
  <c r="Y75" i="2"/>
  <c r="AA75" i="2" s="1"/>
  <c r="AC75" i="2" s="1"/>
  <c r="Y71" i="2"/>
  <c r="AA71" i="2" s="1"/>
  <c r="AC71" i="2" s="1"/>
  <c r="Y74" i="2"/>
  <c r="AA74" i="2" s="1"/>
  <c r="AC74" i="2" s="1"/>
  <c r="AC12" i="2"/>
  <c r="B5" i="4"/>
  <c r="Y11" i="2"/>
  <c r="AA11" i="2" s="1"/>
  <c r="AC11" i="2" s="1"/>
  <c r="Y10" i="2"/>
  <c r="AA10" i="2" l="1"/>
  <c r="Y70" i="2"/>
  <c r="AA70" i="2" s="1"/>
  <c r="Y732" i="2" l="1"/>
  <c r="AC10" i="2"/>
  <c r="AA732" i="2"/>
  <c r="AC70" i="2"/>
  <c r="AC73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V13" authorId="0" shapeId="0" xr:uid="{B2550E3F-12B7-4C8F-B324-50DD3E82312E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Deduct 109&amp;a H20 Beam - Bottom
Previous site walk done with TAS QS and Eng</t>
        </r>
      </text>
    </comment>
    <comment ref="I66" authorId="0" shapeId="0" xr:uid="{48307AF9-DEEB-419B-B9D8-C6B43FC5C08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Check this qty</t>
        </r>
      </text>
    </comment>
  </commentList>
</comments>
</file>

<file path=xl/sharedStrings.xml><?xml version="1.0" encoding="utf-8"?>
<sst xmlns="http://schemas.openxmlformats.org/spreadsheetml/2006/main" count="5377" uniqueCount="877">
  <si>
    <t>Length</t>
  </si>
  <si>
    <t>Width</t>
  </si>
  <si>
    <t>Height</t>
  </si>
  <si>
    <t>Tag No.</t>
  </si>
  <si>
    <t>HOC</t>
  </si>
  <si>
    <t>OHC</t>
  </si>
  <si>
    <t>Description</t>
  </si>
  <si>
    <t>Board  Lift</t>
  </si>
  <si>
    <t>Quantity</t>
  </si>
  <si>
    <t>Unit of Measure</t>
  </si>
  <si>
    <t>HOC Date</t>
  </si>
  <si>
    <t>OHC Date</t>
  </si>
  <si>
    <t>E&amp;D Rate per unit</t>
  </si>
  <si>
    <t>Billing Reference</t>
  </si>
  <si>
    <t>Remarks</t>
  </si>
  <si>
    <t>Client:</t>
  </si>
  <si>
    <t>Project Name:</t>
  </si>
  <si>
    <t>Contract Ref:</t>
  </si>
  <si>
    <t>Scaffold Type</t>
  </si>
  <si>
    <t>Invoice Schedule</t>
  </si>
  <si>
    <t>Application No.:</t>
  </si>
  <si>
    <t>Site:</t>
  </si>
  <si>
    <t>Number</t>
  </si>
  <si>
    <t>Erect Charges</t>
  </si>
  <si>
    <t>Dismantle Charges</t>
  </si>
  <si>
    <t>Hire Charges</t>
  </si>
  <si>
    <t>Total Amount</t>
  </si>
  <si>
    <t>Dismantle %</t>
  </si>
  <si>
    <t>Erection %</t>
  </si>
  <si>
    <t>Hire %</t>
  </si>
  <si>
    <t>DTS</t>
  </si>
  <si>
    <t>Date</t>
  </si>
  <si>
    <t>Scaffolder</t>
  </si>
  <si>
    <t>Foreman</t>
  </si>
  <si>
    <t>Total</t>
  </si>
  <si>
    <t>PAYMENT APPLICATION SUMMARY</t>
  </si>
  <si>
    <t>Application Date</t>
  </si>
  <si>
    <t>Day Works</t>
  </si>
  <si>
    <t>Hire Rate per week</t>
  </si>
  <si>
    <t>As Of:</t>
  </si>
  <si>
    <t>Modification Hours</t>
  </si>
  <si>
    <t>Net</t>
  </si>
  <si>
    <t>Previous</t>
  </si>
  <si>
    <t>Cumulative</t>
  </si>
  <si>
    <t>Application No.</t>
  </si>
  <si>
    <t>Works Carried Out</t>
  </si>
  <si>
    <t>L</t>
  </si>
  <si>
    <t>W</t>
  </si>
  <si>
    <t>H</t>
  </si>
  <si>
    <t>BL</t>
  </si>
  <si>
    <t>Item Price</t>
  </si>
  <si>
    <t>Period (Wks)</t>
  </si>
  <si>
    <t>Extra Hire per Week</t>
  </si>
  <si>
    <t>Reference</t>
  </si>
  <si>
    <t>SCOPE OF WORKS &amp; ADDITIONAL WORKS RATES</t>
  </si>
  <si>
    <t>Order Reference:</t>
  </si>
  <si>
    <t>unit</t>
  </si>
  <si>
    <t>Khansaheb Civil Engineering LLC</t>
  </si>
  <si>
    <t>Khansaheb Civil Engineering L.L.C.</t>
  </si>
  <si>
    <t>PO Box - 2716</t>
  </si>
  <si>
    <t>Period As on</t>
  </si>
  <si>
    <t>Dubai</t>
  </si>
  <si>
    <t>Type</t>
  </si>
  <si>
    <t>Scaffolding Services</t>
  </si>
  <si>
    <t>United Arab Emirates</t>
  </si>
  <si>
    <t xml:space="preserve">Our Bankers </t>
  </si>
  <si>
    <t>Bank Of Sharjah</t>
  </si>
  <si>
    <t>Tel : 971 04 605 7200</t>
  </si>
  <si>
    <t>Fax : 971 04 285 7539</t>
  </si>
  <si>
    <t>Account  No.</t>
  </si>
  <si>
    <t>013 06 278065 01</t>
  </si>
  <si>
    <t>Previous Invoiced (AED)</t>
  </si>
  <si>
    <t>This Application Value (AED)</t>
  </si>
  <si>
    <t>Total Invoiced Net To Date (AED)</t>
  </si>
  <si>
    <t>Scope Of Work</t>
  </si>
  <si>
    <t>(for Client use only)</t>
  </si>
  <si>
    <t>Technical Access Services LLC</t>
  </si>
  <si>
    <t>The above amount is not inclusive of VAT</t>
  </si>
  <si>
    <t>1b</t>
  </si>
  <si>
    <t>Dayworks</t>
  </si>
  <si>
    <t>Hrs</t>
  </si>
  <si>
    <t>Level-28/29 Block &amp; Glass Work</t>
  </si>
  <si>
    <t>Founding Level</t>
  </si>
  <si>
    <t>Tas Quote-2439-4-3 rev1</t>
  </si>
  <si>
    <t>Level 28-29</t>
  </si>
  <si>
    <t>201A22002/49</t>
  </si>
  <si>
    <t xml:space="preserve">Dorchester Hotel &amp; Residences (Completion Works)  </t>
  </si>
  <si>
    <t>As On Date:</t>
  </si>
  <si>
    <t>Location</t>
  </si>
  <si>
    <t>E11/K149/SK/dm/213</t>
  </si>
  <si>
    <t>E11/K149/SK/dm/216</t>
  </si>
  <si>
    <t>E11/K149/SK/dm/238</t>
  </si>
  <si>
    <t>E11/K149/SK/dm/239</t>
  </si>
  <si>
    <t>E11/K149/SK/dm/256</t>
  </si>
  <si>
    <t>E11/K149/SK/dm/257</t>
  </si>
  <si>
    <t>E11/K149/SK/dm/259</t>
  </si>
  <si>
    <t>HOTEL</t>
  </si>
  <si>
    <t>RESIDENCE</t>
  </si>
  <si>
    <t xml:space="preserve"> Design-1399-02 rev-D</t>
  </si>
  <si>
    <t>Hire Weeks</t>
  </si>
  <si>
    <t>Hire of Aluminium Tower</t>
  </si>
  <si>
    <t>NA</t>
  </si>
  <si>
    <t xml:space="preserve">TAS/HIRE/4969/SM </t>
  </si>
  <si>
    <t>Rate Card Ref</t>
  </si>
  <si>
    <t>Order Reference</t>
  </si>
  <si>
    <r>
      <rPr>
        <b/>
        <sz val="8"/>
        <color rgb="FF000000"/>
        <rFont val="Arial"/>
        <family val="2"/>
      </rPr>
      <t>S</t>
    </r>
    <r>
      <rPr>
        <b/>
        <sz val="8"/>
        <color rgb="FF000000"/>
        <rFont val="Arial"/>
        <family val="2"/>
      </rPr>
      <t>c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f</t>
    </r>
    <r>
      <rPr>
        <b/>
        <sz val="8"/>
        <color rgb="FF000000"/>
        <rFont val="Arial"/>
        <family val="2"/>
      </rPr>
      <t>o</t>
    </r>
    <r>
      <rPr>
        <b/>
        <sz val="8"/>
        <color rgb="FF000000"/>
        <rFont val="Arial"/>
        <family val="2"/>
      </rPr>
      <t>l</t>
    </r>
    <r>
      <rPr>
        <b/>
        <sz val="8"/>
        <color rgb="FF000000"/>
        <rFont val="Arial"/>
        <family val="2"/>
      </rPr>
      <t>d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g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y</t>
    </r>
    <r>
      <rPr>
        <b/>
        <sz val="8"/>
        <color rgb="FF000000"/>
        <rFont val="Arial"/>
        <family val="2"/>
      </rPr>
      <t>p</t>
    </r>
    <r>
      <rPr>
        <b/>
        <sz val="8"/>
        <color rgb="FF000000"/>
        <rFont val="Arial"/>
        <family val="2"/>
      </rPr>
      <t>e</t>
    </r>
  </si>
  <si>
    <t>Fixed Duration</t>
  </si>
  <si>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m</t>
    </r>
  </si>
  <si>
    <r>
      <rPr>
        <b/>
        <sz val="8"/>
        <color rgb="FF000000"/>
        <rFont val="Arial"/>
        <family val="2"/>
      </rPr>
      <t>U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t</t>
    </r>
  </si>
  <si>
    <r>
      <rPr>
        <b/>
        <sz val="8"/>
        <color rgb="FF000000"/>
        <rFont val="Arial"/>
        <family val="2"/>
      </rPr>
      <t>R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t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I</t>
    </r>
    <r>
      <rPr>
        <b/>
        <sz val="8"/>
        <color rgb="FF000000"/>
        <rFont val="Arial"/>
        <family val="2"/>
      </rPr>
      <t>N</t>
    </r>
    <r>
      <rPr>
        <b/>
        <sz val="8"/>
        <color rgb="FF000000"/>
        <rFont val="Arial"/>
        <family val="2"/>
      </rPr>
      <t xml:space="preserve"> </t>
    </r>
    <r>
      <rPr>
        <b/>
        <sz val="8"/>
        <color rgb="FF000000"/>
        <rFont val="Arial"/>
        <family val="2"/>
      </rPr>
      <t>A</t>
    </r>
    <r>
      <rPr>
        <b/>
        <sz val="8"/>
        <color rgb="FF000000"/>
        <rFont val="Arial"/>
        <family val="2"/>
      </rPr>
      <t>E</t>
    </r>
    <r>
      <rPr>
        <b/>
        <sz val="8"/>
        <color rgb="FF000000"/>
        <rFont val="Arial"/>
        <family val="2"/>
      </rPr>
      <t>D</t>
    </r>
  </si>
  <si>
    <t>Static tower</t>
  </si>
  <si>
    <t>Erect &amp; Dismantle</t>
  </si>
  <si>
    <t>Rising Meter</t>
  </si>
  <si>
    <t>Mobile Tower</t>
  </si>
  <si>
    <t xml:space="preserve">Heavy duty tower </t>
  </si>
  <si>
    <t>Heavy duty tower</t>
  </si>
  <si>
    <t>Independent 1.2m wide</t>
  </si>
  <si>
    <t>M2 (LxH)</t>
  </si>
  <si>
    <t>Independent 1.8m wide</t>
  </si>
  <si>
    <t>Birdcage</t>
  </si>
  <si>
    <t>M3</t>
  </si>
  <si>
    <t>M3/Day</t>
  </si>
  <si>
    <t>Heavy duty birdcage</t>
  </si>
  <si>
    <t>Buttress</t>
  </si>
  <si>
    <t>Boarded lift</t>
  </si>
  <si>
    <t>M2 (LxW)</t>
  </si>
  <si>
    <t>Cantilever (0 &lt; 0.5m width)</t>
  </si>
  <si>
    <t>Cantilever (0.5 &gt; 1.2m width)</t>
  </si>
  <si>
    <t xml:space="preserve">Bridge </t>
  </si>
  <si>
    <t>Linear Meter</t>
  </si>
  <si>
    <t>Counterweight (Scaffold Tubes)</t>
  </si>
  <si>
    <t>Edge protection - A Frame Single</t>
  </si>
  <si>
    <t>Edge protection - A Frame double</t>
  </si>
  <si>
    <t>Edge Protection - Double</t>
  </si>
  <si>
    <t>Edge Protection - Double (Hilti)</t>
  </si>
  <si>
    <t>Netting supply - Beige Colour</t>
  </si>
  <si>
    <t>Supply only</t>
  </si>
  <si>
    <t>Netting install</t>
  </si>
  <si>
    <t>Staircase Supported by structure</t>
  </si>
  <si>
    <t>Staircase supported by Buttress</t>
  </si>
  <si>
    <t>Manpower - Scaffolder</t>
  </si>
  <si>
    <t>Hour</t>
  </si>
  <si>
    <t>Manpower - Foreman</t>
  </si>
  <si>
    <t>Aluminium Tower</t>
  </si>
  <si>
    <t>Set</t>
  </si>
  <si>
    <t>Design - TAS-1399-10A</t>
  </si>
  <si>
    <t>Lumpsum</t>
  </si>
  <si>
    <t>Design - TAS-1399-7</t>
  </si>
  <si>
    <t>Balcony Scaffold - Type1</t>
  </si>
  <si>
    <t>Balcony Scaffold - Type2</t>
  </si>
  <si>
    <t>Balcony Scaffold - Type3</t>
  </si>
  <si>
    <t>Balcony Scaffold - Type4</t>
  </si>
  <si>
    <t>Balcony Scaffold - Type5</t>
  </si>
  <si>
    <t>Balcony Scaffold - Type6</t>
  </si>
  <si>
    <t>Balcony Scaffold - Type7</t>
  </si>
  <si>
    <t>Design - TAS-1399-02D</t>
  </si>
  <si>
    <t>Design - TAS-1399-06B</t>
  </si>
  <si>
    <t>CONTRACT - 201A22002/49</t>
  </si>
  <si>
    <t>Contract Scope - Progressive Billing</t>
  </si>
  <si>
    <t>Level 30</t>
  </si>
  <si>
    <t>m2-LxW</t>
  </si>
  <si>
    <t>1f</t>
  </si>
  <si>
    <t>Glass Channel Fixing</t>
  </si>
  <si>
    <t>Level 29</t>
  </si>
  <si>
    <t>1h</t>
  </si>
  <si>
    <t>1i</t>
  </si>
  <si>
    <t>1j</t>
  </si>
  <si>
    <t>1k</t>
  </si>
  <si>
    <t>1l</t>
  </si>
  <si>
    <t>Attn: Mr. Saman Kulasooriya</t>
  </si>
  <si>
    <t>Dorchester Hotel &amp; Residences (Completion Works)  - 201A22002/49</t>
  </si>
  <si>
    <t>Contract Ref 201A22002/49</t>
  </si>
  <si>
    <t xml:space="preserve">PAYMENT APPLICATION </t>
  </si>
  <si>
    <t>Previous Amount</t>
  </si>
  <si>
    <t>Net Amount</t>
  </si>
  <si>
    <t>2a</t>
  </si>
  <si>
    <t>Additional Boarding</t>
  </si>
  <si>
    <t>2b</t>
  </si>
  <si>
    <t>Colum G-3  Painting Works</t>
  </si>
  <si>
    <t>2c</t>
  </si>
  <si>
    <t>Colum F-3  Painting Works</t>
  </si>
  <si>
    <t>2d</t>
  </si>
  <si>
    <t>Colum D-3  Painting Works</t>
  </si>
  <si>
    <t>3a</t>
  </si>
  <si>
    <t>Colum D-2  Painting Works</t>
  </si>
  <si>
    <t>3b</t>
  </si>
  <si>
    <t>Colum F-G/2  Painting Works</t>
  </si>
  <si>
    <t>EIFS Removel &amp; Reinstate Works</t>
  </si>
  <si>
    <t>Ramp</t>
  </si>
  <si>
    <t>Design-1399-07 rev-B</t>
  </si>
  <si>
    <t>Level 31</t>
  </si>
  <si>
    <t>Level -30 Lobby Room Shaft-09</t>
  </si>
  <si>
    <t>Design -1399-10 rev-A</t>
  </si>
  <si>
    <t>Tas Quote - 2439-5-1</t>
  </si>
  <si>
    <t xml:space="preserve">Tas Quote - 2439-8-2 </t>
  </si>
  <si>
    <t>2e</t>
  </si>
  <si>
    <t>Level - 30 Balcony Side Glass frame work</t>
  </si>
  <si>
    <t>E11/K149/HN/dm/285</t>
  </si>
  <si>
    <t>Design-TAS-1399-12</t>
  </si>
  <si>
    <t>Loading Bay Above Planter Trench</t>
  </si>
  <si>
    <t>Ground Level</t>
  </si>
  <si>
    <t>Design -1399-12 rev-A</t>
  </si>
  <si>
    <t>Tas Quote - 2439-10-1</t>
  </si>
  <si>
    <t>Level -4 Planter Box Soil Filling</t>
  </si>
  <si>
    <t>Level 4</t>
  </si>
  <si>
    <t>Independent</t>
  </si>
  <si>
    <t>m2-LxH</t>
  </si>
  <si>
    <t>8h</t>
  </si>
  <si>
    <t>Pool Area Glass work</t>
  </si>
  <si>
    <t>Level 26</t>
  </si>
  <si>
    <t>8i</t>
  </si>
  <si>
    <t>Level -30 Glass Frame work</t>
  </si>
  <si>
    <t>Hire per Week</t>
  </si>
  <si>
    <t>8j</t>
  </si>
  <si>
    <t>Level -30 Shaft Mep Services</t>
  </si>
  <si>
    <t>Pool Plant Room (KMEP Work)</t>
  </si>
  <si>
    <t>Level 3</t>
  </si>
  <si>
    <t>Colum Nut bolt Installation</t>
  </si>
  <si>
    <t>KMEP</t>
  </si>
  <si>
    <t>Shaft -6 Kmep Duct Extension</t>
  </si>
  <si>
    <t>Tower</t>
  </si>
  <si>
    <t>rm</t>
  </si>
  <si>
    <t>Level -2 Retail Unit 34 For (Kmep)</t>
  </si>
  <si>
    <t>Level 2</t>
  </si>
  <si>
    <t>m3</t>
  </si>
  <si>
    <t>Basement 1 (Kmep work)</t>
  </si>
  <si>
    <t>Basement 1</t>
  </si>
  <si>
    <t>Staircase -4 For Water coring tank work</t>
  </si>
  <si>
    <t>19a</t>
  </si>
  <si>
    <t>16a</t>
  </si>
  <si>
    <t>Second Lift Duct Extension work</t>
  </si>
  <si>
    <t>1n</t>
  </si>
  <si>
    <t>Fire Fifhting Sprinkler Work</t>
  </si>
  <si>
    <t>8k</t>
  </si>
  <si>
    <t>Mockup For Bracket Fixing</t>
  </si>
  <si>
    <t>Level 6</t>
  </si>
  <si>
    <t>2g</t>
  </si>
  <si>
    <t>2f</t>
  </si>
  <si>
    <t>Glass Fixing work</t>
  </si>
  <si>
    <t>E11/K149/SK/dm/365</t>
  </si>
  <si>
    <t xml:space="preserve">EIFS Fixing Work </t>
  </si>
  <si>
    <t>Level 23</t>
  </si>
  <si>
    <t>30a</t>
  </si>
  <si>
    <t>Tas Quote - 2439-14-1 (item-1)</t>
  </si>
  <si>
    <t>Tas Quote - 2439-14-1 (item-2)</t>
  </si>
  <si>
    <t>E11/K149/SK/dm/350</t>
  </si>
  <si>
    <t>Design-TAS-1399-14</t>
  </si>
  <si>
    <t>Above Air Extract trench Loading Bay</t>
  </si>
  <si>
    <t>Design 1399-14</t>
  </si>
  <si>
    <t>Tas Quote - 2439-13-1</t>
  </si>
  <si>
    <t>Hotel Side Block Work</t>
  </si>
  <si>
    <t>Level 14</t>
  </si>
  <si>
    <t>Canal Side wall Cladding opening Work</t>
  </si>
  <si>
    <t>Plant Room Façade Fin Supporting work</t>
  </si>
  <si>
    <t>Level 5</t>
  </si>
  <si>
    <t>Plant Room For AC Duct Work</t>
  </si>
  <si>
    <t>Air Extract Gratting Installation</t>
  </si>
  <si>
    <t>4a</t>
  </si>
  <si>
    <t>E11/K149/SK/dm/300</t>
  </si>
  <si>
    <t>Design-Tas-1399-13A</t>
  </si>
  <si>
    <t>Cradle Beam Support</t>
  </si>
  <si>
    <t>Roof</t>
  </si>
  <si>
    <t>Design 1399-13 rev-A</t>
  </si>
  <si>
    <t>Tas Quote - 2439-11-2</t>
  </si>
  <si>
    <t>Cradle Beam Support (Re-erction)</t>
  </si>
  <si>
    <t>Planter Drain Connection (mep)</t>
  </si>
  <si>
    <t>Planter Room Fin Supportting work</t>
  </si>
  <si>
    <t>3c</t>
  </si>
  <si>
    <t>8a</t>
  </si>
  <si>
    <t>3d</t>
  </si>
  <si>
    <t>Plant Room For Kmep Work</t>
  </si>
  <si>
    <t>8b</t>
  </si>
  <si>
    <t>8c</t>
  </si>
  <si>
    <t>E11/K149/SK/dm/341</t>
  </si>
  <si>
    <t>Level 13</t>
  </si>
  <si>
    <t>Balcony Floor Drain Work</t>
  </si>
  <si>
    <t>Level 12</t>
  </si>
  <si>
    <t>Tas Quote - 2439-12-2 (item-2)</t>
  </si>
  <si>
    <t>Level 15</t>
  </si>
  <si>
    <t>10a</t>
  </si>
  <si>
    <t xml:space="preserve">Trench Inside for Parapet Cutting </t>
  </si>
  <si>
    <t>Inverted Scaffold</t>
  </si>
  <si>
    <t>Tas Quote - 2439-6-1</t>
  </si>
  <si>
    <t>lm</t>
  </si>
  <si>
    <t>15a</t>
  </si>
  <si>
    <t>EIFS work Damac side Elevation</t>
  </si>
  <si>
    <t>Level  2</t>
  </si>
  <si>
    <t>16b</t>
  </si>
  <si>
    <t>9a</t>
  </si>
  <si>
    <t>Plant Room Kmep Work</t>
  </si>
  <si>
    <t>9b</t>
  </si>
  <si>
    <t>17a</t>
  </si>
  <si>
    <t>4d</t>
  </si>
  <si>
    <t xml:space="preserve">EIFS work  </t>
  </si>
  <si>
    <t>Ground Level to Level 2</t>
  </si>
  <si>
    <t xml:space="preserve"> </t>
  </si>
  <si>
    <t>Additional Inspection</t>
  </si>
  <si>
    <t>Third Party Inspection ( Additional)</t>
  </si>
  <si>
    <t>Design 1399 -06 rev-B</t>
  </si>
  <si>
    <t>E11/K149/MS/dm/396</t>
  </si>
  <si>
    <t>Master Pump Room Work</t>
  </si>
  <si>
    <t>Tas Quote - 2439-18-1 (item-1)</t>
  </si>
  <si>
    <t>8m</t>
  </si>
  <si>
    <t>8n</t>
  </si>
  <si>
    <t>Level 7</t>
  </si>
  <si>
    <t>Entrance Lobby Block Demolishing Work</t>
  </si>
  <si>
    <t>Existing Pipe Removal Work</t>
  </si>
  <si>
    <t>Edge Protection</t>
  </si>
  <si>
    <t>Double Handrail</t>
  </si>
  <si>
    <t>8o</t>
  </si>
  <si>
    <t>Block Demolishing Work</t>
  </si>
  <si>
    <t>41a</t>
  </si>
  <si>
    <t>38a</t>
  </si>
  <si>
    <t>39a</t>
  </si>
  <si>
    <t>32a</t>
  </si>
  <si>
    <t>Block Work</t>
  </si>
  <si>
    <t>4i</t>
  </si>
  <si>
    <t>EIFS Painting up to Groove</t>
  </si>
  <si>
    <t>Back Propping For Mast Climber</t>
  </si>
  <si>
    <t>Design - 1399-20</t>
  </si>
  <si>
    <t>32b</t>
  </si>
  <si>
    <t>Block Shifting Work</t>
  </si>
  <si>
    <t>19b</t>
  </si>
  <si>
    <t>19c</t>
  </si>
  <si>
    <t>Electrical &amp; Plumbing Work</t>
  </si>
  <si>
    <t>Column Cove Installation Work</t>
  </si>
  <si>
    <t>Electrical Service Work (BMS)</t>
  </si>
  <si>
    <t>8p</t>
  </si>
  <si>
    <t>8q</t>
  </si>
  <si>
    <t>38b</t>
  </si>
  <si>
    <t>Entrance Lobby Block Work</t>
  </si>
  <si>
    <t>38c</t>
  </si>
  <si>
    <t>19d</t>
  </si>
  <si>
    <t>Shaft - 9 Ducting Work</t>
  </si>
  <si>
    <t>Shaft -9 For Ducting Work</t>
  </si>
  <si>
    <t>Balcony Side Edge Protection</t>
  </si>
  <si>
    <t>Level 27</t>
  </si>
  <si>
    <t>53a</t>
  </si>
  <si>
    <t>Balustrade Glass Edge Protection</t>
  </si>
  <si>
    <t>Tripple Hnadrail</t>
  </si>
  <si>
    <t>46a</t>
  </si>
  <si>
    <t>Electrical Services Work</t>
  </si>
  <si>
    <t>38d</t>
  </si>
  <si>
    <t>38e</t>
  </si>
  <si>
    <t>Cable Tray Removal Work</t>
  </si>
  <si>
    <t>8r</t>
  </si>
  <si>
    <t>Level 25</t>
  </si>
  <si>
    <t>60a</t>
  </si>
  <si>
    <t>E11/K149/PK/dm/400</t>
  </si>
  <si>
    <t>Design-Tas-1399-22</t>
  </si>
  <si>
    <t>OME Corridoor Mep Work</t>
  </si>
  <si>
    <t xml:space="preserve">Ground Level </t>
  </si>
  <si>
    <t>Design - 1399-22</t>
  </si>
  <si>
    <t>Prorate Tas Quote - 2439-19-1</t>
  </si>
  <si>
    <t>Design - 1399-24</t>
  </si>
  <si>
    <t>Basement 2</t>
  </si>
  <si>
    <t>19e</t>
  </si>
  <si>
    <t>19f</t>
  </si>
  <si>
    <t>(BW-0754)</t>
  </si>
  <si>
    <t>Entrance Area Glass Work</t>
  </si>
  <si>
    <t>(Glass Line - BW-002)</t>
  </si>
  <si>
    <t>Staircase  - Electrical Work</t>
  </si>
  <si>
    <t>Level 2 to 3</t>
  </si>
  <si>
    <t>68a</t>
  </si>
  <si>
    <t xml:space="preserve">Electrical Service Work </t>
  </si>
  <si>
    <t>Design - 1399-20E</t>
  </si>
  <si>
    <t>Entrance Storage room (KMEP)</t>
  </si>
  <si>
    <t>BOH Corridor Block Work</t>
  </si>
  <si>
    <t>Lift Lobby Fire Curtain Work</t>
  </si>
  <si>
    <t>BOH Corridor Shaft Block Work</t>
  </si>
  <si>
    <t>Cable Pulling Work</t>
  </si>
  <si>
    <t>Chill Water Pipe For (KMEP)</t>
  </si>
  <si>
    <t>Lift 3 Gypsum Work</t>
  </si>
  <si>
    <t>79a</t>
  </si>
  <si>
    <t>19g</t>
  </si>
  <si>
    <t>Shaft 9 Duct Fixing Work</t>
  </si>
  <si>
    <t>Ceiling Opening and Closing for (KMEP)</t>
  </si>
  <si>
    <t>Duct Fixing Work</t>
  </si>
  <si>
    <t>Lift Lobby Glass Line Work</t>
  </si>
  <si>
    <t>BOH Corridor Lift 1&amp;2 Wall Finishing Work</t>
  </si>
  <si>
    <t>89a</t>
  </si>
  <si>
    <t>61a</t>
  </si>
  <si>
    <t>Corridor KMEP Work</t>
  </si>
  <si>
    <t>Staircase 7 For Electrical Work</t>
  </si>
  <si>
    <t>Canal Side Column Cove Work</t>
  </si>
  <si>
    <t>21a</t>
  </si>
  <si>
    <t>Canal Side for Wall Cutting Work</t>
  </si>
  <si>
    <t>12a</t>
  </si>
  <si>
    <t>Balcony Side Grc Removel &amp; Pipe Connection</t>
  </si>
  <si>
    <t>11a</t>
  </si>
  <si>
    <t>Balcony Side Grc Work</t>
  </si>
  <si>
    <t>14a</t>
  </si>
  <si>
    <t>Balcony Side RFI-130</t>
  </si>
  <si>
    <t>EIFS &amp; Wall Finishing Work</t>
  </si>
  <si>
    <t>25a</t>
  </si>
  <si>
    <t>Plant Room For CHW Pipe</t>
  </si>
  <si>
    <t>26a</t>
  </si>
  <si>
    <t>26b</t>
  </si>
  <si>
    <t xml:space="preserve">Bond Ceiling Work </t>
  </si>
  <si>
    <t>31a</t>
  </si>
  <si>
    <t>Level 18 to 20</t>
  </si>
  <si>
    <t>Tas Quote - 2439-12-2 (item-1)</t>
  </si>
  <si>
    <t>13a</t>
  </si>
  <si>
    <t>Balcony Side Grc Removel &amp; Ceiling Board Work</t>
  </si>
  <si>
    <t>21b</t>
  </si>
  <si>
    <t>10b</t>
  </si>
  <si>
    <t>Design 1399 -23</t>
  </si>
  <si>
    <t>31b</t>
  </si>
  <si>
    <t>Single Handrail</t>
  </si>
  <si>
    <t>Chill Water line Pipe For Water Proof</t>
  </si>
  <si>
    <t>25b</t>
  </si>
  <si>
    <t>25c</t>
  </si>
  <si>
    <t>Ramp Area GRC Pannel Fixing Work</t>
  </si>
  <si>
    <t>Design 1399-21</t>
  </si>
  <si>
    <t>43&amp;43a</t>
  </si>
  <si>
    <t>E11/K149/PK/dm/378</t>
  </si>
  <si>
    <t>Design -Tas-1399-21</t>
  </si>
  <si>
    <t>Duct Fixing Work (KMEP)</t>
  </si>
  <si>
    <t>GRC Divider Removel</t>
  </si>
  <si>
    <t>48a</t>
  </si>
  <si>
    <t>Netting Supply &amp; Install</t>
  </si>
  <si>
    <t>36a</t>
  </si>
  <si>
    <t>36b</t>
  </si>
  <si>
    <t>Wall Cutting Work</t>
  </si>
  <si>
    <t>Design 1399-26</t>
  </si>
  <si>
    <t>49a</t>
  </si>
  <si>
    <t>E11/K149/JA/dm/429</t>
  </si>
  <si>
    <t xml:space="preserve">Balcony Access </t>
  </si>
  <si>
    <t>Level 20</t>
  </si>
  <si>
    <t>Tas Quote -2439-20-1 (item#7)</t>
  </si>
  <si>
    <t>52a</t>
  </si>
  <si>
    <t>Level 21</t>
  </si>
  <si>
    <t>13b</t>
  </si>
  <si>
    <t>25d</t>
  </si>
  <si>
    <t>Wall Finishing Work</t>
  </si>
  <si>
    <t>51a</t>
  </si>
  <si>
    <t>43b&amp;43c</t>
  </si>
  <si>
    <t>Tas Quote - 2439-15-1 (item-1 Prorate)</t>
  </si>
  <si>
    <t>Plant Room For Duct Work</t>
  </si>
  <si>
    <t>Level 10</t>
  </si>
  <si>
    <t>Tas Quote -2439-20-1 (item#2)</t>
  </si>
  <si>
    <t>54a</t>
  </si>
  <si>
    <t>55a</t>
  </si>
  <si>
    <t>36c</t>
  </si>
  <si>
    <t xml:space="preserve">Level 18 </t>
  </si>
  <si>
    <t>Tas Quote -2439-20-1 (item#4)</t>
  </si>
  <si>
    <t>56a</t>
  </si>
  <si>
    <t>Level 18</t>
  </si>
  <si>
    <t>Tas Quote -2439-20-1 (item#6)</t>
  </si>
  <si>
    <t>57a</t>
  </si>
  <si>
    <t>Tas Quote -2439-20-1 (item#1)</t>
  </si>
  <si>
    <t>58a</t>
  </si>
  <si>
    <t>Tas Quote -2439-20-1 (item#3)</t>
  </si>
  <si>
    <t>59a</t>
  </si>
  <si>
    <t>25e</t>
  </si>
  <si>
    <t>1o</t>
  </si>
  <si>
    <t>Drainge Pipe Connection</t>
  </si>
  <si>
    <t>8s</t>
  </si>
  <si>
    <t>Lift Lobby Block Shifting Work</t>
  </si>
  <si>
    <t>87a</t>
  </si>
  <si>
    <t>90a</t>
  </si>
  <si>
    <t>BOH Corridor For Chill Pipe (KMEP)</t>
  </si>
  <si>
    <t>Balcony Side Glass Installation</t>
  </si>
  <si>
    <t>Level 1</t>
  </si>
  <si>
    <t>94a</t>
  </si>
  <si>
    <t>94b</t>
  </si>
  <si>
    <t>94c</t>
  </si>
  <si>
    <t>Canal Side For Ceiling Work (KMEP- BW 0804)</t>
  </si>
  <si>
    <t>KCE Site Office area Chill Water Pipe (KMEP-BW 767)</t>
  </si>
  <si>
    <t>Shaft Water Meter Room For (KMEP-BW 797)</t>
  </si>
  <si>
    <t>Pump Room For Water Master (BW 024)</t>
  </si>
  <si>
    <t>92a</t>
  </si>
  <si>
    <t>Road Side Access For Glass Fixing</t>
  </si>
  <si>
    <t>Canal Side For Excavation Access</t>
  </si>
  <si>
    <t>72a</t>
  </si>
  <si>
    <t>Lift Lobby For Fire Curtain Work</t>
  </si>
  <si>
    <t>8t</t>
  </si>
  <si>
    <t>1,271.00</t>
  </si>
  <si>
    <t>E11/K149/JJ/dm/377</t>
  </si>
  <si>
    <t>Design -Tas-1399-20a</t>
  </si>
  <si>
    <t>Tas Quote 2439-16-3 (item-1)</t>
  </si>
  <si>
    <t>KMEP BW-829</t>
  </si>
  <si>
    <t>Planter Area For Water Tank Access</t>
  </si>
  <si>
    <t xml:space="preserve">Crane Extension Platform </t>
  </si>
  <si>
    <t>OME Office For Chill Water Pipe Work (KMEP BW-767)</t>
  </si>
  <si>
    <t>105a</t>
  </si>
  <si>
    <t>Ramp Area For Wall Concret Work</t>
  </si>
  <si>
    <t>1r</t>
  </si>
  <si>
    <t>Canal Side For Glass Frame Installation</t>
  </si>
  <si>
    <t>1s</t>
  </si>
  <si>
    <t>Canal Side Glass Fixing Work</t>
  </si>
  <si>
    <t>Level 30 to 31</t>
  </si>
  <si>
    <t xml:space="preserve">KMEP BW </t>
  </si>
  <si>
    <t>110a</t>
  </si>
  <si>
    <t>110b</t>
  </si>
  <si>
    <t>8u</t>
  </si>
  <si>
    <t>Balcony For Access</t>
  </si>
  <si>
    <t>8v</t>
  </si>
  <si>
    <t>1t</t>
  </si>
  <si>
    <t>1v</t>
  </si>
  <si>
    <t>107a</t>
  </si>
  <si>
    <t>E11/K149/SK/dm/468</t>
  </si>
  <si>
    <t>111a</t>
  </si>
  <si>
    <t>House Keeping Lobby (KMEP BW-886)</t>
  </si>
  <si>
    <t>Staircase 3 (KMEP BW-886)</t>
  </si>
  <si>
    <t>113a</t>
  </si>
  <si>
    <t>Electrical Room  - (KMEP BW-882)</t>
  </si>
  <si>
    <t>Near Gate 1 For Wall Plaster</t>
  </si>
  <si>
    <t>E11/K149/MS/dm/497</t>
  </si>
  <si>
    <t xml:space="preserve">House Keeping Lobby Shaft Lobby </t>
  </si>
  <si>
    <t>Design 1399-31</t>
  </si>
  <si>
    <t>Tas Quote - 2439-21-1  (Item #2)</t>
  </si>
  <si>
    <t>Tas Quote - 2439-21-1  (Item #1)</t>
  </si>
  <si>
    <t>Tas Quote - 2439-23-1 (Item 3)</t>
  </si>
  <si>
    <t>Canal Side For Beam Drilling Work</t>
  </si>
  <si>
    <t>1w</t>
  </si>
  <si>
    <t>Canal Side For Glass Fixing Work</t>
  </si>
  <si>
    <t>Curtain Wall Glass Frame Work</t>
  </si>
  <si>
    <t>119a</t>
  </si>
  <si>
    <t>Near Gate 1 For Wall Concret Work</t>
  </si>
  <si>
    <t>Staircase 3 (KMEP BW-885)</t>
  </si>
  <si>
    <t>121a</t>
  </si>
  <si>
    <t>Electrical Work (BW -868)</t>
  </si>
  <si>
    <t>123a</t>
  </si>
  <si>
    <t>48b</t>
  </si>
  <si>
    <t>Level 22</t>
  </si>
  <si>
    <t>Tas Quote 2439-20-1 (Item #08)</t>
  </si>
  <si>
    <t>Electrical Service Work</t>
  </si>
  <si>
    <t>Level 17</t>
  </si>
  <si>
    <t>Tas Quote 2439-20-1 (Item #05)</t>
  </si>
  <si>
    <t>62a</t>
  </si>
  <si>
    <t>FAHU Oil Leakge (BW -783)</t>
  </si>
  <si>
    <t>62b</t>
  </si>
  <si>
    <t>57b</t>
  </si>
  <si>
    <t>Balcony Drain Pipe Work</t>
  </si>
  <si>
    <t>Level 19</t>
  </si>
  <si>
    <t>43d</t>
  </si>
  <si>
    <t>EIFS Work</t>
  </si>
  <si>
    <t>Plant Room For Wall Finishing Work</t>
  </si>
  <si>
    <t>64a</t>
  </si>
  <si>
    <t>EIFS Finishing Work (Hotel Behind Kitchen)</t>
  </si>
  <si>
    <t>EIFS Damac Side Elevation</t>
  </si>
  <si>
    <t>66a</t>
  </si>
  <si>
    <t>66b</t>
  </si>
  <si>
    <t>Tas Quote 2439-20-1 (Item #10)</t>
  </si>
  <si>
    <t>67a</t>
  </si>
  <si>
    <t>Canal Side Balcony For Grc Work</t>
  </si>
  <si>
    <t>Level 24</t>
  </si>
  <si>
    <t>43e</t>
  </si>
  <si>
    <t>Ramp Area For Wall Plaster Work</t>
  </si>
  <si>
    <t>E11/K149/SK/SR/517</t>
  </si>
  <si>
    <t>Design - Tas-1399-35b</t>
  </si>
  <si>
    <t>Balcony Ceiling Work</t>
  </si>
  <si>
    <t>Design 1399-35b</t>
  </si>
  <si>
    <t>Electrical Work  For (KMEP - BW917)</t>
  </si>
  <si>
    <t>71&amp;71a</t>
  </si>
  <si>
    <t>Level 9</t>
  </si>
  <si>
    <t>Tas Quote 2439-25-1 (item#5)</t>
  </si>
  <si>
    <t>72&amp;72a</t>
  </si>
  <si>
    <t>73&amp;73a</t>
  </si>
  <si>
    <t>Level 11</t>
  </si>
  <si>
    <t>74&amp;74a</t>
  </si>
  <si>
    <t>Staircase 7 For (KMEP - BW 793)</t>
  </si>
  <si>
    <t>76&amp;76a</t>
  </si>
  <si>
    <t>70b</t>
  </si>
  <si>
    <t>Electrical Work (KMEP - BW 917)</t>
  </si>
  <si>
    <t>70c</t>
  </si>
  <si>
    <t>Entrance Area (KMEP - BW 917)</t>
  </si>
  <si>
    <t>51b</t>
  </si>
  <si>
    <t>78&amp;78a</t>
  </si>
  <si>
    <t>KMEP - BW 858</t>
  </si>
  <si>
    <t>LPG Tank For Wall Plaster Work</t>
  </si>
  <si>
    <t>Shaft For (KMEP - BW 892)</t>
  </si>
  <si>
    <t>Mechanical Work (KMEP - BW 887)</t>
  </si>
  <si>
    <t>128a</t>
  </si>
  <si>
    <t>Ramp Area For Access</t>
  </si>
  <si>
    <t>130&amp;130a</t>
  </si>
  <si>
    <t>123b</t>
  </si>
  <si>
    <t>Corridor For Electrical Work (BW - 868)</t>
  </si>
  <si>
    <t>123c</t>
  </si>
  <si>
    <t>Over Head Protection</t>
  </si>
  <si>
    <t>Design -Tas-1399-30&amp;31</t>
  </si>
  <si>
    <t>132a</t>
  </si>
  <si>
    <t>Water Pool Glass Lifting Work</t>
  </si>
  <si>
    <t>Design 1399-30</t>
  </si>
  <si>
    <t>Tas Quote 2439-23-1 (Item #02)</t>
  </si>
  <si>
    <t>Electrical Work (KMEP - BW 893)</t>
  </si>
  <si>
    <t>133a</t>
  </si>
  <si>
    <t>128b</t>
  </si>
  <si>
    <t>139&amp;139a</t>
  </si>
  <si>
    <t>Design 1399 - 35b</t>
  </si>
  <si>
    <t>44a</t>
  </si>
  <si>
    <t>EIFS Wall Finishing Work</t>
  </si>
  <si>
    <t>45a</t>
  </si>
  <si>
    <t>Planter Access</t>
  </si>
  <si>
    <t>Staircase Edge Protection</t>
  </si>
  <si>
    <t>128c</t>
  </si>
  <si>
    <t>KMEP - BW 797</t>
  </si>
  <si>
    <t>141&amp;141a</t>
  </si>
  <si>
    <t>142&amp;142a</t>
  </si>
  <si>
    <t>Beam Drilling Work</t>
  </si>
  <si>
    <t>E11/K149/SK/dm/480</t>
  </si>
  <si>
    <t>Design - Tas- 1399-25a</t>
  </si>
  <si>
    <t>Shaft 9 Slab Concrete</t>
  </si>
  <si>
    <t>Design 1399 - 25a</t>
  </si>
  <si>
    <t>Tas Quote 2439-22-1 (Item # 1)</t>
  </si>
  <si>
    <t>136b</t>
  </si>
  <si>
    <t>136c</t>
  </si>
  <si>
    <t>136d</t>
  </si>
  <si>
    <t>123d</t>
  </si>
  <si>
    <t>GRC Panel Work</t>
  </si>
  <si>
    <t>68b</t>
  </si>
  <si>
    <t>Electrical Work (KMEP - BW 754)</t>
  </si>
  <si>
    <t>Near KCE Office For Access</t>
  </si>
  <si>
    <t>E11/K149/SK/SR/503</t>
  </si>
  <si>
    <t>Design - Tas - 1399-29</t>
  </si>
  <si>
    <t>Block and EIFS Work</t>
  </si>
  <si>
    <t>Level 10 to 17</t>
  </si>
  <si>
    <t>Design 1399 - 29</t>
  </si>
  <si>
    <t>Tas Quote 2439-24-1 (Item #4)</t>
  </si>
  <si>
    <t>8x</t>
  </si>
  <si>
    <t>Level 27/28</t>
  </si>
  <si>
    <t>8y</t>
  </si>
  <si>
    <t>70a</t>
  </si>
  <si>
    <t>136a</t>
  </si>
  <si>
    <t>136e</t>
  </si>
  <si>
    <t>ground Level</t>
  </si>
  <si>
    <t>136f</t>
  </si>
  <si>
    <t>150 Ext - a,b</t>
  </si>
  <si>
    <t>E11/K149/SK/SR/550</t>
  </si>
  <si>
    <t>E11/K149/SK/SR/560</t>
  </si>
  <si>
    <t>Item - 9,10,11,12</t>
  </si>
  <si>
    <t>Glass Work</t>
  </si>
  <si>
    <t>Design-1399-01 rev-G</t>
  </si>
  <si>
    <t>29 to 31</t>
  </si>
  <si>
    <t>1g</t>
  </si>
  <si>
    <t>1m</t>
  </si>
  <si>
    <t>8w</t>
  </si>
  <si>
    <t>1u</t>
  </si>
  <si>
    <t>H20 Beam - Bottom</t>
  </si>
  <si>
    <t>Hilti</t>
  </si>
  <si>
    <t>31to32</t>
  </si>
  <si>
    <t>Design-1399-03</t>
  </si>
  <si>
    <t>2h</t>
  </si>
  <si>
    <t>3f</t>
  </si>
  <si>
    <t>Sheeting-22</t>
  </si>
  <si>
    <t>Design-1399-04</t>
  </si>
  <si>
    <t>Level 26 to 31</t>
  </si>
  <si>
    <t>Sheeting</t>
  </si>
  <si>
    <t>Glass Lifting Frame</t>
  </si>
  <si>
    <t>8d</t>
  </si>
  <si>
    <t>8e</t>
  </si>
  <si>
    <t>8f</t>
  </si>
  <si>
    <t>8g</t>
  </si>
  <si>
    <t>1p</t>
  </si>
  <si>
    <t>1q</t>
  </si>
  <si>
    <t>Level 3 to 31</t>
  </si>
  <si>
    <t>8l</t>
  </si>
  <si>
    <t>Ceiling Work</t>
  </si>
  <si>
    <t>Design -1399-05</t>
  </si>
  <si>
    <t xml:space="preserve">Back Propping  </t>
  </si>
  <si>
    <t>Level 28</t>
  </si>
  <si>
    <t>Design - 1399-15</t>
  </si>
  <si>
    <t>Design -1399-16</t>
  </si>
  <si>
    <t>Canal side Balcony Back Propping</t>
  </si>
  <si>
    <t>Level 27 to 28</t>
  </si>
  <si>
    <t>Design -1399-28</t>
  </si>
  <si>
    <t>109&amp;a</t>
  </si>
  <si>
    <t>3e</t>
  </si>
  <si>
    <t>Canopy Work</t>
  </si>
  <si>
    <t>Design -1399 -19</t>
  </si>
  <si>
    <t>Level 31 to 32</t>
  </si>
  <si>
    <t>Tas Quote -2439-2-2 rev1</t>
  </si>
  <si>
    <t>Electrical Work (KMEP - BW 0948)</t>
  </si>
  <si>
    <t>154&amp;154a</t>
  </si>
  <si>
    <t>155&amp;155a</t>
  </si>
  <si>
    <t>156&amp;156a</t>
  </si>
  <si>
    <t xml:space="preserve">Mechanical  Work </t>
  </si>
  <si>
    <t>156b</t>
  </si>
  <si>
    <t>93a</t>
  </si>
  <si>
    <t>KMEP Work</t>
  </si>
  <si>
    <t>157a</t>
  </si>
  <si>
    <t>8z</t>
  </si>
  <si>
    <t>1399-37A</t>
  </si>
  <si>
    <t>158&amp;158a</t>
  </si>
  <si>
    <t>159&amp;159a</t>
  </si>
  <si>
    <t>160&amp;160a</t>
  </si>
  <si>
    <t>161a</t>
  </si>
  <si>
    <t>161b</t>
  </si>
  <si>
    <t>Door Frame Fixing Work</t>
  </si>
  <si>
    <t>162a</t>
  </si>
  <si>
    <t>KCE Office Area (KMEP - BW 934)</t>
  </si>
  <si>
    <t>164&amp;164a</t>
  </si>
  <si>
    <t>Entrance Area Frame Fixing Work</t>
  </si>
  <si>
    <t>Road Side Overhead Protection</t>
  </si>
  <si>
    <t>167&amp;167a</t>
  </si>
  <si>
    <t>168&amp;168a</t>
  </si>
  <si>
    <t>169&amp;169a</t>
  </si>
  <si>
    <t>150c</t>
  </si>
  <si>
    <t>171&amp;171a</t>
  </si>
  <si>
    <t>Glass Instalation Work</t>
  </si>
  <si>
    <t>172a</t>
  </si>
  <si>
    <t>172b</t>
  </si>
  <si>
    <t>173a</t>
  </si>
  <si>
    <t>173b</t>
  </si>
  <si>
    <t>124a</t>
  </si>
  <si>
    <t>Near Shaft 9 (KMEP - BW 0858)</t>
  </si>
  <si>
    <t>174a</t>
  </si>
  <si>
    <t>163a</t>
  </si>
  <si>
    <t>KCE Office Area  (KMEP - BW 934)</t>
  </si>
  <si>
    <t>163b</t>
  </si>
  <si>
    <t>175&amp;175a</t>
  </si>
  <si>
    <t>176&amp;176a</t>
  </si>
  <si>
    <t>Level 16</t>
  </si>
  <si>
    <t>Electrical KMEP-BW 948</t>
  </si>
  <si>
    <t>177a</t>
  </si>
  <si>
    <t>Shaft 9 KMEP-BW 0858</t>
  </si>
  <si>
    <t>178a</t>
  </si>
  <si>
    <t>163c</t>
  </si>
  <si>
    <t>KCE Office Area  (KMEP - BW 946)</t>
  </si>
  <si>
    <t>163d</t>
  </si>
  <si>
    <t>Electrical KMEP-BW 0987</t>
  </si>
  <si>
    <t>Electrical Work</t>
  </si>
  <si>
    <t>180a</t>
  </si>
  <si>
    <t>8A 1</t>
  </si>
  <si>
    <t>Electrical KMEP-BW 0972</t>
  </si>
  <si>
    <t>mechanical  Work BW 0972</t>
  </si>
  <si>
    <t>184a</t>
  </si>
  <si>
    <t>Road Side Access</t>
  </si>
  <si>
    <t>KCE Office Area Access</t>
  </si>
  <si>
    <t>independent</t>
  </si>
  <si>
    <t>8A2</t>
  </si>
  <si>
    <t>Electrical KMEP-BW 0917</t>
  </si>
  <si>
    <t>Wall Concrete Work</t>
  </si>
  <si>
    <t>80a</t>
  </si>
  <si>
    <t>Canopy EFIS Fixing Work</t>
  </si>
  <si>
    <t>82a</t>
  </si>
  <si>
    <t>E11/K149/SK/dm/553</t>
  </si>
  <si>
    <t>Parapet FIFS Plaster Work</t>
  </si>
  <si>
    <t>1399-38</t>
  </si>
  <si>
    <t>Canopy Instalation  Work</t>
  </si>
  <si>
    <t>84a</t>
  </si>
  <si>
    <t>85&amp;85a</t>
  </si>
  <si>
    <t>150d</t>
  </si>
  <si>
    <t>Access Scaffold</t>
  </si>
  <si>
    <t>84b</t>
  </si>
  <si>
    <t>84c</t>
  </si>
  <si>
    <t>84d</t>
  </si>
  <si>
    <t>EFIS Finshing Work</t>
  </si>
  <si>
    <t>86&amp;86a</t>
  </si>
  <si>
    <t>87&amp;87a</t>
  </si>
  <si>
    <t>Wall Painting Work</t>
  </si>
  <si>
    <t>basement 2</t>
  </si>
  <si>
    <t>88a</t>
  </si>
  <si>
    <t>88b</t>
  </si>
  <si>
    <t>88c</t>
  </si>
  <si>
    <t>basement 1</t>
  </si>
  <si>
    <t>88d</t>
  </si>
  <si>
    <t>88e</t>
  </si>
  <si>
    <t>88f</t>
  </si>
  <si>
    <t>93&amp;93a</t>
  </si>
  <si>
    <t>Electrical Work BW 0973</t>
  </si>
  <si>
    <t>97&amp;97a</t>
  </si>
  <si>
    <t>100&amp;100a</t>
  </si>
  <si>
    <t>102&amp;102a</t>
  </si>
  <si>
    <t>Generator Room AC Chiller Work</t>
  </si>
  <si>
    <t>187a</t>
  </si>
  <si>
    <t>187b</t>
  </si>
  <si>
    <t>188a</t>
  </si>
  <si>
    <t>Concrete Cutting Work</t>
  </si>
  <si>
    <t>1399-40</t>
  </si>
  <si>
    <t>E11/K149/SK/dm/598</t>
  </si>
  <si>
    <t>GlassFixing Work</t>
  </si>
  <si>
    <t>Electrical KMEP-BW 0934</t>
  </si>
  <si>
    <t>195a</t>
  </si>
  <si>
    <t>195b</t>
  </si>
  <si>
    <t>195c</t>
  </si>
  <si>
    <t>198&amp;198a</t>
  </si>
  <si>
    <t>Electrical KMEP-BW 1042</t>
  </si>
  <si>
    <t>E11/K149/SK/dm/595</t>
  </si>
  <si>
    <t>Loading Platform</t>
  </si>
  <si>
    <t>1399-41A</t>
  </si>
  <si>
    <t>105&amp;105a</t>
  </si>
  <si>
    <t>82b</t>
  </si>
  <si>
    <t>82c</t>
  </si>
  <si>
    <t>Wall Corring Work</t>
  </si>
  <si>
    <t>1399-42</t>
  </si>
  <si>
    <t>E11/K149/SK/dm/640</t>
  </si>
  <si>
    <t>Steel Column Lifting Work (1399-45a)</t>
  </si>
  <si>
    <t>Electrical KMEP-BW 1012</t>
  </si>
  <si>
    <t>80b</t>
  </si>
  <si>
    <t>Ceiling Work  KMEP-BW 1012</t>
  </si>
  <si>
    <t>43h</t>
  </si>
  <si>
    <t>Wall Plaster Work</t>
  </si>
  <si>
    <t>112a</t>
  </si>
  <si>
    <t>115a</t>
  </si>
  <si>
    <t>194a</t>
  </si>
  <si>
    <t>196&amp;196a</t>
  </si>
  <si>
    <t>197a</t>
  </si>
  <si>
    <t>EFIS Instalation Work</t>
  </si>
  <si>
    <t>199a</t>
  </si>
  <si>
    <t>150e</t>
  </si>
  <si>
    <t>E11/K149/MS/MV/564</t>
  </si>
  <si>
    <t>GRC Instalation Work</t>
  </si>
  <si>
    <t>1399-34b</t>
  </si>
  <si>
    <t>E11/K149/NA/dm/612</t>
  </si>
  <si>
    <t>1399-44</t>
  </si>
  <si>
    <t>Loading Bay Work</t>
  </si>
  <si>
    <t>Canopy Frame Instalation Work</t>
  </si>
  <si>
    <t>181a</t>
  </si>
  <si>
    <t>181b</t>
  </si>
  <si>
    <t>Column Finishing Work</t>
  </si>
  <si>
    <t>1399-21</t>
  </si>
  <si>
    <t>117a</t>
  </si>
  <si>
    <t>82d</t>
  </si>
  <si>
    <t>82e</t>
  </si>
  <si>
    <t>Electrical BOND MEP Work</t>
  </si>
  <si>
    <t>E11/K149/SK/SR/582</t>
  </si>
  <si>
    <t>121&amp;121a</t>
  </si>
  <si>
    <t>Lift Shaft RC Slab Extention Work</t>
  </si>
  <si>
    <t>1399-39</t>
  </si>
  <si>
    <t>2439-29-1 (Item-9)</t>
  </si>
  <si>
    <t>121b</t>
  </si>
  <si>
    <t>128&amp;128a</t>
  </si>
  <si>
    <t>2439-31-1 (Item-11)</t>
  </si>
  <si>
    <t>193&amp;193a</t>
  </si>
  <si>
    <t>189&amp;190</t>
  </si>
  <si>
    <t>75777&amp;78</t>
  </si>
  <si>
    <t>43f&amp;43g</t>
  </si>
  <si>
    <t>2439-30-1 Item--10)</t>
  </si>
  <si>
    <t>92&amp;92a</t>
  </si>
  <si>
    <t>KMEP Work BW-01036</t>
  </si>
  <si>
    <t>KMEP Work BW-01012</t>
  </si>
  <si>
    <t xml:space="preserve">KMEP Work </t>
  </si>
  <si>
    <t>Wall Repair Work</t>
  </si>
  <si>
    <t>129a</t>
  </si>
  <si>
    <t>131a</t>
  </si>
  <si>
    <t>132&amp;132a</t>
  </si>
  <si>
    <t>Electrical KMEP BW-0987</t>
  </si>
  <si>
    <t>Electrical KMEP BW-1042</t>
  </si>
  <si>
    <t>205a</t>
  </si>
  <si>
    <t>195d</t>
  </si>
  <si>
    <t>Electrical Work BW-0934</t>
  </si>
  <si>
    <t>195e</t>
  </si>
  <si>
    <t>195f</t>
  </si>
  <si>
    <t>195g</t>
  </si>
  <si>
    <t>207a</t>
  </si>
  <si>
    <t>Board Fixing Work</t>
  </si>
  <si>
    <t>216a</t>
  </si>
  <si>
    <t>216b</t>
  </si>
  <si>
    <t>216c</t>
  </si>
  <si>
    <t>216d</t>
  </si>
  <si>
    <t>216e</t>
  </si>
  <si>
    <t>218a</t>
  </si>
  <si>
    <t>218b</t>
  </si>
  <si>
    <t>221a</t>
  </si>
  <si>
    <t>78601&amp;80896</t>
  </si>
  <si>
    <t>BW-0026</t>
  </si>
  <si>
    <t>2439-26-1(Item-6)</t>
  </si>
  <si>
    <t>Prorate 2439-32-1 (Item-12)</t>
  </si>
  <si>
    <t>108 To 108e</t>
  </si>
  <si>
    <t xml:space="preserve">Tas Quote -2439-2-2 rev1 </t>
  </si>
  <si>
    <t>2439-30-1 Item--10), Charged under Tag 92&amp;92a</t>
  </si>
  <si>
    <t>E11/K149/SK/SR/585</t>
  </si>
  <si>
    <t>AL QUOZ METAL YARD</t>
  </si>
  <si>
    <t>KMEP Pipe Storage</t>
  </si>
  <si>
    <t>Frame</t>
  </si>
  <si>
    <t>Tas Quot 2671-1-1 (Item-1)</t>
  </si>
  <si>
    <t>Pipe Cutting Work</t>
  </si>
  <si>
    <t>Water Proofing Work</t>
  </si>
  <si>
    <t>Application # 5</t>
  </si>
  <si>
    <t>AED : Three Hundred Ninety-Two Thousand Three Hundred Forty-Nine and Eighteen Fils Only</t>
  </si>
  <si>
    <t>Variations</t>
  </si>
  <si>
    <t>Authorized Signatory</t>
  </si>
  <si>
    <t>Design - TAS-1399-39</t>
  </si>
  <si>
    <t>Temp. Rack</t>
  </si>
  <si>
    <t>*** From now on only 95% of Variations will paid until, OME approve the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</si>
</sst>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>
      <alignment vertical="top"/>
    </xf>
    <xf numFmtId="0" fontId="1" fillId="0" borderId="0"/>
    <xf numFmtId="0" fontId="4" fillId="0" borderId="0"/>
    <xf numFmtId="0" fontId="1" fillId="0" borderId="0"/>
    <xf numFmtId="43" fontId="1" fillId="0" borderId="0" applyFont="0" applyFill="0" applyBorder="0" applyAlignment="0" applyProtection="0"/>
  </cellStyleXfs>
  <cellXfs count="254">
    <xf numFmtId="0" fontId="0" fillId="0" borderId="0" xfId="0"/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0" fontId="5" fillId="0" borderId="2" xfId="2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wrapText="1"/>
    </xf>
    <xf numFmtId="0" fontId="5" fillId="0" borderId="9" xfId="4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14" fontId="7" fillId="0" borderId="2" xfId="1" applyNumberFormat="1" applyFont="1" applyFill="1" applyBorder="1" applyAlignment="1">
      <alignment horizontal="center" vertical="center"/>
    </xf>
    <xf numFmtId="9" fontId="7" fillId="0" borderId="2" xfId="6" applyFont="1" applyFill="1" applyBorder="1" applyAlignment="1">
      <alignment horizontal="center" vertical="center"/>
    </xf>
    <xf numFmtId="2" fontId="7" fillId="0" borderId="2" xfId="1" applyNumberFormat="1" applyFont="1" applyFill="1" applyBorder="1" applyAlignment="1">
      <alignment horizontal="center" vertical="center"/>
    </xf>
    <xf numFmtId="4" fontId="7" fillId="0" borderId="2" xfId="3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4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" fontId="5" fillId="0" borderId="0" xfId="0" applyNumberFormat="1" applyFont="1" applyAlignment="1">
      <alignment wrapText="1"/>
    </xf>
    <xf numFmtId="4" fontId="5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7" xfId="0" applyFont="1" applyBorder="1"/>
    <xf numFmtId="165" fontId="10" fillId="0" borderId="3" xfId="0" applyNumberFormat="1" applyFont="1" applyBorder="1"/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" fontId="10" fillId="0" borderId="5" xfId="0" applyNumberFormat="1" applyFont="1" applyBorder="1"/>
    <xf numFmtId="0" fontId="10" fillId="0" borderId="18" xfId="0" applyFont="1" applyBorder="1"/>
    <xf numFmtId="165" fontId="10" fillId="0" borderId="19" xfId="0" applyNumberFormat="1" applyFont="1" applyBorder="1"/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/>
    <xf numFmtId="0" fontId="10" fillId="0" borderId="19" xfId="0" applyFont="1" applyBorder="1"/>
    <xf numFmtId="0" fontId="10" fillId="0" borderId="20" xfId="0" applyFont="1" applyBorder="1"/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0" fillId="0" borderId="21" xfId="0" applyFont="1" applyBorder="1"/>
    <xf numFmtId="14" fontId="10" fillId="0" borderId="1" xfId="0" applyNumberFormat="1" applyFont="1" applyBorder="1"/>
    <xf numFmtId="4" fontId="10" fillId="0" borderId="1" xfId="0" applyNumberFormat="1" applyFont="1" applyBorder="1"/>
    <xf numFmtId="0" fontId="10" fillId="0" borderId="22" xfId="0" applyFont="1" applyBorder="1"/>
    <xf numFmtId="0" fontId="10" fillId="0" borderId="1" xfId="0" applyFont="1" applyBorder="1"/>
    <xf numFmtId="0" fontId="10" fillId="0" borderId="26" xfId="0" applyFont="1" applyBorder="1"/>
    <xf numFmtId="0" fontId="10" fillId="0" borderId="27" xfId="0" applyFont="1" applyBorder="1"/>
    <xf numFmtId="4" fontId="10" fillId="0" borderId="27" xfId="0" applyNumberFormat="1" applyFont="1" applyBorder="1"/>
    <xf numFmtId="0" fontId="10" fillId="0" borderId="28" xfId="0" applyFont="1" applyBorder="1"/>
    <xf numFmtId="0" fontId="1" fillId="0" borderId="0" xfId="13"/>
    <xf numFmtId="0" fontId="12" fillId="0" borderId="33" xfId="12" applyFont="1" applyBorder="1" applyAlignment="1">
      <alignment vertical="center"/>
    </xf>
    <xf numFmtId="14" fontId="12" fillId="0" borderId="5" xfId="12" applyNumberFormat="1" applyFont="1" applyBorder="1" applyAlignment="1">
      <alignment horizontal="left" vertical="center"/>
    </xf>
    <xf numFmtId="0" fontId="12" fillId="0" borderId="35" xfId="12" applyFont="1" applyBorder="1" applyAlignment="1">
      <alignment vertical="center"/>
    </xf>
    <xf numFmtId="0" fontId="12" fillId="0" borderId="0" xfId="12" applyFont="1" applyAlignment="1">
      <alignment vertical="center"/>
    </xf>
    <xf numFmtId="17" fontId="12" fillId="0" borderId="34" xfId="12" applyNumberFormat="1" applyFont="1" applyBorder="1" applyAlignment="1">
      <alignment horizontal="left" vertical="center"/>
    </xf>
    <xf numFmtId="0" fontId="12" fillId="0" borderId="5" xfId="12" applyFont="1" applyBorder="1" applyAlignment="1">
      <alignment horizontal="left" vertical="center"/>
    </xf>
    <xf numFmtId="0" fontId="12" fillId="0" borderId="34" xfId="12" applyFont="1" applyBorder="1" applyAlignment="1">
      <alignment horizontal="left" vertical="center"/>
    </xf>
    <xf numFmtId="0" fontId="12" fillId="0" borderId="36" xfId="12" applyFont="1" applyBorder="1" applyAlignment="1">
      <alignment horizontal="left" vertical="center"/>
    </xf>
    <xf numFmtId="0" fontId="12" fillId="0" borderId="20" xfId="12" applyFont="1" applyBorder="1" applyAlignment="1">
      <alignment horizontal="left" vertical="center"/>
    </xf>
    <xf numFmtId="0" fontId="12" fillId="0" borderId="37" xfId="12" applyFont="1" applyBorder="1" applyAlignment="1">
      <alignment horizontal="left" vertical="center"/>
    </xf>
    <xf numFmtId="0" fontId="12" fillId="0" borderId="38" xfId="12" applyFont="1" applyBorder="1" applyAlignment="1">
      <alignment horizontal="left" vertical="center"/>
    </xf>
    <xf numFmtId="0" fontId="12" fillId="0" borderId="29" xfId="12" applyFont="1" applyBorder="1" applyAlignment="1">
      <alignment horizontal="left" vertical="center"/>
    </xf>
    <xf numFmtId="0" fontId="12" fillId="0" borderId="39" xfId="12" applyFont="1" applyBorder="1" applyAlignment="1">
      <alignment horizontal="left" vertical="center"/>
    </xf>
    <xf numFmtId="0" fontId="12" fillId="0" borderId="35" xfId="12" applyFont="1" applyBorder="1"/>
    <xf numFmtId="0" fontId="12" fillId="0" borderId="0" xfId="12" applyFont="1"/>
    <xf numFmtId="0" fontId="12" fillId="0" borderId="35" xfId="12" applyFont="1" applyBorder="1" applyAlignment="1">
      <alignment horizontal="left"/>
    </xf>
    <xf numFmtId="0" fontId="13" fillId="6" borderId="30" xfId="13" applyFont="1" applyFill="1" applyBorder="1" applyAlignment="1">
      <alignment horizontal="center" vertical="center" wrapText="1"/>
    </xf>
    <xf numFmtId="4" fontId="13" fillId="6" borderId="43" xfId="13" applyNumberFormat="1" applyFont="1" applyFill="1" applyBorder="1" applyAlignment="1">
      <alignment horizontal="center" vertical="center" wrapText="1"/>
    </xf>
    <xf numFmtId="4" fontId="13" fillId="6" borderId="32" xfId="13" applyNumberFormat="1" applyFont="1" applyFill="1" applyBorder="1" applyAlignment="1">
      <alignment horizontal="center" vertical="center" wrapText="1"/>
    </xf>
    <xf numFmtId="0" fontId="12" fillId="0" borderId="44" xfId="12" applyFont="1" applyBorder="1" applyAlignment="1">
      <alignment vertical="center"/>
    </xf>
    <xf numFmtId="43" fontId="12" fillId="0" borderId="44" xfId="14" applyFont="1" applyBorder="1" applyAlignment="1">
      <alignment vertical="center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43" fontId="12" fillId="0" borderId="35" xfId="14" applyFont="1" applyBorder="1" applyAlignment="1">
      <alignment horizontal="center" vertical="center"/>
    </xf>
    <xf numFmtId="43" fontId="12" fillId="0" borderId="44" xfId="14" applyFont="1" applyBorder="1" applyAlignment="1"/>
    <xf numFmtId="164" fontId="1" fillId="0" borderId="0" xfId="13" applyNumberFormat="1"/>
    <xf numFmtId="0" fontId="12" fillId="0" borderId="39" xfId="12" applyFont="1" applyBorder="1"/>
    <xf numFmtId="0" fontId="12" fillId="0" borderId="40" xfId="12" applyFont="1" applyBorder="1"/>
    <xf numFmtId="0" fontId="12" fillId="0" borderId="41" xfId="12" applyFont="1" applyBorder="1"/>
    <xf numFmtId="0" fontId="12" fillId="0" borderId="42" xfId="12" applyFont="1" applyBorder="1"/>
    <xf numFmtId="43" fontId="12" fillId="0" borderId="43" xfId="12" applyNumberFormat="1" applyFont="1" applyBorder="1" applyAlignment="1">
      <alignment vertical="center" wrapText="1"/>
    </xf>
    <xf numFmtId="0" fontId="12" fillId="0" borderId="35" xfId="12" applyFont="1" applyBorder="1" applyAlignment="1">
      <alignment horizontal="left" vertical="center"/>
    </xf>
    <xf numFmtId="0" fontId="12" fillId="0" borderId="0" xfId="12" applyFont="1" applyAlignment="1">
      <alignment horizontal="left" vertical="center"/>
    </xf>
    <xf numFmtId="49" fontId="7" fillId="0" borderId="8" xfId="2" applyNumberFormat="1" applyFont="1" applyFill="1" applyBorder="1" applyAlignment="1">
      <alignment horizontal="center" vertical="center"/>
    </xf>
    <xf numFmtId="0" fontId="7" fillId="0" borderId="2" xfId="2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4" fillId="0" borderId="3" xfId="12" applyFont="1" applyBorder="1" applyAlignment="1">
      <alignment horizontal="center" vertical="center"/>
    </xf>
    <xf numFmtId="49" fontId="16" fillId="0" borderId="8" xfId="2" applyNumberFormat="1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 wrapText="1"/>
    </xf>
    <xf numFmtId="0" fontId="16" fillId="0" borderId="2" xfId="2" applyNumberFormat="1" applyFont="1" applyFill="1" applyBorder="1" applyAlignment="1">
      <alignment horizontal="center" vertical="center"/>
    </xf>
    <xf numFmtId="9" fontId="16" fillId="0" borderId="2" xfId="6" applyFont="1" applyFill="1" applyBorder="1" applyAlignment="1">
      <alignment horizontal="center" vertical="center"/>
    </xf>
    <xf numFmtId="2" fontId="16" fillId="0" borderId="2" xfId="1" applyNumberFormat="1" applyFont="1" applyFill="1" applyBorder="1" applyAlignment="1">
      <alignment horizontal="center" vertical="center"/>
    </xf>
    <xf numFmtId="4" fontId="16" fillId="0" borderId="2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/>
    </xf>
    <xf numFmtId="0" fontId="17" fillId="0" borderId="45" xfId="12" applyFont="1" applyBorder="1" applyAlignment="1">
      <alignment horizontal="center" vertical="center" wrapText="1"/>
    </xf>
    <xf numFmtId="0" fontId="17" fillId="0" borderId="46" xfId="12" applyFont="1" applyBorder="1" applyAlignment="1">
      <alignment horizontal="center" vertical="center" wrapText="1"/>
    </xf>
    <xf numFmtId="4" fontId="17" fillId="0" borderId="47" xfId="12" applyNumberFormat="1" applyFont="1" applyBorder="1" applyAlignment="1">
      <alignment horizontal="center" vertical="center" wrapText="1"/>
    </xf>
    <xf numFmtId="0" fontId="14" fillId="0" borderId="48" xfId="12" applyFont="1" applyBorder="1" applyAlignment="1">
      <alignment horizontal="center" vertical="center"/>
    </xf>
    <xf numFmtId="4" fontId="14" fillId="0" borderId="49" xfId="12" applyNumberFormat="1" applyFont="1" applyBorder="1" applyAlignment="1">
      <alignment horizontal="center" vertical="center"/>
    </xf>
    <xf numFmtId="0" fontId="14" fillId="0" borderId="50" xfId="12" applyFont="1" applyBorder="1" applyAlignment="1">
      <alignment horizontal="center" vertical="center"/>
    </xf>
    <xf numFmtId="4" fontId="14" fillId="0" borderId="51" xfId="12" applyNumberFormat="1" applyFont="1" applyBorder="1" applyAlignment="1">
      <alignment horizontal="center" vertical="center"/>
    </xf>
    <xf numFmtId="14" fontId="7" fillId="0" borderId="0" xfId="0" applyNumberFormat="1" applyFont="1"/>
    <xf numFmtId="14" fontId="5" fillId="0" borderId="2" xfId="1" applyNumberFormat="1" applyFont="1" applyFill="1" applyBorder="1" applyAlignment="1">
      <alignment horizontal="center" vertical="center" wrapText="1"/>
    </xf>
    <xf numFmtId="14" fontId="16" fillId="0" borderId="2" xfId="1" applyNumberFormat="1" applyFont="1" applyFill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0" fillId="0" borderId="0" xfId="0" applyNumberFormat="1"/>
    <xf numFmtId="0" fontId="11" fillId="0" borderId="35" xfId="12" applyFont="1" applyBorder="1" applyAlignment="1">
      <alignment vertical="center"/>
    </xf>
    <xf numFmtId="0" fontId="12" fillId="0" borderId="52" xfId="12" applyFont="1" applyBorder="1" applyAlignment="1">
      <alignment vertical="center"/>
    </xf>
    <xf numFmtId="14" fontId="12" fillId="0" borderId="14" xfId="12" applyNumberFormat="1" applyFont="1" applyBorder="1" applyAlignment="1">
      <alignment horizontal="left" vertical="center"/>
    </xf>
    <xf numFmtId="14" fontId="12" fillId="0" borderId="53" xfId="12" applyNumberFormat="1" applyFont="1" applyBorder="1" applyAlignment="1">
      <alignment horizontal="left" vertical="center"/>
    </xf>
    <xf numFmtId="0" fontId="5" fillId="0" borderId="9" xfId="3" applyFont="1" applyFill="1" applyBorder="1" applyAlignment="1">
      <alignment horizontal="center" vertical="center" wrapText="1"/>
    </xf>
    <xf numFmtId="4" fontId="16" fillId="0" borderId="9" xfId="3" applyNumberFormat="1" applyFont="1" applyFill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4" fontId="7" fillId="0" borderId="9" xfId="3" applyNumberFormat="1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 wrapText="1"/>
    </xf>
    <xf numFmtId="0" fontId="20" fillId="0" borderId="3" xfId="12" applyFont="1" applyBorder="1" applyAlignment="1">
      <alignment horizontal="center" vertical="center"/>
    </xf>
    <xf numFmtId="0" fontId="7" fillId="0" borderId="9" xfId="4" applyFont="1" applyFill="1" applyBorder="1" applyAlignment="1">
      <alignment horizontal="center" vertical="center" wrapText="1"/>
    </xf>
    <xf numFmtId="0" fontId="7" fillId="6" borderId="0" xfId="0" applyFont="1" applyFill="1"/>
    <xf numFmtId="0" fontId="10" fillId="0" borderId="21" xfId="0" applyFont="1" applyBorder="1" applyAlignment="1">
      <alignment horizontal="center"/>
    </xf>
    <xf numFmtId="4" fontId="10" fillId="0" borderId="1" xfId="0" applyNumberFormat="1" applyFont="1" applyBorder="1" applyAlignment="1">
      <alignment horizontal="right"/>
    </xf>
    <xf numFmtId="0" fontId="21" fillId="0" borderId="2" xfId="2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NumberFormat="1" applyFont="1" applyFill="1" applyBorder="1" applyAlignment="1">
      <alignment horizontal="center" vertical="center"/>
    </xf>
    <xf numFmtId="14" fontId="21" fillId="0" borderId="2" xfId="1" applyNumberFormat="1" applyFont="1" applyFill="1" applyBorder="1" applyAlignment="1">
      <alignment horizontal="center" vertical="center"/>
    </xf>
    <xf numFmtId="9" fontId="21" fillId="0" borderId="2" xfId="6" applyFont="1" applyFill="1" applyBorder="1" applyAlignment="1">
      <alignment horizontal="center" vertical="center"/>
    </xf>
    <xf numFmtId="2" fontId="21" fillId="0" borderId="2" xfId="1" applyNumberFormat="1" applyFont="1" applyFill="1" applyBorder="1" applyAlignment="1">
      <alignment horizontal="center" vertical="center"/>
    </xf>
    <xf numFmtId="4" fontId="21" fillId="0" borderId="2" xfId="3" applyNumberFormat="1" applyFont="1" applyFill="1" applyBorder="1" applyAlignment="1">
      <alignment horizontal="center" vertical="center"/>
    </xf>
    <xf numFmtId="4" fontId="21" fillId="0" borderId="9" xfId="3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/>
    </xf>
    <xf numFmtId="49" fontId="21" fillId="0" borderId="8" xfId="2" applyNumberFormat="1" applyFont="1" applyFill="1" applyBorder="1" applyAlignment="1">
      <alignment horizontal="center" vertical="center"/>
    </xf>
    <xf numFmtId="0" fontId="21" fillId="0" borderId="9" xfId="4" applyFont="1" applyFill="1" applyBorder="1" applyAlignment="1">
      <alignment horizontal="center" vertical="center" wrapText="1"/>
    </xf>
    <xf numFmtId="0" fontId="21" fillId="6" borderId="2" xfId="2" applyFont="1" applyFill="1" applyBorder="1" applyAlignment="1">
      <alignment horizontal="center" vertical="center"/>
    </xf>
    <xf numFmtId="0" fontId="7" fillId="7" borderId="2" xfId="2" applyFont="1" applyFill="1" applyBorder="1" applyAlignment="1">
      <alignment horizontal="center" vertical="center"/>
    </xf>
    <xf numFmtId="49" fontId="16" fillId="8" borderId="8" xfId="2" applyNumberFormat="1" applyFont="1" applyFill="1" applyBorder="1" applyAlignment="1">
      <alignment horizontal="center" vertical="center"/>
    </xf>
    <xf numFmtId="49" fontId="7" fillId="8" borderId="8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0" fontId="16" fillId="6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3" fillId="0" borderId="2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0" fontId="21" fillId="7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4" fillId="0" borderId="8" xfId="2" applyNumberFormat="1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/>
    </xf>
    <xf numFmtId="0" fontId="24" fillId="0" borderId="2" xfId="2" applyFont="1" applyFill="1" applyBorder="1" applyAlignment="1">
      <alignment horizontal="center" vertical="center" wrapText="1"/>
    </xf>
    <xf numFmtId="0" fontId="24" fillId="0" borderId="2" xfId="2" applyNumberFormat="1" applyFont="1" applyFill="1" applyBorder="1" applyAlignment="1">
      <alignment horizontal="center" vertical="center"/>
    </xf>
    <xf numFmtId="14" fontId="24" fillId="0" borderId="2" xfId="1" applyNumberFormat="1" applyFont="1" applyFill="1" applyBorder="1" applyAlignment="1">
      <alignment horizontal="center" vertical="center"/>
    </xf>
    <xf numFmtId="9" fontId="24" fillId="0" borderId="2" xfId="6" applyFont="1" applyFill="1" applyBorder="1" applyAlignment="1">
      <alignment horizontal="center" vertical="center"/>
    </xf>
    <xf numFmtId="2" fontId="24" fillId="0" borderId="2" xfId="1" applyNumberFormat="1" applyFont="1" applyFill="1" applyBorder="1" applyAlignment="1">
      <alignment horizontal="center" vertical="center"/>
    </xf>
    <xf numFmtId="4" fontId="24" fillId="0" borderId="2" xfId="3" applyNumberFormat="1" applyFont="1" applyFill="1" applyBorder="1" applyAlignment="1">
      <alignment horizontal="center" vertical="center"/>
    </xf>
    <xf numFmtId="4" fontId="24" fillId="0" borderId="9" xfId="3" applyNumberFormat="1" applyFont="1" applyFill="1" applyBorder="1" applyAlignment="1">
      <alignment horizontal="center" vertical="center"/>
    </xf>
    <xf numFmtId="0" fontId="24" fillId="0" borderId="9" xfId="4" applyFon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1" fillId="0" borderId="19" xfId="0" applyNumberFormat="1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" fontId="22" fillId="0" borderId="19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4" fontId="1" fillId="0" borderId="0" xfId="13" applyNumberFormat="1"/>
    <xf numFmtId="43" fontId="12" fillId="0" borderId="35" xfId="14" applyFont="1" applyBorder="1" applyAlignment="1">
      <alignment horizontal="right" vertical="center"/>
    </xf>
    <xf numFmtId="43" fontId="12" fillId="0" borderId="44" xfId="14" applyFont="1" applyBorder="1" applyAlignment="1">
      <alignment horizontal="right" vertical="center"/>
    </xf>
    <xf numFmtId="4" fontId="14" fillId="0" borderId="0" xfId="12" applyNumberFormat="1" applyFont="1" applyAlignment="1">
      <alignment horizontal="center" vertical="center"/>
    </xf>
    <xf numFmtId="4" fontId="16" fillId="11" borderId="2" xfId="3" applyNumberFormat="1" applyFont="1" applyFill="1" applyBorder="1" applyAlignment="1">
      <alignment horizontal="center" vertical="center"/>
    </xf>
    <xf numFmtId="0" fontId="16" fillId="12" borderId="2" xfId="2" applyFont="1" applyFill="1" applyBorder="1" applyAlignment="1">
      <alignment horizontal="center" vertical="center"/>
    </xf>
    <xf numFmtId="4" fontId="7" fillId="12" borderId="2" xfId="3" applyNumberFormat="1" applyFont="1" applyFill="1" applyBorder="1" applyAlignment="1">
      <alignment horizontal="center" vertical="center"/>
    </xf>
    <xf numFmtId="14" fontId="16" fillId="10" borderId="2" xfId="1" applyNumberFormat="1" applyFont="1" applyFill="1" applyBorder="1" applyAlignment="1">
      <alignment horizontal="center" vertical="center"/>
    </xf>
    <xf numFmtId="0" fontId="7" fillId="10" borderId="2" xfId="2" applyFont="1" applyFill="1" applyBorder="1" applyAlignment="1">
      <alignment horizontal="center" vertical="center"/>
    </xf>
    <xf numFmtId="14" fontId="7" fillId="10" borderId="2" xfId="1" applyNumberFormat="1" applyFont="1" applyFill="1" applyBorder="1" applyAlignment="1">
      <alignment horizontal="center" vertical="center"/>
    </xf>
    <xf numFmtId="14" fontId="21" fillId="10" borderId="2" xfId="1" applyNumberFormat="1" applyFont="1" applyFill="1" applyBorder="1" applyAlignment="1">
      <alignment horizontal="center" vertical="center"/>
    </xf>
    <xf numFmtId="0" fontId="7" fillId="12" borderId="2" xfId="2" applyFont="1" applyFill="1" applyBorder="1" applyAlignment="1">
      <alignment horizontal="center" vertical="center"/>
    </xf>
    <xf numFmtId="14" fontId="7" fillId="12" borderId="2" xfId="1" applyNumberFormat="1" applyFont="1" applyFill="1" applyBorder="1" applyAlignment="1">
      <alignment horizontal="center" vertical="center"/>
    </xf>
    <xf numFmtId="14" fontId="7" fillId="10" borderId="2" xfId="1" applyNumberFormat="1" applyFont="1" applyFill="1" applyBorder="1" applyAlignment="1">
      <alignment vertical="center"/>
    </xf>
    <xf numFmtId="0" fontId="24" fillId="12" borderId="2" xfId="2" applyFont="1" applyFill="1" applyBorder="1" applyAlignment="1">
      <alignment horizontal="center" vertical="center"/>
    </xf>
    <xf numFmtId="14" fontId="24" fillId="12" borderId="2" xfId="1" applyNumberFormat="1" applyFont="1" applyFill="1" applyBorder="1" applyAlignment="1">
      <alignment horizontal="center" vertical="center"/>
    </xf>
    <xf numFmtId="0" fontId="16" fillId="10" borderId="2" xfId="2" applyFont="1" applyFill="1" applyBorder="1" applyAlignment="1">
      <alignment horizontal="center" vertical="center"/>
    </xf>
    <xf numFmtId="0" fontId="21" fillId="10" borderId="2" xfId="2" applyFont="1" applyFill="1" applyBorder="1" applyAlignment="1">
      <alignment horizontal="center" vertical="center"/>
    </xf>
    <xf numFmtId="0" fontId="12" fillId="0" borderId="15" xfId="12" applyFont="1" applyBorder="1" applyAlignment="1">
      <alignment horizontal="center" vertical="center"/>
    </xf>
    <xf numFmtId="0" fontId="12" fillId="0" borderId="16" xfId="12" applyFont="1" applyBorder="1" applyAlignment="1">
      <alignment horizontal="center" vertical="center"/>
    </xf>
    <xf numFmtId="0" fontId="12" fillId="0" borderId="15" xfId="12" applyFont="1" applyBorder="1" applyAlignment="1">
      <alignment horizontal="left" vertical="center"/>
    </xf>
    <xf numFmtId="0" fontId="12" fillId="0" borderId="16" xfId="12" applyFont="1" applyBorder="1" applyAlignment="1">
      <alignment horizontal="left" vertical="center"/>
    </xf>
    <xf numFmtId="0" fontId="12" fillId="0" borderId="17" xfId="12" applyFont="1" applyBorder="1" applyAlignment="1">
      <alignment horizontal="left" vertical="center"/>
    </xf>
    <xf numFmtId="0" fontId="12" fillId="0" borderId="35" xfId="12" applyFont="1" applyBorder="1" applyAlignment="1">
      <alignment horizontal="right"/>
    </xf>
    <xf numFmtId="0" fontId="12" fillId="0" borderId="0" xfId="12" applyFont="1" applyAlignment="1">
      <alignment horizontal="right"/>
    </xf>
    <xf numFmtId="0" fontId="12" fillId="0" borderId="39" xfId="12" applyFont="1" applyBorder="1" applyAlignment="1">
      <alignment horizontal="right"/>
    </xf>
    <xf numFmtId="0" fontId="12" fillId="0" borderId="35" xfId="12" applyFont="1" applyBorder="1" applyAlignment="1">
      <alignment horizontal="center"/>
    </xf>
    <xf numFmtId="0" fontId="12" fillId="0" borderId="0" xfId="12" applyFont="1" applyAlignment="1">
      <alignment horizontal="center"/>
    </xf>
    <xf numFmtId="0" fontId="12" fillId="0" borderId="39" xfId="12" applyFont="1" applyBorder="1" applyAlignment="1">
      <alignment horizontal="center"/>
    </xf>
    <xf numFmtId="0" fontId="12" fillId="0" borderId="30" xfId="12" applyFont="1" applyBorder="1" applyAlignment="1">
      <alignment horizontal="center" vertical="center" wrapText="1"/>
    </xf>
    <xf numFmtId="0" fontId="12" fillId="0" borderId="31" xfId="12" applyFont="1" applyBorder="1" applyAlignment="1">
      <alignment horizontal="center" vertical="center" wrapText="1"/>
    </xf>
    <xf numFmtId="0" fontId="12" fillId="0" borderId="30" xfId="12" applyFont="1" applyBorder="1" applyAlignment="1">
      <alignment horizontal="left" vertical="center" wrapText="1"/>
    </xf>
    <xf numFmtId="0" fontId="12" fillId="0" borderId="31" xfId="12" applyFont="1" applyBorder="1" applyAlignment="1">
      <alignment horizontal="left" vertical="center"/>
    </xf>
    <xf numFmtId="0" fontId="12" fillId="0" borderId="32" xfId="12" applyFont="1" applyBorder="1" applyAlignment="1">
      <alignment horizontal="left" vertical="center"/>
    </xf>
    <xf numFmtId="0" fontId="12" fillId="0" borderId="15" xfId="12" applyFont="1" applyBorder="1" applyAlignment="1">
      <alignment horizontal="center" vertical="center" wrapText="1"/>
    </xf>
    <xf numFmtId="0" fontId="12" fillId="0" borderId="16" xfId="12" applyFont="1" applyBorder="1" applyAlignment="1">
      <alignment horizontal="center" vertical="center" wrapText="1"/>
    </xf>
    <xf numFmtId="0" fontId="12" fillId="0" borderId="17" xfId="12" applyFont="1" applyBorder="1" applyAlignment="1">
      <alignment horizontal="center" vertical="center" wrapText="1"/>
    </xf>
    <xf numFmtId="0" fontId="12" fillId="0" borderId="40" xfId="12" applyFont="1" applyBorder="1" applyAlignment="1">
      <alignment horizontal="center" vertical="center" wrapText="1"/>
    </xf>
    <xf numFmtId="0" fontId="12" fillId="0" borderId="41" xfId="12" applyFont="1" applyBorder="1" applyAlignment="1">
      <alignment horizontal="center" vertical="center" wrapText="1"/>
    </xf>
    <xf numFmtId="0" fontId="12" fillId="0" borderId="42" xfId="12" applyFont="1" applyBorder="1" applyAlignment="1">
      <alignment horizontal="center" vertical="center" wrapText="1"/>
    </xf>
    <xf numFmtId="0" fontId="12" fillId="6" borderId="30" xfId="12" applyFont="1" applyFill="1" applyBorder="1" applyAlignment="1">
      <alignment horizontal="center" vertical="center"/>
    </xf>
    <xf numFmtId="0" fontId="12" fillId="6" borderId="31" xfId="12" applyFont="1" applyFill="1" applyBorder="1" applyAlignment="1">
      <alignment horizontal="center" vertical="center"/>
    </xf>
    <xf numFmtId="0" fontId="12" fillId="0" borderId="35" xfId="12" applyFont="1" applyBorder="1" applyAlignment="1">
      <alignment horizontal="center" vertical="center"/>
    </xf>
    <xf numFmtId="0" fontId="12" fillId="0" borderId="0" xfId="12" applyFont="1" applyAlignment="1">
      <alignment horizontal="center" vertical="center"/>
    </xf>
    <xf numFmtId="0" fontId="12" fillId="0" borderId="39" xfId="12" applyFont="1" applyBorder="1" applyAlignment="1">
      <alignment horizontal="center" vertical="center"/>
    </xf>
    <xf numFmtId="0" fontId="12" fillId="0" borderId="35" xfId="12" applyFont="1" applyBorder="1" applyAlignment="1">
      <alignment horizontal="center" vertical="center" wrapText="1"/>
    </xf>
    <xf numFmtId="0" fontId="12" fillId="0" borderId="0" xfId="12" applyFont="1" applyAlignment="1">
      <alignment horizontal="center" vertical="center" wrapText="1"/>
    </xf>
    <xf numFmtId="0" fontId="12" fillId="0" borderId="39" xfId="12" applyFont="1" applyBorder="1" applyAlignment="1">
      <alignment horizontal="center" vertical="center" wrapText="1"/>
    </xf>
    <xf numFmtId="0" fontId="18" fillId="0" borderId="30" xfId="12" applyFont="1" applyBorder="1" applyAlignment="1">
      <alignment horizontal="center" vertical="center"/>
    </xf>
    <xf numFmtId="0" fontId="18" fillId="0" borderId="31" xfId="12" applyFont="1" applyBorder="1" applyAlignment="1">
      <alignment horizontal="center" vertical="center"/>
    </xf>
    <xf numFmtId="0" fontId="18" fillId="0" borderId="32" xfId="12" applyFont="1" applyBorder="1" applyAlignment="1">
      <alignment horizontal="center" vertical="center"/>
    </xf>
    <xf numFmtId="0" fontId="12" fillId="0" borderId="35" xfId="12" applyFont="1" applyBorder="1"/>
    <xf numFmtId="0" fontId="12" fillId="0" borderId="0" xfId="12" applyFont="1"/>
    <xf numFmtId="0" fontId="12" fillId="0" borderId="29" xfId="12" applyFont="1" applyBorder="1" applyAlignment="1">
      <alignment horizontal="left"/>
    </xf>
    <xf numFmtId="0" fontId="12" fillId="0" borderId="39" xfId="12" applyFont="1" applyBorder="1" applyAlignment="1">
      <alignment horizontal="left"/>
    </xf>
    <xf numFmtId="0" fontId="11" fillId="0" borderId="30" xfId="12" applyFont="1" applyBorder="1" applyAlignment="1">
      <alignment horizontal="left"/>
    </xf>
    <xf numFmtId="0" fontId="11" fillId="0" borderId="31" xfId="12" applyFont="1" applyBorder="1" applyAlignment="1">
      <alignment horizontal="left"/>
    </xf>
    <xf numFmtId="0" fontId="11" fillId="0" borderId="32" xfId="12" applyFont="1" applyBorder="1" applyAlignment="1">
      <alignment horizontal="left"/>
    </xf>
    <xf numFmtId="0" fontId="19" fillId="0" borderId="30" xfId="12" applyFont="1" applyBorder="1" applyAlignment="1">
      <alignment horizontal="center" vertical="center"/>
    </xf>
    <xf numFmtId="0" fontId="19" fillId="0" borderId="31" xfId="12" applyFont="1" applyBorder="1" applyAlignment="1">
      <alignment horizontal="center" vertical="center"/>
    </xf>
    <xf numFmtId="0" fontId="19" fillId="0" borderId="32" xfId="12" applyFont="1" applyBorder="1" applyAlignment="1">
      <alignment horizontal="center" vertical="center"/>
    </xf>
    <xf numFmtId="0" fontId="27" fillId="0" borderId="35" xfId="12" applyFont="1" applyBorder="1" applyAlignment="1">
      <alignment horizontal="center" vertical="center" wrapText="1"/>
    </xf>
    <xf numFmtId="0" fontId="27" fillId="0" borderId="0" xfId="12" applyFont="1" applyAlignment="1">
      <alignment horizontal="center" vertical="center" wrapText="1"/>
    </xf>
    <xf numFmtId="0" fontId="27" fillId="0" borderId="39" xfId="12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</cellXfs>
  <cellStyles count="15">
    <cellStyle name="20% - Accent4" xfId="2" builtinId="42"/>
    <cellStyle name="40% - Accent3" xfId="1" builtinId="39"/>
    <cellStyle name="40% - Accent5" xfId="3" builtinId="47"/>
    <cellStyle name="40% - Accent6" xfId="4" builtinId="51"/>
    <cellStyle name="Comma 2" xfId="5" xr:uid="{00000000-0005-0000-0000-000004000000}"/>
    <cellStyle name="Comma 2 2" xfId="8" xr:uid="{00000000-0005-0000-0000-000005000000}"/>
    <cellStyle name="Comma 2 3" xfId="14" xr:uid="{00000000-0005-0000-0000-000006000000}"/>
    <cellStyle name="Comma 3" xfId="9" xr:uid="{00000000-0005-0000-0000-000007000000}"/>
    <cellStyle name="Comma 4" xfId="7" xr:uid="{00000000-0005-0000-0000-000008000000}"/>
    <cellStyle name="Normal" xfId="0" builtinId="0"/>
    <cellStyle name="Normal 2" xfId="10" xr:uid="{00000000-0005-0000-0000-00000A000000}"/>
    <cellStyle name="Normal 2 2" xfId="12" xr:uid="{00000000-0005-0000-0000-00000B000000}"/>
    <cellStyle name="Normal 3" xfId="13" xr:uid="{00000000-0005-0000-0000-00000C000000}"/>
    <cellStyle name="Normal 6" xfId="11" xr:uid="{00000000-0005-0000-0000-00000D000000}"/>
    <cellStyle name="Percent" xfId="6" builtinId="5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top style="thin">
          <color theme="3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F800]dddd\,\ mmmm\ dd\,\ 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/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-0.249977111117893"/>
        </right>
        <top style="thin">
          <color theme="3" tint="-0.249977111117893"/>
        </top>
        <bottom style="thin">
          <color theme="3" tint="-0.249977111117893"/>
        </bottom>
      </border>
    </dxf>
    <dxf>
      <border outline="0">
        <top style="thin">
          <color theme="3" tint="-0.249977111117893"/>
        </top>
      </border>
    </dxf>
    <dxf>
      <font>
        <strike val="0"/>
        <outline val="0"/>
        <shadow val="0"/>
        <u val="none"/>
        <vertAlign val="baseline"/>
        <color auto="1"/>
      </font>
    </dxf>
    <dxf>
      <border outline="0">
        <left style="thin">
          <color theme="3" tint="-0.249977111117893"/>
        </left>
        <right style="thin">
          <color theme="3" tint="-0.249977111117893"/>
        </right>
        <bottom style="thin">
          <color theme="3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3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-0.249977111117893"/>
        </left>
        <right style="thin">
          <color theme="3" tint="-0.249977111117893"/>
        </right>
        <top/>
        <bottom/>
      </border>
    </dxf>
  </dxfs>
  <tableStyles count="0" defaultTableStyle="TableStyleMedium9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5.20\TAS_Projects\Users\Danreb%20Pastorin\Desktop\May'17\Ajman%20City%20Centre_May'2017%20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July'2019/LOR%20EXPO2020%20Dayworks%20July'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asuae-my.sharepoint.com/personal/lgabriel_tasuae_com/Documents/Desktop/Other%20Files/Payment%20Application%20Form%20K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%20Basha/Desktop/Dorchester%20Hotel%20&amp;%20Residences-202301.....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"/>
      <sheetName val="E11.Rev1"/>
      <sheetName val="Dayworks - May'17"/>
      <sheetName val="Frontsheet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Ajman City Centre_May'2017 In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Dayworks"/>
      <sheetName val="Summary"/>
      <sheetName val="Masterkey"/>
      <sheetName val="LOR EXPO2020 Dayworks July'2019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g Details Checking"/>
      <sheetName val="OHC no HOC"/>
      <sheetName val="Scientechnic"/>
      <sheetName val="ACC"/>
      <sheetName val="jumeirah villa"/>
      <sheetName val="Jadaf"/>
      <sheetName val="leader sports (2)"/>
      <sheetName val="leader sports"/>
      <sheetName val="leader sports Manpower Supply"/>
      <sheetName val="DIFC"/>
      <sheetName val="MAF VILLA"/>
      <sheetName val="Jadaf (2)"/>
      <sheetName val="OH Paper"/>
      <sheetName val="E11"/>
      <sheetName val="CR#4"/>
      <sheetName val="ERP"/>
      <sheetName val="Quotation"/>
      <sheetName val="schedule"/>
      <sheetName val="Diff Crash deck"/>
      <sheetName val="SOR Items"/>
      <sheetName val="LMTCV"/>
      <sheetName val="Summary"/>
      <sheetName val="Masterkey"/>
      <sheetName val="Rates"/>
      <sheetName val="Payment Application Form KCE"/>
      <sheetName val="Aquaven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 Front Sheet"/>
      <sheetName val="Evaluation"/>
      <sheetName val="Order References"/>
      <sheetName val="Modification"/>
      <sheetName val="Manpower"/>
      <sheetName val="SCOPE"/>
      <sheetName val="PASummary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AD732" totalsRowCount="1" headerRowDxfId="121" dataDxfId="119" totalsRowDxfId="117" headerRowBorderDxfId="120" tableBorderDxfId="118" totalsRowBorderDxfId="116" headerRowCellStyle="40% - Accent5" dataCellStyle="40% - Accent5">
  <autoFilter ref="A9:AD731" xr:uid="{C194CCDA-3928-400E-9D26-CA2F4D4ED2F0}"/>
  <tableColumns count="30">
    <tableColumn id="1" xr3:uid="{00000000-0010-0000-0000-000001000000}" name="Billing Reference" totalsRowLabel="Total" dataDxfId="115" totalsRowDxfId="114" dataCellStyle="20% - Accent4"/>
    <tableColumn id="17" xr3:uid="{3BFE6B37-D398-4E64-9F1E-A43AB98608D8}" name="Location" dataDxfId="113" totalsRowDxfId="112" dataCellStyle="20% - Accent4"/>
    <tableColumn id="2" xr3:uid="{00000000-0010-0000-0000-000002000000}" name="Tag No." dataDxfId="111" totalsRowDxfId="110" dataCellStyle="20% - Accent4"/>
    <tableColumn id="3" xr3:uid="{00000000-0010-0000-0000-000003000000}" name="HOC" totalsRowFunction="count" dataDxfId="109" totalsRowDxfId="108" dataCellStyle="20% - Accent4"/>
    <tableColumn id="4" xr3:uid="{00000000-0010-0000-0000-000004000000}" name="OHC" totalsRowFunction="count" dataDxfId="107" totalsRowDxfId="106" dataCellStyle="20% - Accent4"/>
    <tableColumn id="6" xr3:uid="{00000000-0010-0000-0000-000006000000}" name="Description" dataDxfId="105" totalsRowDxfId="104" dataCellStyle="20% - Accent4"/>
    <tableColumn id="14" xr3:uid="{89D346EA-51BD-4437-ADE1-726CB91CC5B2}" name="Founding Level" dataDxfId="103" totalsRowDxfId="102" dataCellStyle="20% - Accent4"/>
    <tableColumn id="7" xr3:uid="{00000000-0010-0000-0000-000007000000}" name="Scaffold Type" dataDxfId="101" totalsRowDxfId="100" dataCellStyle="20% - Accent4"/>
    <tableColumn id="8" xr3:uid="{00000000-0010-0000-0000-000008000000}" name="Number" dataDxfId="99" totalsRowDxfId="98" dataCellStyle="20% - Accent4"/>
    <tableColumn id="9" xr3:uid="{00000000-0010-0000-0000-000009000000}" name="Length" dataDxfId="97" totalsRowDxfId="96" dataCellStyle="20% - Accent4"/>
    <tableColumn id="10" xr3:uid="{00000000-0010-0000-0000-00000A000000}" name="Width" dataDxfId="95" totalsRowDxfId="94" dataCellStyle="20% - Accent4"/>
    <tableColumn id="11" xr3:uid="{00000000-0010-0000-0000-00000B000000}" name="Height" dataDxfId="93" totalsRowDxfId="92" dataCellStyle="20% - Accent4"/>
    <tableColumn id="12" xr3:uid="{00000000-0010-0000-0000-00000C000000}" name="Board  Lift" dataDxfId="91" totalsRowDxfId="90" dataCellStyle="20% - Accent4"/>
    <tableColumn id="16" xr3:uid="{00000000-0010-0000-0000-000010000000}" name="Unit of Measure" dataDxfId="89" totalsRowDxfId="88" dataCellStyle="20% - Accent4"/>
    <tableColumn id="15" xr3:uid="{00000000-0010-0000-0000-00000F000000}" name="Quantity" dataDxfId="87" totalsRowDxfId="86" dataCellStyle="20% - Accent4">
      <calculatedColumnFormula>ROUND(IF(N10="m3",I10*J10*K10*L10,IF(N10="m2-LxH",I10*J10*L10,IF(N10="m2-LxW",I10*J10*K10,IF(N10="rm",I10*L10,IF(N10="lm",I10*J10,IF(N10="unit",I10,"NA")))))),2)</calculatedColumnFormula>
    </tableColumn>
    <tableColumn id="18" xr3:uid="{00000000-0010-0000-0000-000012000000}" name="HOC Date" dataDxfId="85" totalsRowDxfId="84" dataCellStyle="40% - Accent3"/>
    <tableColumn id="19" xr3:uid="{00000000-0010-0000-0000-000013000000}" name="OHC Date" dataDxfId="83" totalsRowDxfId="82" dataCellStyle="40% - Accent3"/>
    <tableColumn id="20" xr3:uid="{00000000-0010-0000-0000-000014000000}" name="Erection %" dataDxfId="81" totalsRowDxfId="80" dataCellStyle="Percent"/>
    <tableColumn id="22" xr3:uid="{00000000-0010-0000-0000-000016000000}" name="Hire %" dataDxfId="79" totalsRowDxfId="78" dataCellStyle="Percent"/>
    <tableColumn id="21" xr3:uid="{00000000-0010-0000-0000-000015000000}" name="Dismantle %" dataDxfId="77" totalsRowDxfId="76" dataCellStyle="Percent"/>
    <tableColumn id="24" xr3:uid="{00000000-0010-0000-0000-000018000000}" name="Hire Weeks" dataDxfId="75" totalsRowDxfId="74" dataCellStyle="40% - Accent3">
      <calculatedColumnFormula>IF(ISBLANK(Table1[[#This Row],[OHC Date]]),$B$7-Table1[[#This Row],[HOC Date]]+1,Table1[[#This Row],[OHC Date]]-Table1[[#This Row],[HOC Date]]+1)/7</calculatedColumnFormula>
    </tableColumn>
    <tableColumn id="25" xr3:uid="{00000000-0010-0000-0000-000019000000}" name="E&amp;D Rate per unit" dataDxfId="73" totalsRowDxfId="72" dataCellStyle="40% - Accent5"/>
    <tableColumn id="26" xr3:uid="{00000000-0010-0000-0000-00001A000000}" name="Hire Rate per week" dataDxfId="71" totalsRowDxfId="70" dataCellStyle="40% - Accent5"/>
    <tableColumn id="28" xr3:uid="{00000000-0010-0000-0000-00001C000000}" name="Erect Charges" totalsRowFunction="sum" dataDxfId="69" totalsRowDxfId="68" dataCellStyle="40% - Accent5">
      <calculatedColumnFormula>ROUND(0.7*Table1[[#This Row],[E&amp;D Rate per unit]]*R10*Table1[[#This Row],[Quantity]],2)</calculatedColumnFormula>
    </tableColumn>
    <tableColumn id="30" xr3:uid="{00000000-0010-0000-0000-00001E000000}" name="Hire Charges" totalsRowFunction="sum" dataDxfId="67" totalsRowDxfId="66" dataCellStyle="40% - Accent5">
      <calculatedColumnFormula>ROUND(O10*U10*W10*S10,2)</calculatedColumnFormula>
    </tableColumn>
    <tableColumn id="29" xr3:uid="{00000000-0010-0000-0000-00001D000000}" name="Dismantle Charges" totalsRowFunction="sum" dataDxfId="65" totalsRowDxfId="64" dataCellStyle="40% - Accent5">
      <calculatedColumnFormula>ROUND(0.3*T10*Table1[[#This Row],[E&amp;D Rate per unit]]*Table1[[#This Row],[Quantity]],2)</calculatedColumnFormula>
    </tableColumn>
    <tableColumn id="33" xr3:uid="{00000000-0010-0000-0000-000021000000}" name="Total Amount" totalsRowFunction="sum" dataDxfId="63" totalsRowDxfId="62" dataCellStyle="40% - Accent5">
      <calculatedColumnFormula>ROUND(X10+Z10+Y10,2)</calculatedColumnFormula>
    </tableColumn>
    <tableColumn id="5" xr3:uid="{6A22415C-3242-4E4A-90A0-17BB2F71EF32}" name="Previous Amount" totalsRowFunction="sum" dataDxfId="61" totalsRowDxfId="60" dataCellStyle="40% - Accent5"/>
    <tableColumn id="13" xr3:uid="{9D149D36-4A49-4A54-8D1A-884C86FB6D29}" name="Net Amount" totalsRowFunction="sum" dataDxfId="59" totalsRowDxfId="58" dataCellStyle="40% - Accent5">
      <calculatedColumnFormula>Table1[[#This Row],[Total Amount]]-Table1[[#This Row],[Previous Amount]]</calculatedColumnFormula>
    </tableColumn>
    <tableColumn id="36" xr3:uid="{00000000-0010-0000-0000-000024000000}" name="Remarks" dataDxfId="57" totalsRowDxfId="56" dataCellStyle="40% - Accent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A71828-8CF2-4F39-BBB9-A9B56F351B60}" name="Table37" displayName="Table37" ref="A8:F27" totalsRowCount="1" headerRowDxfId="55" dataDxfId="53" totalsRowDxfId="51" headerRowBorderDxfId="54" tableBorderDxfId="52" totalsRowBorderDxfId="50">
  <autoFilter ref="A8:F26" xr:uid="{87A71828-8CF2-4F39-BBB9-A9B56F351B60}"/>
  <tableColumns count="6">
    <tableColumn id="1" xr3:uid="{9DFD6B60-EFCC-44DC-9526-28177157DC4D}" name="DTS" totalsRowLabel="Total" dataDxfId="49" totalsRowDxfId="48"/>
    <tableColumn id="2" xr3:uid="{3214119C-8E47-4625-A5C7-3C0351EF2569}" name="Date" dataDxfId="47" totalsRowDxfId="46"/>
    <tableColumn id="3" xr3:uid="{52AAA9B6-8D47-40F3-A57E-8AFC83DFBE1B}" name="Hrs" totalsRowFunction="sum" dataDxfId="45" totalsRowDxfId="44"/>
    <tableColumn id="5" xr3:uid="{8D44D0A9-1928-4382-9EDA-077FC764060C}" name="Total" totalsRowFunction="sum" dataDxfId="43" totalsRowDxfId="42">
      <calculatedColumnFormula>20.5*C9</calculatedColumnFormula>
    </tableColumn>
    <tableColumn id="4" xr3:uid="{31497590-7BB3-4E8A-A111-EC6053A900E8}" name="Previous" totalsRowFunction="custom" dataDxfId="41" totalsRowDxfId="40">
      <totalsRowFormula>SUM(E9:E26)</totalsRowFormula>
    </tableColumn>
    <tableColumn id="7" xr3:uid="{4BC987A9-6C9A-4A27-96DE-C408F67F5E1A}" name="Net Amount" totalsRowFunction="sum" dataDxfId="39" totalsRowDxfId="38">
      <calculatedColumnFormula>Table37[[#This Row],[Total]]-Table37[[#This Row],[Previous]]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:G12" totalsRowCount="1" headerRowDxfId="37" dataDxfId="35" totalsRowDxfId="33" headerRowBorderDxfId="36" tableBorderDxfId="34" totalsRowBorderDxfId="32">
  <autoFilter ref="A8:G11" xr:uid="{00000000-0009-0000-0100-000002000000}"/>
  <tableColumns count="7">
    <tableColumn id="1" xr3:uid="{00000000-0010-0000-0100-000001000000}" name="DTS" totalsRowLabel="Total" dataDxfId="31" totalsRowDxfId="30"/>
    <tableColumn id="2" xr3:uid="{00000000-0010-0000-0100-000002000000}" name="Date" dataDxfId="29" totalsRowDxfId="28"/>
    <tableColumn id="3" xr3:uid="{00000000-0010-0000-0100-000003000000}" name="Scaffolder" dataDxfId="27" totalsRowDxfId="26"/>
    <tableColumn id="4" xr3:uid="{00000000-0010-0000-0100-000004000000}" name="Foreman" dataDxfId="25" totalsRowDxfId="24"/>
    <tableColumn id="7" xr3:uid="{00000000-0010-0000-0100-000007000000}" name="Cumulative" totalsRowFunction="sum" dataDxfId="23" totalsRowDxfId="22"/>
    <tableColumn id="6" xr3:uid="{00000000-0010-0000-0100-000006000000}" name="Previous" totalsRowFunction="sum" dataDxfId="21" totalsRowDxfId="20"/>
    <tableColumn id="5" xr3:uid="{00000000-0010-0000-0100-000005000000}" name="Net" totalsRowFunction="count" dataDxfId="19" totalsRowDxfId="1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2:J12" totalsRowShown="0">
  <autoFilter ref="A2:J12" xr:uid="{00000000-0009-0000-0100-000004000000}"/>
  <tableColumns count="10">
    <tableColumn id="1" xr3:uid="{00000000-0010-0000-0200-000001000000}" name="Reference"/>
    <tableColumn id="2" xr3:uid="{00000000-0010-0000-0200-000002000000}" name="Description"/>
    <tableColumn id="3" xr3:uid="{00000000-0010-0000-0200-000003000000}" name="Number"/>
    <tableColumn id="4" xr3:uid="{00000000-0010-0000-0200-000004000000}" name="L"/>
    <tableColumn id="5" xr3:uid="{00000000-0010-0000-0200-000005000000}" name="W"/>
    <tableColumn id="6" xr3:uid="{00000000-0010-0000-0200-000006000000}" name="H"/>
    <tableColumn id="7" xr3:uid="{00000000-0010-0000-0200-000007000000}" name="BL"/>
    <tableColumn id="8" xr3:uid="{00000000-0010-0000-0200-000008000000}" name="Item Price"/>
    <tableColumn id="9" xr3:uid="{00000000-0010-0000-0200-000009000000}" name="Period (Wks)"/>
    <tableColumn id="10" xr3:uid="{00000000-0010-0000-0200-00000A000000}" name="Extra Hire per Wee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8:F17" totalsRowCount="1" headerRowDxfId="17" dataDxfId="15" totalsRowDxfId="13" headerRowBorderDxfId="16" tableBorderDxfId="14" totalsRowBorderDxfId="12">
  <autoFilter ref="A8:F16" xr:uid="{00000000-0009-0000-0100-000003000000}"/>
  <tableColumns count="6">
    <tableColumn id="1" xr3:uid="{00000000-0010-0000-0300-000001000000}" name="Application No." totalsRowLabel="Total" dataDxfId="11" totalsRowDxfId="10"/>
    <tableColumn id="2" xr3:uid="{00000000-0010-0000-0300-000002000000}" name="Application Date" dataDxfId="9" totalsRowDxfId="8"/>
    <tableColumn id="3" xr3:uid="{00000000-0010-0000-0300-000003000000}" name="Works Carried Out" totalsRowFunction="sum" dataDxfId="7" totalsRowDxfId="6"/>
    <tableColumn id="5" xr3:uid="{00000000-0010-0000-0300-000005000000}" name="Day Works" totalsRowFunction="sum" dataDxfId="5" totalsRowDxfId="4"/>
    <tableColumn id="6" xr3:uid="{00000000-0010-0000-0300-000006000000}" name="Total" totalsRowFunction="sum" dataDxfId="3" totalsRowDxfId="2">
      <calculatedColumnFormula>Table3[[#This Row],[Works Carried Out]]+Table3[[#This Row],[Day Works]]</calculatedColumnFormula>
    </tableColumn>
    <tableColumn id="7" xr3:uid="{00000000-0010-0000-0300-000007000000}" name="Remarks" totalsRowFunction="count" dataDxfId="1" totalsRow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tabSelected="1" topLeftCell="A10" zoomScaleNormal="100" workbookViewId="0">
      <selection activeCell="G22" sqref="G22"/>
    </sheetView>
  </sheetViews>
  <sheetFormatPr defaultColWidth="9.1796875" defaultRowHeight="14.5" x14ac:dyDescent="0.35"/>
  <cols>
    <col min="1" max="3" width="9.1796875" style="58"/>
    <col min="4" max="4" width="11.453125" style="58" customWidth="1"/>
    <col min="5" max="7" width="17.26953125" style="58" customWidth="1"/>
    <col min="8" max="9" width="9.1796875" style="58"/>
    <col min="10" max="10" width="11.7265625" style="58" bestFit="1" customWidth="1"/>
    <col min="11" max="11" width="9.1796875" style="58"/>
    <col min="12" max="12" width="12.26953125" style="58" bestFit="1" customWidth="1"/>
    <col min="13" max="13" width="0" style="58" hidden="1" customWidth="1"/>
    <col min="14" max="16384" width="9.1796875" style="58"/>
  </cols>
  <sheetData>
    <row r="1" spans="1:13" ht="30.75" customHeight="1" thickBot="1" x14ac:dyDescent="0.4">
      <c r="A1" s="227" t="s">
        <v>172</v>
      </c>
      <c r="B1" s="228"/>
      <c r="C1" s="228"/>
      <c r="D1" s="228"/>
      <c r="E1" s="228"/>
      <c r="F1" s="228"/>
      <c r="G1" s="229"/>
    </row>
    <row r="2" spans="1:13" ht="30.75" customHeight="1" thickBot="1" x14ac:dyDescent="0.4">
      <c r="A2" s="237" t="s">
        <v>870</v>
      </c>
      <c r="B2" s="238"/>
      <c r="C2" s="238"/>
      <c r="D2" s="238"/>
      <c r="E2" s="238"/>
      <c r="F2" s="238"/>
      <c r="G2" s="239"/>
    </row>
    <row r="3" spans="1:13" x14ac:dyDescent="0.35">
      <c r="A3" s="121" t="s">
        <v>58</v>
      </c>
      <c r="B3" s="62"/>
      <c r="C3" s="62"/>
      <c r="D3" s="62"/>
      <c r="E3" s="122" t="s">
        <v>31</v>
      </c>
      <c r="F3" s="123">
        <v>44956</v>
      </c>
      <c r="G3" s="124"/>
      <c r="M3" s="58" t="s">
        <v>96</v>
      </c>
    </row>
    <row r="4" spans="1:13" x14ac:dyDescent="0.35">
      <c r="A4" s="61" t="s">
        <v>59</v>
      </c>
      <c r="B4" s="62"/>
      <c r="C4" s="62"/>
      <c r="D4" s="62"/>
      <c r="E4" s="59" t="s">
        <v>60</v>
      </c>
      <c r="F4" s="60">
        <v>44951</v>
      </c>
      <c r="G4" s="63"/>
      <c r="M4" s="58" t="s">
        <v>97</v>
      </c>
    </row>
    <row r="5" spans="1:13" x14ac:dyDescent="0.35">
      <c r="A5" s="61" t="s">
        <v>61</v>
      </c>
      <c r="B5" s="62"/>
      <c r="C5" s="62"/>
      <c r="D5" s="62"/>
      <c r="E5" s="59" t="s">
        <v>62</v>
      </c>
      <c r="F5" s="64" t="s">
        <v>63</v>
      </c>
      <c r="G5" s="65"/>
    </row>
    <row r="6" spans="1:13" x14ac:dyDescent="0.35">
      <c r="A6" s="230" t="s">
        <v>64</v>
      </c>
      <c r="B6" s="231"/>
      <c r="C6" s="231"/>
      <c r="D6" s="231"/>
      <c r="E6" s="66" t="s">
        <v>65</v>
      </c>
      <c r="F6" s="67" t="s">
        <v>66</v>
      </c>
      <c r="G6" s="68"/>
    </row>
    <row r="7" spans="1:13" x14ac:dyDescent="0.35">
      <c r="A7" s="230" t="s">
        <v>67</v>
      </c>
      <c r="B7" s="231"/>
      <c r="C7" s="231"/>
      <c r="D7" s="231"/>
      <c r="E7" s="69"/>
      <c r="F7" s="70"/>
      <c r="G7" s="71"/>
    </row>
    <row r="8" spans="1:13" ht="15" thickBot="1" x14ac:dyDescent="0.4">
      <c r="A8" s="72" t="s">
        <v>68</v>
      </c>
      <c r="B8" s="73"/>
      <c r="C8" s="73"/>
      <c r="D8" s="73"/>
      <c r="E8" s="74" t="s">
        <v>69</v>
      </c>
      <c r="F8" s="232" t="s">
        <v>70</v>
      </c>
      <c r="G8" s="233"/>
    </row>
    <row r="9" spans="1:13" ht="15" thickBot="1" x14ac:dyDescent="0.4">
      <c r="A9" s="234" t="s">
        <v>169</v>
      </c>
      <c r="B9" s="235"/>
      <c r="C9" s="235"/>
      <c r="D9" s="235"/>
      <c r="E9" s="235"/>
      <c r="F9" s="235"/>
      <c r="G9" s="236"/>
    </row>
    <row r="10" spans="1:13" ht="15.75" customHeight="1" x14ac:dyDescent="0.35">
      <c r="A10" s="213" t="s">
        <v>170</v>
      </c>
      <c r="B10" s="214"/>
      <c r="C10" s="214"/>
      <c r="D10" s="214"/>
      <c r="E10" s="214"/>
      <c r="F10" s="214"/>
      <c r="G10" s="215"/>
    </row>
    <row r="11" spans="1:13" ht="15.75" customHeight="1" thickBot="1" x14ac:dyDescent="0.4">
      <c r="A11" s="216"/>
      <c r="B11" s="217"/>
      <c r="C11" s="217"/>
      <c r="D11" s="217"/>
      <c r="E11" s="217"/>
      <c r="F11" s="217"/>
      <c r="G11" s="218"/>
    </row>
    <row r="12" spans="1:13" ht="28.5" thickBot="1" x14ac:dyDescent="0.4">
      <c r="A12" s="219" t="s">
        <v>6</v>
      </c>
      <c r="B12" s="220"/>
      <c r="C12" s="220"/>
      <c r="D12" s="220"/>
      <c r="E12" s="75" t="s">
        <v>71</v>
      </c>
      <c r="F12" s="76" t="s">
        <v>72</v>
      </c>
      <c r="G12" s="77" t="s">
        <v>73</v>
      </c>
    </row>
    <row r="13" spans="1:13" x14ac:dyDescent="0.35">
      <c r="A13" s="221"/>
      <c r="B13" s="222"/>
      <c r="C13" s="222"/>
      <c r="D13" s="222"/>
      <c r="E13" s="78"/>
      <c r="F13" s="78"/>
      <c r="G13" s="79"/>
    </row>
    <row r="14" spans="1:13" x14ac:dyDescent="0.35">
      <c r="A14" s="221" t="s">
        <v>171</v>
      </c>
      <c r="B14" s="222"/>
      <c r="C14" s="222"/>
      <c r="D14" s="223"/>
      <c r="E14" s="79"/>
      <c r="F14" s="79"/>
      <c r="G14" s="79"/>
    </row>
    <row r="15" spans="1:13" x14ac:dyDescent="0.35">
      <c r="A15" s="221"/>
      <c r="B15" s="222"/>
      <c r="C15" s="222"/>
      <c r="D15" s="223"/>
      <c r="E15" s="79"/>
      <c r="F15" s="79"/>
      <c r="G15" s="79"/>
    </row>
    <row r="16" spans="1:13" ht="21.75" customHeight="1" x14ac:dyDescent="0.35">
      <c r="A16" s="224" t="s">
        <v>74</v>
      </c>
      <c r="B16" s="225"/>
      <c r="C16" s="225"/>
      <c r="D16" s="226"/>
      <c r="E16" s="180">
        <v>404965.45000000013</v>
      </c>
      <c r="F16" s="181">
        <f>G16-E16</f>
        <v>73082.510000000009</v>
      </c>
      <c r="G16" s="181">
        <f>SUM(Evaluation!AA12:AA69)</f>
        <v>478047.96000000014</v>
      </c>
      <c r="J16" s="179"/>
      <c r="L16" s="181">
        <v>74120.04999999993</v>
      </c>
    </row>
    <row r="17" spans="1:12" ht="21.75" customHeight="1" x14ac:dyDescent="0.35">
      <c r="A17" s="224" t="s">
        <v>872</v>
      </c>
      <c r="B17" s="225"/>
      <c r="C17" s="225"/>
      <c r="D17" s="226"/>
      <c r="E17" s="180">
        <v>595057.90154002933</v>
      </c>
      <c r="F17" s="181">
        <f>G17-E17</f>
        <v>264280.16895997059</v>
      </c>
      <c r="G17" s="181">
        <f>SUM(Evaluation!AA10:AA11,Evaluation!AA70:AA731)*0.95</f>
        <v>859338.07049999991</v>
      </c>
      <c r="L17" s="181">
        <v>312243.12905997119</v>
      </c>
    </row>
    <row r="18" spans="1:12" ht="21.75" customHeight="1" x14ac:dyDescent="0.35">
      <c r="A18" s="224" t="s">
        <v>79</v>
      </c>
      <c r="B18" s="225"/>
      <c r="C18" s="225"/>
      <c r="D18" s="226"/>
      <c r="E18" s="180">
        <v>3177.5</v>
      </c>
      <c r="F18" s="181">
        <f>G18-E18</f>
        <v>5986</v>
      </c>
      <c r="G18" s="181">
        <f>Table37[[#Totals],[Total]]</f>
        <v>9163.5</v>
      </c>
      <c r="J18" s="179"/>
      <c r="L18" s="181">
        <v>5986</v>
      </c>
    </row>
    <row r="19" spans="1:12" ht="21.75" customHeight="1" x14ac:dyDescent="0.35">
      <c r="A19" s="224"/>
      <c r="B19" s="225"/>
      <c r="C19" s="225"/>
      <c r="D19" s="226"/>
      <c r="E19" s="82"/>
      <c r="F19" s="79"/>
      <c r="G19" s="79"/>
    </row>
    <row r="20" spans="1:12" ht="21.75" customHeight="1" x14ac:dyDescent="0.35">
      <c r="A20" s="240" t="s">
        <v>876</v>
      </c>
      <c r="B20" s="241"/>
      <c r="C20" s="241"/>
      <c r="D20" s="241"/>
      <c r="E20" s="241"/>
      <c r="F20" s="241"/>
      <c r="G20" s="242"/>
    </row>
    <row r="21" spans="1:12" ht="21.75" customHeight="1" x14ac:dyDescent="0.35">
      <c r="A21" s="240"/>
      <c r="B21" s="241"/>
      <c r="C21" s="241"/>
      <c r="D21" s="241"/>
      <c r="E21" s="241"/>
      <c r="F21" s="241"/>
      <c r="G21" s="242"/>
    </row>
    <row r="22" spans="1:12" ht="21.75" customHeight="1" x14ac:dyDescent="0.35">
      <c r="A22" s="224"/>
      <c r="B22" s="225"/>
      <c r="C22" s="225"/>
      <c r="D22" s="226"/>
      <c r="E22" s="82"/>
      <c r="F22" s="79"/>
      <c r="G22" s="79"/>
    </row>
    <row r="23" spans="1:12" x14ac:dyDescent="0.35">
      <c r="A23" s="202"/>
      <c r="B23" s="203"/>
      <c r="C23" s="203"/>
      <c r="D23" s="204"/>
      <c r="E23" s="83"/>
      <c r="F23" s="79"/>
      <c r="G23" s="79"/>
      <c r="J23" s="84"/>
    </row>
    <row r="24" spans="1:12" ht="16.899999999999999" customHeight="1" x14ac:dyDescent="0.35">
      <c r="A24" s="202"/>
      <c r="B24" s="203"/>
      <c r="C24" s="203"/>
      <c r="D24" s="204"/>
      <c r="E24" s="79"/>
      <c r="F24" s="83"/>
      <c r="G24" s="79"/>
    </row>
    <row r="25" spans="1:12" x14ac:dyDescent="0.35">
      <c r="A25" s="202"/>
      <c r="B25" s="203"/>
      <c r="C25" s="203"/>
      <c r="D25" s="204"/>
      <c r="E25" s="79"/>
      <c r="F25" s="83"/>
      <c r="G25" s="79"/>
    </row>
    <row r="26" spans="1:12" ht="15" thickBot="1" x14ac:dyDescent="0.4">
      <c r="A26" s="205"/>
      <c r="B26" s="206"/>
      <c r="C26" s="206"/>
      <c r="D26" s="207"/>
      <c r="E26" s="79"/>
      <c r="F26" s="83"/>
      <c r="G26" s="79"/>
    </row>
    <row r="27" spans="1:12" ht="34.9" customHeight="1" thickBot="1" x14ac:dyDescent="0.4">
      <c r="A27" s="208" t="s">
        <v>34</v>
      </c>
      <c r="B27" s="209"/>
      <c r="C27" s="209"/>
      <c r="D27" s="209"/>
      <c r="E27" s="89">
        <f>SUM(E16:E26)</f>
        <v>1003200.8515400295</v>
      </c>
      <c r="F27" s="89">
        <f>SUM(F16:F26)</f>
        <v>343348.6789599706</v>
      </c>
      <c r="G27" s="89">
        <f>SUM(G16:G26)</f>
        <v>1346549.5305000001</v>
      </c>
    </row>
    <row r="28" spans="1:12" ht="34.9" customHeight="1" thickBot="1" x14ac:dyDescent="0.4">
      <c r="A28" s="210" t="s">
        <v>871</v>
      </c>
      <c r="B28" s="211"/>
      <c r="C28" s="211"/>
      <c r="D28" s="211"/>
      <c r="E28" s="211"/>
      <c r="F28" s="211"/>
      <c r="G28" s="212"/>
    </row>
    <row r="29" spans="1:12" x14ac:dyDescent="0.35">
      <c r="A29" s="197" t="s">
        <v>75</v>
      </c>
      <c r="B29" s="198"/>
      <c r="C29" s="198"/>
      <c r="D29" s="198"/>
      <c r="E29" s="199" t="s">
        <v>873</v>
      </c>
      <c r="F29" s="200"/>
      <c r="G29" s="201"/>
    </row>
    <row r="30" spans="1:12" x14ac:dyDescent="0.35">
      <c r="A30" s="80"/>
      <c r="B30" s="81"/>
      <c r="C30" s="81"/>
      <c r="D30" s="81"/>
      <c r="E30" s="90"/>
      <c r="F30" s="91"/>
      <c r="G30" s="71"/>
    </row>
    <row r="31" spans="1:12" x14ac:dyDescent="0.35">
      <c r="A31" s="80"/>
      <c r="B31" s="81"/>
      <c r="C31" s="81"/>
      <c r="D31" s="81"/>
      <c r="E31" s="90"/>
      <c r="F31" s="91"/>
      <c r="G31" s="71"/>
    </row>
    <row r="32" spans="1:12" x14ac:dyDescent="0.35">
      <c r="A32" s="80"/>
      <c r="B32" s="81"/>
      <c r="C32" s="81"/>
      <c r="D32" s="81"/>
      <c r="E32" s="90"/>
      <c r="F32" s="91"/>
      <c r="G32" s="71"/>
    </row>
    <row r="33" spans="1:7" x14ac:dyDescent="0.35">
      <c r="A33" s="80"/>
      <c r="B33" s="81"/>
      <c r="C33" s="81"/>
      <c r="D33" s="81"/>
      <c r="E33" s="90"/>
      <c r="F33" s="91"/>
      <c r="G33" s="71"/>
    </row>
    <row r="34" spans="1:7" x14ac:dyDescent="0.35">
      <c r="A34" s="80"/>
      <c r="B34" s="81"/>
      <c r="C34" s="81"/>
      <c r="D34" s="81"/>
      <c r="E34" s="90"/>
      <c r="F34" s="91"/>
      <c r="G34" s="71"/>
    </row>
    <row r="35" spans="1:7" x14ac:dyDescent="0.35">
      <c r="A35" s="80"/>
      <c r="B35" s="81"/>
      <c r="C35" s="81"/>
      <c r="D35" s="81"/>
      <c r="E35" s="90"/>
      <c r="F35" s="91"/>
      <c r="G35" s="71"/>
    </row>
    <row r="36" spans="1:7" x14ac:dyDescent="0.35">
      <c r="A36" s="72"/>
      <c r="B36" s="73"/>
      <c r="C36" s="73"/>
      <c r="D36" s="73"/>
      <c r="E36" s="72"/>
      <c r="F36" s="73"/>
      <c r="G36" s="85"/>
    </row>
    <row r="37" spans="1:7" ht="15" thickBot="1" x14ac:dyDescent="0.4">
      <c r="A37" s="86"/>
      <c r="B37" s="87"/>
      <c r="C37" s="87"/>
      <c r="D37" s="87"/>
      <c r="E37" s="86" t="s">
        <v>76</v>
      </c>
      <c r="F37" s="87"/>
      <c r="G37" s="88"/>
    </row>
    <row r="38" spans="1:7" x14ac:dyDescent="0.35">
      <c r="A38" s="73" t="s">
        <v>77</v>
      </c>
      <c r="B38" s="73"/>
      <c r="C38" s="73"/>
      <c r="D38" s="73"/>
      <c r="E38" s="73"/>
      <c r="F38" s="73"/>
      <c r="G38" s="73"/>
    </row>
  </sheetData>
  <mergeCells count="25">
    <mergeCell ref="A22:D22"/>
    <mergeCell ref="A15:D15"/>
    <mergeCell ref="A24:D24"/>
    <mergeCell ref="A23:D23"/>
    <mergeCell ref="A17:D17"/>
    <mergeCell ref="A18:D18"/>
    <mergeCell ref="A19:D19"/>
    <mergeCell ref="A20:G21"/>
    <mergeCell ref="A1:G1"/>
    <mergeCell ref="A6:D6"/>
    <mergeCell ref="A7:D7"/>
    <mergeCell ref="F8:G8"/>
    <mergeCell ref="A9:G9"/>
    <mergeCell ref="A2:G2"/>
    <mergeCell ref="A10:G11"/>
    <mergeCell ref="A12:D12"/>
    <mergeCell ref="A13:D13"/>
    <mergeCell ref="A14:D14"/>
    <mergeCell ref="A16:D16"/>
    <mergeCell ref="A29:D29"/>
    <mergeCell ref="E29:G29"/>
    <mergeCell ref="A25:D25"/>
    <mergeCell ref="A26:D26"/>
    <mergeCell ref="A27:D27"/>
    <mergeCell ref="A28:G28"/>
  </mergeCells>
  <printOptions horizontalCentered="1" verticalCentered="1"/>
  <pageMargins left="0.70866141732283505" right="0.70866141732283505" top="1.04270833333333" bottom="0.74803149606299202" header="0.31496062992126" footer="0.31496062992126"/>
  <pageSetup paperSize="9" scale="96" orientation="portrait" verticalDpi="4294967293" r:id="rId1"/>
  <headerFooter>
    <oddHeader>&amp;R&amp;G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746"/>
  <sheetViews>
    <sheetView zoomScale="85" zoomScaleNormal="85" workbookViewId="0">
      <selection activeCell="X13" sqref="X13"/>
    </sheetView>
  </sheetViews>
  <sheetFormatPr defaultColWidth="9.1796875" defaultRowHeight="14.5" x14ac:dyDescent="0.35"/>
  <cols>
    <col min="1" max="1" width="30.54296875" style="8" customWidth="1"/>
    <col min="2" max="2" width="22.81640625" style="8" customWidth="1"/>
    <col min="3" max="3" width="14" style="8" customWidth="1"/>
    <col min="4" max="4" width="12.81640625" style="8" customWidth="1"/>
    <col min="5" max="5" width="10.7265625" style="8" bestFit="1" customWidth="1"/>
    <col min="6" max="6" width="36.26953125" style="13" customWidth="1"/>
    <col min="7" max="7" width="15.1796875" style="13" customWidth="1"/>
    <col min="8" max="8" width="33.26953125" style="8" customWidth="1"/>
    <col min="9" max="9" width="14.1796875" style="8" customWidth="1"/>
    <col min="10" max="10" width="13.1796875" style="8" customWidth="1"/>
    <col min="11" max="11" width="12.1796875" style="8" customWidth="1"/>
    <col min="12" max="12" width="12.54296875" style="8" customWidth="1"/>
    <col min="13" max="13" width="12.26953125" style="8" customWidth="1"/>
    <col min="14" max="14" width="15" style="8" customWidth="1"/>
    <col min="15" max="15" width="18.81640625" style="8" customWidth="1"/>
    <col min="16" max="16" width="11.81640625" style="120" customWidth="1"/>
    <col min="17" max="17" width="15.7265625" style="116" bestFit="1" customWidth="1"/>
    <col min="18" max="18" width="14.453125" style="8" bestFit="1" customWidth="1"/>
    <col min="19" max="19" width="12.453125" style="8" bestFit="1" customWidth="1"/>
    <col min="20" max="20" width="16.1796875" style="8" bestFit="1" customWidth="1"/>
    <col min="21" max="21" width="13.26953125" style="8" bestFit="1" customWidth="1"/>
    <col min="22" max="22" width="19.26953125" bestFit="1" customWidth="1"/>
    <col min="23" max="23" width="19.26953125" style="8" bestFit="1" customWidth="1"/>
    <col min="24" max="24" width="20.26953125" style="8" bestFit="1" customWidth="1"/>
    <col min="25" max="25" width="19.1796875" style="8" bestFit="1" customWidth="1"/>
    <col min="26" max="26" width="16.1796875" style="8" bestFit="1" customWidth="1"/>
    <col min="27" max="27" width="19.26953125" style="8" bestFit="1" customWidth="1"/>
    <col min="28" max="28" width="15" style="8" bestFit="1" customWidth="1"/>
    <col min="29" max="29" width="22" style="8" customWidth="1"/>
    <col min="30" max="30" width="27.81640625" style="8" customWidth="1"/>
    <col min="31" max="31" width="16.54296875" style="8" customWidth="1"/>
    <col min="32" max="32" width="17.81640625" style="8" bestFit="1" customWidth="1"/>
    <col min="33" max="16384" width="9.1796875" style="8"/>
  </cols>
  <sheetData>
    <row r="1" spans="1:30" ht="14" x14ac:dyDescent="0.3">
      <c r="P1" s="116"/>
      <c r="V1" s="8"/>
    </row>
    <row r="2" spans="1:30" ht="25" x14ac:dyDescent="0.5">
      <c r="A2" s="243" t="s">
        <v>19</v>
      </c>
      <c r="B2" s="243"/>
      <c r="C2" s="243"/>
      <c r="D2" s="243"/>
      <c r="E2" s="243"/>
      <c r="F2" s="8"/>
      <c r="G2" s="8"/>
      <c r="P2" s="116"/>
      <c r="V2" s="8"/>
    </row>
    <row r="3" spans="1:30" ht="14" x14ac:dyDescent="0.3">
      <c r="A3" s="244" t="s">
        <v>57</v>
      </c>
      <c r="B3" s="244"/>
      <c r="C3" s="244"/>
      <c r="D3" s="244"/>
      <c r="E3" s="244"/>
      <c r="F3" s="8"/>
      <c r="G3" s="8"/>
      <c r="P3" s="116"/>
      <c r="V3" s="8"/>
    </row>
    <row r="4" spans="1:30" ht="14" x14ac:dyDescent="0.3">
      <c r="A4" s="9" t="s">
        <v>20</v>
      </c>
      <c r="B4" s="9">
        <v>5</v>
      </c>
      <c r="F4" s="8"/>
      <c r="G4" s="8"/>
      <c r="P4" s="116"/>
      <c r="V4" s="8"/>
    </row>
    <row r="5" spans="1:30" ht="14" x14ac:dyDescent="0.3">
      <c r="A5" s="9" t="s">
        <v>16</v>
      </c>
      <c r="B5" s="9" t="s">
        <v>86</v>
      </c>
      <c r="F5" s="8"/>
      <c r="G5" s="8"/>
      <c r="P5" s="116"/>
      <c r="V5" s="8"/>
    </row>
    <row r="6" spans="1:30" ht="14" x14ac:dyDescent="0.3">
      <c r="A6" s="9" t="s">
        <v>55</v>
      </c>
      <c r="B6" s="9" t="s">
        <v>85</v>
      </c>
      <c r="F6" s="8"/>
      <c r="G6" s="8"/>
      <c r="I6" s="9"/>
      <c r="P6" s="116"/>
      <c r="R6" s="116"/>
      <c r="V6" s="8"/>
    </row>
    <row r="7" spans="1:30" ht="14" x14ac:dyDescent="0.3">
      <c r="A7" s="9" t="s">
        <v>87</v>
      </c>
      <c r="B7" s="10">
        <v>44951</v>
      </c>
      <c r="D7" s="9"/>
      <c r="E7" s="9"/>
      <c r="F7" s="8"/>
      <c r="G7" s="8"/>
      <c r="H7" s="11"/>
      <c r="I7" s="12"/>
      <c r="P7" s="116"/>
      <c r="V7" s="8"/>
    </row>
    <row r="8" spans="1:30" ht="14" x14ac:dyDescent="0.3">
      <c r="A8" s="9"/>
      <c r="B8" s="9"/>
      <c r="C8" s="10"/>
      <c r="D8" s="9"/>
      <c r="E8" s="9"/>
      <c r="F8" s="8"/>
      <c r="G8" s="8"/>
      <c r="H8" s="11"/>
      <c r="I8" s="12"/>
      <c r="P8" s="116"/>
      <c r="V8" s="8"/>
    </row>
    <row r="9" spans="1:30" s="15" customFormat="1" ht="30" customHeight="1" x14ac:dyDescent="0.35">
      <c r="A9" s="7" t="s">
        <v>13</v>
      </c>
      <c r="B9" s="7" t="s">
        <v>88</v>
      </c>
      <c r="C9" s="3" t="s">
        <v>3</v>
      </c>
      <c r="D9" s="3" t="s">
        <v>4</v>
      </c>
      <c r="E9" s="3" t="s">
        <v>5</v>
      </c>
      <c r="F9" s="3" t="s">
        <v>6</v>
      </c>
      <c r="G9" s="3" t="s">
        <v>82</v>
      </c>
      <c r="H9" s="3" t="s">
        <v>18</v>
      </c>
      <c r="I9" s="3" t="s">
        <v>22</v>
      </c>
      <c r="J9" s="3" t="s">
        <v>0</v>
      </c>
      <c r="K9" s="3" t="s">
        <v>1</v>
      </c>
      <c r="L9" s="3" t="s">
        <v>2</v>
      </c>
      <c r="M9" s="3" t="s">
        <v>7</v>
      </c>
      <c r="N9" s="3" t="s">
        <v>9</v>
      </c>
      <c r="O9" s="3" t="s">
        <v>8</v>
      </c>
      <c r="P9" s="117" t="s">
        <v>10</v>
      </c>
      <c r="Q9" s="117" t="s">
        <v>11</v>
      </c>
      <c r="R9" s="4" t="s">
        <v>28</v>
      </c>
      <c r="S9" s="4" t="s">
        <v>29</v>
      </c>
      <c r="T9" s="4" t="s">
        <v>27</v>
      </c>
      <c r="U9" s="4" t="s">
        <v>99</v>
      </c>
      <c r="V9" s="5" t="s">
        <v>12</v>
      </c>
      <c r="W9" s="5" t="s">
        <v>38</v>
      </c>
      <c r="X9" s="5" t="s">
        <v>23</v>
      </c>
      <c r="Y9" s="5" t="s">
        <v>25</v>
      </c>
      <c r="Z9" s="5" t="s">
        <v>24</v>
      </c>
      <c r="AA9" s="6" t="s">
        <v>26</v>
      </c>
      <c r="AB9" s="125" t="s">
        <v>173</v>
      </c>
      <c r="AC9" s="125" t="s">
        <v>174</v>
      </c>
      <c r="AD9" s="14" t="s">
        <v>14</v>
      </c>
    </row>
    <row r="10" spans="1:30" ht="30" customHeight="1" x14ac:dyDescent="0.3">
      <c r="A10" s="92" t="s">
        <v>94</v>
      </c>
      <c r="B10" s="92" t="s">
        <v>96</v>
      </c>
      <c r="C10" s="16">
        <v>1</v>
      </c>
      <c r="D10" s="16">
        <v>74602</v>
      </c>
      <c r="E10" s="16"/>
      <c r="F10" s="17" t="s">
        <v>81</v>
      </c>
      <c r="G10" s="17" t="s">
        <v>84</v>
      </c>
      <c r="H10" s="17" t="s">
        <v>98</v>
      </c>
      <c r="I10" s="16">
        <v>1</v>
      </c>
      <c r="J10" s="16"/>
      <c r="K10" s="16"/>
      <c r="L10" s="16"/>
      <c r="M10" s="16"/>
      <c r="N10" s="93" t="s">
        <v>56</v>
      </c>
      <c r="O10" s="16">
        <f>ROUND(IF(N10="m3",I10*J10*K10*L10,IF(N10="m2-LxH",I10*J10*L10,IF(N10="m2-LxW",I10*J10*K10,IF(N10="rm",I10*L10,IF(N10="lm",I10*J10,IF(N10="unit",I10,"NA")))))),2)</f>
        <v>1</v>
      </c>
      <c r="P10" s="18">
        <v>44830</v>
      </c>
      <c r="Q10" s="18"/>
      <c r="R10" s="19">
        <v>1</v>
      </c>
      <c r="S10" s="19">
        <v>1</v>
      </c>
      <c r="T10" s="19">
        <v>0</v>
      </c>
      <c r="U10" s="20">
        <f>IF(ISBLANK(Table1[[#This Row],[OHC Date]]),$B$7-Table1[[#This Row],[HOC Date]]+1,Table1[[#This Row],[OHC Date]]-Table1[[#This Row],[HOC Date]]+1)/7</f>
        <v>17.428571428571427</v>
      </c>
      <c r="V10" s="21">
        <v>50703.26</v>
      </c>
      <c r="W10" s="21">
        <v>2807</v>
      </c>
      <c r="X10" s="21">
        <f>ROUND(0.7*Table1[[#This Row],[E&amp;D Rate per unit]]*R10*Table1[[#This Row],[Quantity]],2)</f>
        <v>35492.28</v>
      </c>
      <c r="Y10" s="21">
        <f t="shared" ref="Y10:Y39" si="0">ROUND(O10*U10*W10*S10,2)</f>
        <v>48922</v>
      </c>
      <c r="Z10" s="21">
        <f>ROUND(0.3*T10*Table1[[#This Row],[E&amp;D Rate per unit]]*Table1[[#This Row],[Quantity]],2)</f>
        <v>0</v>
      </c>
      <c r="AA10" s="21">
        <f t="shared" ref="AA10:AA11" si="1">ROUND(X10+Z10+Y10,2)</f>
        <v>84414.28</v>
      </c>
      <c r="AB10" s="21">
        <v>71983.28</v>
      </c>
      <c r="AC10" s="21">
        <f>Table1[[#This Row],[Total Amount]]-Table1[[#This Row],[Previous Amount]]</f>
        <v>12431</v>
      </c>
      <c r="AD10" s="16" t="s">
        <v>83</v>
      </c>
    </row>
    <row r="11" spans="1:30" ht="30" customHeight="1" x14ac:dyDescent="0.3">
      <c r="A11" s="92" t="s">
        <v>90</v>
      </c>
      <c r="B11" s="92" t="s">
        <v>97</v>
      </c>
      <c r="C11" s="16"/>
      <c r="D11" s="16"/>
      <c r="E11" s="16"/>
      <c r="F11" s="17" t="s">
        <v>100</v>
      </c>
      <c r="G11" s="17" t="s">
        <v>101</v>
      </c>
      <c r="H11" s="16" t="s">
        <v>101</v>
      </c>
      <c r="I11" s="16">
        <v>1</v>
      </c>
      <c r="J11" s="16"/>
      <c r="K11" s="16"/>
      <c r="L11" s="16"/>
      <c r="M11" s="16"/>
      <c r="N11" s="93" t="s">
        <v>56</v>
      </c>
      <c r="O11" s="16">
        <f>ROUND(IF(N11="m3",I11*J11*K11*L11,IF(N11="m2-LxH",I11*J11*L11,IF(N11="m2-LxW",I11*J11*K11,IF(N11="rm",I11*L11,IF(N11="lm",I11*J11,IF(N11="unit",I11,"NA")))))),2)</f>
        <v>1</v>
      </c>
      <c r="P11" s="18">
        <v>44819</v>
      </c>
      <c r="Q11" s="18">
        <v>44835</v>
      </c>
      <c r="R11" s="19">
        <v>0</v>
      </c>
      <c r="S11" s="19">
        <v>1</v>
      </c>
      <c r="T11" s="19">
        <v>0</v>
      </c>
      <c r="U11" s="20">
        <f>IF(ISBLANK(Table1[[#This Row],[OHC Date]]),$B$7-Table1[[#This Row],[HOC Date]]+1,Table1[[#This Row],[OHC Date]]-Table1[[#This Row],[HOC Date]]+1)/7</f>
        <v>2.4285714285714284</v>
      </c>
      <c r="V11" s="21">
        <v>0</v>
      </c>
      <c r="W11" s="21">
        <v>200</v>
      </c>
      <c r="X11" s="21">
        <f>ROUND(0.7*Table1[[#This Row],[E&amp;D Rate per unit]]*R11*Table1[[#This Row],[Quantity]],2)</f>
        <v>0</v>
      </c>
      <c r="Y11" s="21">
        <f t="shared" si="0"/>
        <v>485.71</v>
      </c>
      <c r="Z11" s="21">
        <f>ROUND(0.3*T11*Table1[[#This Row],[E&amp;D Rate per unit]]*Table1[[#This Row],[Quantity]],2)</f>
        <v>0</v>
      </c>
      <c r="AA11" s="21">
        <f t="shared" si="1"/>
        <v>485.71</v>
      </c>
      <c r="AB11" s="21">
        <v>485.71</v>
      </c>
      <c r="AC11" s="21">
        <f>Table1[[#This Row],[Total Amount]]-Table1[[#This Row],[Previous Amount]]</f>
        <v>0</v>
      </c>
      <c r="AD11" s="16" t="s">
        <v>102</v>
      </c>
    </row>
    <row r="12" spans="1:30" ht="30" customHeight="1" x14ac:dyDescent="0.3">
      <c r="A12" s="149" t="s">
        <v>157</v>
      </c>
      <c r="B12" s="150" t="s">
        <v>97</v>
      </c>
      <c r="C12" s="102"/>
      <c r="D12" s="102"/>
      <c r="E12" s="102"/>
      <c r="F12" s="103" t="s">
        <v>158</v>
      </c>
      <c r="G12" s="17"/>
      <c r="H12" s="102"/>
      <c r="I12" s="102">
        <v>1</v>
      </c>
      <c r="J12" s="16"/>
      <c r="K12" s="16"/>
      <c r="L12" s="16"/>
      <c r="M12" s="16"/>
      <c r="N12" s="104" t="s">
        <v>56</v>
      </c>
      <c r="O12" s="16">
        <f>ROUND(IF(N12="m3",I12*J12*K12*L12,IF(N12="m2-LxH",I12*J12*L12,IF(N12="m2-LxW",I12*J12*K12,IF(N12="rm",I12*L12,IF(N12="lm",I12*J12,IF(N12="unit",I12,"NA")))))),2)</f>
        <v>1</v>
      </c>
      <c r="P12" s="18">
        <v>44824</v>
      </c>
      <c r="Q12" s="118">
        <v>44890</v>
      </c>
      <c r="R12" s="105">
        <v>0.95</v>
      </c>
      <c r="S12" s="105">
        <v>0.95</v>
      </c>
      <c r="T12" s="105">
        <v>0</v>
      </c>
      <c r="U12" s="106">
        <f>IF(ISBLANK(Table1[[#This Row],[OHC Date]]),$B$7-Table1[[#This Row],[HOC Date]]+1,Table1[[#This Row],[OHC Date]]-Table1[[#This Row],[HOC Date]]+1)/7</f>
        <v>9.5714285714285712</v>
      </c>
      <c r="V12" s="107">
        <v>191160</v>
      </c>
      <c r="W12" s="107">
        <v>6716</v>
      </c>
      <c r="X12" s="107">
        <v>0</v>
      </c>
      <c r="Y12" s="21">
        <v>0</v>
      </c>
      <c r="Z12" s="107">
        <f>ROUND(0.3*T12*Table1[[#This Row],[E&amp;D Rate per unit]]*Table1[[#This Row],[Quantity]],2)</f>
        <v>0</v>
      </c>
      <c r="AA12" s="107">
        <v>0</v>
      </c>
      <c r="AB12" s="126">
        <v>0</v>
      </c>
      <c r="AC12" s="126">
        <f>Table1[[#This Row],[Total Amount]]-Table1[[#This Row],[Previous Amount]]</f>
        <v>0</v>
      </c>
      <c r="AD12" s="108"/>
    </row>
    <row r="13" spans="1:30" ht="30" customHeight="1" x14ac:dyDescent="0.3">
      <c r="A13" s="149" t="s">
        <v>157</v>
      </c>
      <c r="B13" s="150" t="s">
        <v>97</v>
      </c>
      <c r="C13" s="102"/>
      <c r="D13" s="102"/>
      <c r="E13" s="102"/>
      <c r="F13" s="103" t="s">
        <v>158</v>
      </c>
      <c r="G13" s="17"/>
      <c r="H13" s="102"/>
      <c r="I13" s="102">
        <v>1</v>
      </c>
      <c r="J13" s="16"/>
      <c r="K13" s="16"/>
      <c r="L13" s="16"/>
      <c r="M13" s="16"/>
      <c r="N13" s="104" t="s">
        <v>56</v>
      </c>
      <c r="O13" s="16">
        <f>ROUND(IF(N13="m3",I13*J13*K13*L13,IF(N13="m2-LxH",I13*J13*L13,IF(N13="m2-LxW",I13*J13*K13,IF(N13="rm",I13*L13,IF(N13="lm",I13*J13,IF(N13="unit",I13,"NA")))))),2)</f>
        <v>1</v>
      </c>
      <c r="P13" s="18">
        <v>44824</v>
      </c>
      <c r="Q13" s="118"/>
      <c r="R13" s="105">
        <v>1</v>
      </c>
      <c r="S13" s="105">
        <v>0</v>
      </c>
      <c r="T13" s="105">
        <v>0</v>
      </c>
      <c r="U13" s="106">
        <f>IF(ISBLANK(Table1[[#This Row],[OHC Date]]),$B$7-Table1[[#This Row],[HOC Date]]+1,Table1[[#This Row],[OHC Date]]-Table1[[#This Row],[HOC Date]]+1)/7</f>
        <v>18.285714285714285</v>
      </c>
      <c r="V13" s="185">
        <f>256937.147396667-298.07-412.71</f>
        <v>256226.36739666699</v>
      </c>
      <c r="W13" s="107"/>
      <c r="X13" s="107">
        <f>ROUND(0.7*Table1[[#This Row],[E&amp;D Rate per unit]]*R13*Table1[[#This Row],[Quantity]],2)</f>
        <v>179358.46</v>
      </c>
      <c r="Y13" s="21">
        <f t="shared" si="0"/>
        <v>0</v>
      </c>
      <c r="Z13" s="107">
        <f>ROUND(0.3*T13*Table1[[#This Row],[E&amp;D Rate per unit]]*Table1[[#This Row],[Quantity]],2)</f>
        <v>0</v>
      </c>
      <c r="AA13" s="107">
        <f t="shared" ref="AA13:AA42" si="2">ROUND(X13+Z13+Y13,2)</f>
        <v>179358.46</v>
      </c>
      <c r="AB13" s="126">
        <v>179358.46</v>
      </c>
      <c r="AC13" s="126">
        <f>Table1[[#This Row],[Total Amount]]-Table1[[#This Row],[Previous Amount]]</f>
        <v>0</v>
      </c>
      <c r="AD13" s="127" t="s">
        <v>672</v>
      </c>
    </row>
    <row r="14" spans="1:30" ht="30" customHeight="1" x14ac:dyDescent="0.3">
      <c r="A14" s="149" t="s">
        <v>157</v>
      </c>
      <c r="B14" s="150" t="s">
        <v>97</v>
      </c>
      <c r="C14" s="102"/>
      <c r="D14" s="102"/>
      <c r="E14" s="102"/>
      <c r="F14" s="17" t="s">
        <v>631</v>
      </c>
      <c r="G14" s="17"/>
      <c r="H14" s="102"/>
      <c r="I14" s="102">
        <v>1</v>
      </c>
      <c r="J14" s="16"/>
      <c r="K14" s="16"/>
      <c r="L14" s="16"/>
      <c r="M14" s="16"/>
      <c r="N14" s="104" t="s">
        <v>56</v>
      </c>
      <c r="O14" s="16">
        <v>1</v>
      </c>
      <c r="P14" s="18">
        <v>44824</v>
      </c>
      <c r="Q14" s="118"/>
      <c r="R14" s="105">
        <v>1</v>
      </c>
      <c r="S14" s="105">
        <v>0</v>
      </c>
      <c r="T14" s="105">
        <v>0</v>
      </c>
      <c r="U14" s="106">
        <f>IF(ISBLANK(Table1[[#This Row],[OHC Date]]),$B$7-Table1[[#This Row],[HOC Date]]+1,Table1[[#This Row],[OHC Date]]-Table1[[#This Row],[HOC Date]]+1)/7</f>
        <v>18.285714285714285</v>
      </c>
      <c r="V14" s="107">
        <v>80440</v>
      </c>
      <c r="W14" s="107"/>
      <c r="X14" s="107">
        <f>ROUND(0.7*Table1[[#This Row],[E&amp;D Rate per unit]]*R14*Table1[[#This Row],[Quantity]],2)</f>
        <v>56308</v>
      </c>
      <c r="Y14" s="21">
        <f t="shared" si="0"/>
        <v>0</v>
      </c>
      <c r="Z14" s="107">
        <f>ROUND(0.3*T14*Table1[[#This Row],[E&amp;D Rate per unit]]*Table1[[#This Row],[Quantity]],2)</f>
        <v>0</v>
      </c>
      <c r="AA14" s="107">
        <f t="shared" si="2"/>
        <v>56308</v>
      </c>
      <c r="AB14" s="126">
        <v>56308</v>
      </c>
      <c r="AC14" s="126">
        <f>Table1[[#This Row],[Total Amount]]-Table1[[#This Row],[Previous Amount]]</f>
        <v>0</v>
      </c>
      <c r="AD14" s="127" t="s">
        <v>672</v>
      </c>
    </row>
    <row r="15" spans="1:30" ht="30" customHeight="1" x14ac:dyDescent="0.3">
      <c r="A15" s="150" t="s">
        <v>157</v>
      </c>
      <c r="B15" s="150" t="s">
        <v>97</v>
      </c>
      <c r="C15" s="102">
        <v>1</v>
      </c>
      <c r="D15" s="102">
        <v>74652</v>
      </c>
      <c r="E15" s="102"/>
      <c r="F15" s="17" t="s">
        <v>632</v>
      </c>
      <c r="G15" s="17" t="s">
        <v>634</v>
      </c>
      <c r="H15" s="16" t="s">
        <v>633</v>
      </c>
      <c r="I15" s="102">
        <v>1</v>
      </c>
      <c r="J15" s="16">
        <v>34.200000000000003</v>
      </c>
      <c r="K15" s="16">
        <v>1.3</v>
      </c>
      <c r="L15" s="16">
        <v>5</v>
      </c>
      <c r="M15" s="16">
        <v>1</v>
      </c>
      <c r="N15" s="104" t="s">
        <v>206</v>
      </c>
      <c r="O15" s="16">
        <f>ROUND(IF(N15="m3",I15*J15*K15*L15,IF(N15="m2-LxH",I15*J15*L15,IF(N15="m2-LxW",I15*J15*K15,IF(N15="rm",I15*L15,IF(N15="lm",I15*J15,IF(N15="unit",I15,"NA")))))),2)</f>
        <v>171</v>
      </c>
      <c r="P15" s="18">
        <v>44824</v>
      </c>
      <c r="Q15" s="118"/>
      <c r="R15" s="105">
        <v>0</v>
      </c>
      <c r="S15" s="105">
        <v>1</v>
      </c>
      <c r="T15" s="105">
        <v>0</v>
      </c>
      <c r="U15" s="106">
        <f>IF(ISBLANK(Table1[[#This Row],[OHC Date]]),$B$7-Table1[[#This Row],[HOC Date]]+1,Table1[[#This Row],[OHC Date]]-Table1[[#This Row],[HOC Date]]+1)/7</f>
        <v>18.285714285714285</v>
      </c>
      <c r="V15" s="107">
        <v>0</v>
      </c>
      <c r="W15" s="107">
        <v>0.49</v>
      </c>
      <c r="X15" s="107">
        <f>ROUND(0.7*Table1[[#This Row],[E&amp;D Rate per unit]]*R15*Table1[[#This Row],[Quantity]],2)</f>
        <v>0</v>
      </c>
      <c r="Y15" s="21">
        <f t="shared" si="0"/>
        <v>1532.16</v>
      </c>
      <c r="Z15" s="107">
        <f>ROUND(0.3*T15*Table1[[#This Row],[E&amp;D Rate per unit]]*Table1[[#This Row],[Quantity]],2)</f>
        <v>0</v>
      </c>
      <c r="AA15" s="107">
        <f t="shared" si="2"/>
        <v>1532.16</v>
      </c>
      <c r="AB15" s="126">
        <v>1161.0899999999999</v>
      </c>
      <c r="AC15" s="126">
        <f>Table1[[#This Row],[Total Amount]]-Table1[[#This Row],[Previous Amount]]</f>
        <v>371.07000000000016</v>
      </c>
      <c r="AD15" s="127" t="s">
        <v>672</v>
      </c>
    </row>
    <row r="16" spans="1:30" ht="30" customHeight="1" x14ac:dyDescent="0.3">
      <c r="A16" s="150" t="s">
        <v>157</v>
      </c>
      <c r="B16" s="150" t="s">
        <v>97</v>
      </c>
      <c r="C16" s="102">
        <v>1</v>
      </c>
      <c r="D16" s="102">
        <v>74652</v>
      </c>
      <c r="E16" s="102"/>
      <c r="F16" s="17" t="s">
        <v>632</v>
      </c>
      <c r="G16" s="17" t="s">
        <v>634</v>
      </c>
      <c r="H16" s="16" t="s">
        <v>633</v>
      </c>
      <c r="I16" s="102">
        <v>1</v>
      </c>
      <c r="J16" s="16">
        <v>25.2</v>
      </c>
      <c r="K16" s="16">
        <v>1.8</v>
      </c>
      <c r="L16" s="16">
        <v>10.5</v>
      </c>
      <c r="M16" s="16">
        <v>5</v>
      </c>
      <c r="N16" s="104" t="s">
        <v>206</v>
      </c>
      <c r="O16" s="16">
        <f>ROUND(IF(N16="m3",I16*J16*K16*L16,IF(N16="m2-LxH",I16*J16*L16,IF(N16="m2-LxW",I16*J16*K16,IF(N16="rm",I16*L16,IF(N16="lm",I16*J16,IF(N16="unit",I16,"NA")))))),2)</f>
        <v>264.60000000000002</v>
      </c>
      <c r="P16" s="18">
        <v>44824</v>
      </c>
      <c r="Q16" s="118"/>
      <c r="R16" s="105">
        <v>0</v>
      </c>
      <c r="S16" s="105">
        <v>1</v>
      </c>
      <c r="T16" s="105">
        <v>0</v>
      </c>
      <c r="U16" s="106">
        <f>IF(ISBLANK(Table1[[#This Row],[OHC Date]]),$B$7-Table1[[#This Row],[HOC Date]]+1,Table1[[#This Row],[OHC Date]]-Table1[[#This Row],[HOC Date]]+1)/7</f>
        <v>18.285714285714285</v>
      </c>
      <c r="V16" s="107">
        <v>0</v>
      </c>
      <c r="W16" s="107">
        <v>0.77</v>
      </c>
      <c r="X16" s="107">
        <f>ROUND(0.7*Table1[[#This Row],[E&amp;D Rate per unit]]*R16*Table1[[#This Row],[Quantity]],2)</f>
        <v>0</v>
      </c>
      <c r="Y16" s="21">
        <f t="shared" si="0"/>
        <v>3725.57</v>
      </c>
      <c r="Z16" s="107">
        <f>ROUND(0.3*T16*Table1[[#This Row],[E&amp;D Rate per unit]]*Table1[[#This Row],[Quantity]],2)</f>
        <v>0</v>
      </c>
      <c r="AA16" s="107">
        <f t="shared" si="2"/>
        <v>3725.57</v>
      </c>
      <c r="AB16" s="126">
        <v>2823.28</v>
      </c>
      <c r="AC16" s="126">
        <f>Table1[[#This Row],[Total Amount]]-Table1[[#This Row],[Previous Amount]]</f>
        <v>902.29</v>
      </c>
      <c r="AD16" s="127" t="s">
        <v>672</v>
      </c>
    </row>
    <row r="17" spans="1:30" ht="30" customHeight="1" x14ac:dyDescent="0.3">
      <c r="A17" s="150" t="s">
        <v>157</v>
      </c>
      <c r="B17" s="150" t="s">
        <v>97</v>
      </c>
      <c r="C17" s="102">
        <v>1</v>
      </c>
      <c r="D17" s="102">
        <v>74652</v>
      </c>
      <c r="E17" s="102"/>
      <c r="F17" s="17" t="s">
        <v>632</v>
      </c>
      <c r="G17" s="17" t="s">
        <v>634</v>
      </c>
      <c r="H17" s="16" t="s">
        <v>633</v>
      </c>
      <c r="I17" s="102">
        <v>4</v>
      </c>
      <c r="J17" s="16">
        <v>25.2</v>
      </c>
      <c r="K17" s="16">
        <v>1.8</v>
      </c>
      <c r="L17" s="16">
        <v>1</v>
      </c>
      <c r="M17" s="16">
        <v>4</v>
      </c>
      <c r="N17" s="104" t="s">
        <v>160</v>
      </c>
      <c r="O17" s="16">
        <f t="shared" ref="O17" si="3">ROUND(IF(N17="m3",I17*J17*K17*L17,IF(N17="m2-LxH",I17*J17*L17,IF(N17="m2-LxW",I17*J17*K17,IF(N17="rm",I17*L17,IF(N17="lm",I17*J17,IF(N17="unit",I17,"NA")))))),2)</f>
        <v>181.44</v>
      </c>
      <c r="P17" s="18">
        <v>44824</v>
      </c>
      <c r="Q17" s="118"/>
      <c r="R17" s="105">
        <v>0</v>
      </c>
      <c r="S17" s="105">
        <v>1</v>
      </c>
      <c r="T17" s="105">
        <v>0</v>
      </c>
      <c r="U17" s="106">
        <f>IF(ISBLANK(Table1[[#This Row],[OHC Date]]),$B$7-Table1[[#This Row],[HOC Date]]+1,Table1[[#This Row],[OHC Date]]-Table1[[#This Row],[HOC Date]]+1)/7</f>
        <v>18.285714285714285</v>
      </c>
      <c r="V17" s="107">
        <v>0</v>
      </c>
      <c r="W17" s="107">
        <v>0.7</v>
      </c>
      <c r="X17" s="107">
        <f>ROUND(0.7*Table1[[#This Row],[E&amp;D Rate per unit]]*R17*Table1[[#This Row],[Quantity]],2)</f>
        <v>0</v>
      </c>
      <c r="Y17" s="21">
        <f t="shared" si="0"/>
        <v>2322.4299999999998</v>
      </c>
      <c r="Z17" s="107">
        <f>ROUND(0.3*T17*Table1[[#This Row],[E&amp;D Rate per unit]]*Table1[[#This Row],[Quantity]],2)</f>
        <v>0</v>
      </c>
      <c r="AA17" s="107">
        <f t="shared" si="2"/>
        <v>2322.4299999999998</v>
      </c>
      <c r="AB17" s="126">
        <v>1759.97</v>
      </c>
      <c r="AC17" s="126">
        <f>Table1[[#This Row],[Total Amount]]-Table1[[#This Row],[Previous Amount]]</f>
        <v>562.45999999999981</v>
      </c>
      <c r="AD17" s="127" t="s">
        <v>672</v>
      </c>
    </row>
    <row r="18" spans="1:30" ht="30" customHeight="1" x14ac:dyDescent="0.3">
      <c r="A18" s="150" t="s">
        <v>157</v>
      </c>
      <c r="B18" s="150" t="s">
        <v>97</v>
      </c>
      <c r="C18" s="102">
        <v>1</v>
      </c>
      <c r="D18" s="102">
        <v>74652</v>
      </c>
      <c r="E18" s="102"/>
      <c r="F18" s="17" t="s">
        <v>632</v>
      </c>
      <c r="G18" s="17" t="s">
        <v>634</v>
      </c>
      <c r="H18" s="16" t="s">
        <v>633</v>
      </c>
      <c r="I18" s="102">
        <v>1</v>
      </c>
      <c r="J18" s="16">
        <v>7.2</v>
      </c>
      <c r="K18" s="16">
        <v>1.8</v>
      </c>
      <c r="L18" s="16">
        <v>15.5</v>
      </c>
      <c r="M18" s="16">
        <v>1</v>
      </c>
      <c r="N18" s="104" t="s">
        <v>206</v>
      </c>
      <c r="O18" s="16">
        <f t="shared" ref="O18:O47" si="4">ROUND(IF(N18="m3",I18*J18*K18*L18,IF(N18="m2-LxH",I18*J18*L18,IF(N18="m2-LxW",I18*J18*K18,IF(N18="rm",I18*L18,IF(N18="lm",I18*J18,IF(N18="unit",I18,"NA")))))),2)</f>
        <v>111.6</v>
      </c>
      <c r="P18" s="18">
        <v>44824</v>
      </c>
      <c r="Q18" s="118"/>
      <c r="R18" s="105">
        <v>0</v>
      </c>
      <c r="S18" s="105">
        <v>1</v>
      </c>
      <c r="T18" s="105">
        <v>0</v>
      </c>
      <c r="U18" s="106">
        <f>IF(ISBLANK(Table1[[#This Row],[OHC Date]]),$B$7-Table1[[#This Row],[HOC Date]]+1,Table1[[#This Row],[OHC Date]]-Table1[[#This Row],[HOC Date]]+1)/7</f>
        <v>18.285714285714285</v>
      </c>
      <c r="V18" s="107">
        <v>0</v>
      </c>
      <c r="W18" s="107">
        <v>0.77</v>
      </c>
      <c r="X18" s="107">
        <f>ROUND(0.7*Table1[[#This Row],[E&amp;D Rate per unit]]*R18*Table1[[#This Row],[Quantity]],2)</f>
        <v>0</v>
      </c>
      <c r="Y18" s="21">
        <f t="shared" si="0"/>
        <v>1571.33</v>
      </c>
      <c r="Z18" s="107">
        <f>ROUND(0.3*T18*Table1[[#This Row],[E&amp;D Rate per unit]]*Table1[[#This Row],[Quantity]],2)</f>
        <v>0</v>
      </c>
      <c r="AA18" s="107">
        <f t="shared" si="2"/>
        <v>1571.33</v>
      </c>
      <c r="AB18" s="126">
        <v>1190.77</v>
      </c>
      <c r="AC18" s="126">
        <f>Table1[[#This Row],[Total Amount]]-Table1[[#This Row],[Previous Amount]]</f>
        <v>380.55999999999995</v>
      </c>
      <c r="AD18" s="127" t="s">
        <v>672</v>
      </c>
    </row>
    <row r="19" spans="1:30" ht="30" customHeight="1" x14ac:dyDescent="0.3">
      <c r="A19" s="150" t="s">
        <v>157</v>
      </c>
      <c r="B19" s="150" t="s">
        <v>97</v>
      </c>
      <c r="C19" s="102">
        <v>1</v>
      </c>
      <c r="D19" s="102">
        <v>74652</v>
      </c>
      <c r="E19" s="102"/>
      <c r="F19" s="17" t="s">
        <v>632</v>
      </c>
      <c r="G19" s="17" t="s">
        <v>634</v>
      </c>
      <c r="H19" s="16" t="s">
        <v>633</v>
      </c>
      <c r="I19" s="102">
        <v>1</v>
      </c>
      <c r="J19" s="16">
        <v>14.4</v>
      </c>
      <c r="K19" s="16">
        <v>1.8</v>
      </c>
      <c r="L19" s="16">
        <v>4.2</v>
      </c>
      <c r="M19" s="16">
        <v>1</v>
      </c>
      <c r="N19" s="104" t="s">
        <v>206</v>
      </c>
      <c r="O19" s="16">
        <f t="shared" si="4"/>
        <v>60.48</v>
      </c>
      <c r="P19" s="18">
        <v>44824</v>
      </c>
      <c r="Q19" s="118"/>
      <c r="R19" s="105">
        <v>0</v>
      </c>
      <c r="S19" s="105">
        <v>1</v>
      </c>
      <c r="T19" s="105">
        <v>0</v>
      </c>
      <c r="U19" s="106">
        <f>IF(ISBLANK(Table1[[#This Row],[OHC Date]]),$B$7-Table1[[#This Row],[HOC Date]]+1,Table1[[#This Row],[OHC Date]]-Table1[[#This Row],[HOC Date]]+1)/7</f>
        <v>18.285714285714285</v>
      </c>
      <c r="V19" s="107">
        <v>0</v>
      </c>
      <c r="W19" s="107">
        <v>0.77</v>
      </c>
      <c r="X19" s="107">
        <f>ROUND(0.7*Table1[[#This Row],[E&amp;D Rate per unit]]*R19*Table1[[#This Row],[Quantity]],2)</f>
        <v>0</v>
      </c>
      <c r="Y19" s="21">
        <f t="shared" si="0"/>
        <v>851.56</v>
      </c>
      <c r="Z19" s="107">
        <f>ROUND(0.3*T19*Table1[[#This Row],[E&amp;D Rate per unit]]*Table1[[#This Row],[Quantity]],2)</f>
        <v>0</v>
      </c>
      <c r="AA19" s="107">
        <f t="shared" si="2"/>
        <v>851.56</v>
      </c>
      <c r="AB19" s="126">
        <v>645.32000000000005</v>
      </c>
      <c r="AC19" s="126">
        <f>Table1[[#This Row],[Total Amount]]-Table1[[#This Row],[Previous Amount]]</f>
        <v>206.2399999999999</v>
      </c>
      <c r="AD19" s="127" t="s">
        <v>672</v>
      </c>
    </row>
    <row r="20" spans="1:30" ht="30" customHeight="1" x14ac:dyDescent="0.3">
      <c r="A20" s="150" t="s">
        <v>157</v>
      </c>
      <c r="B20" s="150" t="s">
        <v>97</v>
      </c>
      <c r="C20" s="102">
        <v>1</v>
      </c>
      <c r="D20" s="102">
        <v>74652</v>
      </c>
      <c r="E20" s="102"/>
      <c r="F20" s="17" t="s">
        <v>632</v>
      </c>
      <c r="G20" s="17" t="s">
        <v>634</v>
      </c>
      <c r="H20" s="16" t="s">
        <v>633</v>
      </c>
      <c r="I20" s="102">
        <v>1</v>
      </c>
      <c r="J20" s="16">
        <v>14.4</v>
      </c>
      <c r="K20" s="16">
        <v>1.8</v>
      </c>
      <c r="L20" s="16">
        <v>6</v>
      </c>
      <c r="M20" s="16">
        <v>2</v>
      </c>
      <c r="N20" s="104" t="s">
        <v>206</v>
      </c>
      <c r="O20" s="16">
        <f t="shared" si="4"/>
        <v>86.4</v>
      </c>
      <c r="P20" s="18">
        <v>44824</v>
      </c>
      <c r="Q20" s="118"/>
      <c r="R20" s="105">
        <v>0</v>
      </c>
      <c r="S20" s="105">
        <v>1</v>
      </c>
      <c r="T20" s="105">
        <v>0</v>
      </c>
      <c r="U20" s="106">
        <f>IF(ISBLANK(Table1[[#This Row],[OHC Date]]),$B$7-Table1[[#This Row],[HOC Date]]+1,Table1[[#This Row],[OHC Date]]-Table1[[#This Row],[HOC Date]]+1)/7</f>
        <v>18.285714285714285</v>
      </c>
      <c r="V20" s="107">
        <v>0</v>
      </c>
      <c r="W20" s="107">
        <v>0.77</v>
      </c>
      <c r="X20" s="107">
        <f>ROUND(0.7*Table1[[#This Row],[E&amp;D Rate per unit]]*R20*Table1[[#This Row],[Quantity]],2)</f>
        <v>0</v>
      </c>
      <c r="Y20" s="21">
        <f t="shared" si="0"/>
        <v>1216.51</v>
      </c>
      <c r="Z20" s="107">
        <f>ROUND(0.3*T20*Table1[[#This Row],[E&amp;D Rate per unit]]*Table1[[#This Row],[Quantity]],2)</f>
        <v>0</v>
      </c>
      <c r="AA20" s="107">
        <f t="shared" si="2"/>
        <v>1216.51</v>
      </c>
      <c r="AB20" s="126">
        <v>921.89</v>
      </c>
      <c r="AC20" s="126">
        <f>Table1[[#This Row],[Total Amount]]-Table1[[#This Row],[Previous Amount]]</f>
        <v>294.62</v>
      </c>
      <c r="AD20" s="127" t="s">
        <v>672</v>
      </c>
    </row>
    <row r="21" spans="1:30" ht="30" customHeight="1" x14ac:dyDescent="0.3">
      <c r="A21" s="150" t="s">
        <v>157</v>
      </c>
      <c r="B21" s="150" t="s">
        <v>97</v>
      </c>
      <c r="C21" s="102">
        <v>1</v>
      </c>
      <c r="D21" s="102">
        <v>74652</v>
      </c>
      <c r="E21" s="102"/>
      <c r="F21" s="17" t="s">
        <v>632</v>
      </c>
      <c r="G21" s="17" t="s">
        <v>634</v>
      </c>
      <c r="H21" s="16" t="s">
        <v>633</v>
      </c>
      <c r="I21" s="102">
        <v>1</v>
      </c>
      <c r="J21" s="16">
        <v>14.4</v>
      </c>
      <c r="K21" s="16">
        <v>1.8</v>
      </c>
      <c r="L21" s="16">
        <v>1</v>
      </c>
      <c r="M21" s="16">
        <v>1</v>
      </c>
      <c r="N21" s="104" t="s">
        <v>160</v>
      </c>
      <c r="O21" s="16">
        <f t="shared" si="4"/>
        <v>25.92</v>
      </c>
      <c r="P21" s="18">
        <v>44824</v>
      </c>
      <c r="Q21" s="118"/>
      <c r="R21" s="105">
        <v>0</v>
      </c>
      <c r="S21" s="105">
        <v>1</v>
      </c>
      <c r="T21" s="105">
        <v>0</v>
      </c>
      <c r="U21" s="106">
        <f>IF(ISBLANK(Table1[[#This Row],[OHC Date]]),$B$7-Table1[[#This Row],[HOC Date]]+1,Table1[[#This Row],[OHC Date]]-Table1[[#This Row],[HOC Date]]+1)/7</f>
        <v>18.285714285714285</v>
      </c>
      <c r="V21" s="107">
        <v>0</v>
      </c>
      <c r="W21" s="107">
        <v>0.7</v>
      </c>
      <c r="X21" s="107">
        <f>ROUND(0.7*Table1[[#This Row],[E&amp;D Rate per unit]]*R21*Table1[[#This Row],[Quantity]],2)</f>
        <v>0</v>
      </c>
      <c r="Y21" s="21">
        <f t="shared" si="0"/>
        <v>331.78</v>
      </c>
      <c r="Z21" s="107">
        <f>ROUND(0.3*T21*Table1[[#This Row],[E&amp;D Rate per unit]]*Table1[[#This Row],[Quantity]],2)</f>
        <v>0</v>
      </c>
      <c r="AA21" s="107">
        <f t="shared" si="2"/>
        <v>331.78</v>
      </c>
      <c r="AB21" s="126">
        <v>251.42</v>
      </c>
      <c r="AC21" s="126">
        <f>Table1[[#This Row],[Total Amount]]-Table1[[#This Row],[Previous Amount]]</f>
        <v>80.359999999999985</v>
      </c>
      <c r="AD21" s="127" t="s">
        <v>672</v>
      </c>
    </row>
    <row r="22" spans="1:30" ht="30" customHeight="1" x14ac:dyDescent="0.3">
      <c r="A22" s="150" t="s">
        <v>157</v>
      </c>
      <c r="B22" s="150" t="s">
        <v>97</v>
      </c>
      <c r="C22" s="16" t="s">
        <v>635</v>
      </c>
      <c r="D22" s="102">
        <v>74656</v>
      </c>
      <c r="E22" s="102"/>
      <c r="F22" s="17" t="s">
        <v>632</v>
      </c>
      <c r="G22" s="17" t="s">
        <v>634</v>
      </c>
      <c r="H22" s="16" t="s">
        <v>633</v>
      </c>
      <c r="I22" s="102">
        <v>1</v>
      </c>
      <c r="J22" s="16">
        <v>9</v>
      </c>
      <c r="K22" s="16">
        <v>1.8</v>
      </c>
      <c r="L22" s="16">
        <v>10.5</v>
      </c>
      <c r="M22" s="16">
        <v>1</v>
      </c>
      <c r="N22" s="104" t="s">
        <v>206</v>
      </c>
      <c r="O22" s="16">
        <f t="shared" si="4"/>
        <v>94.5</v>
      </c>
      <c r="P22" s="18">
        <v>44825</v>
      </c>
      <c r="Q22" s="118"/>
      <c r="R22" s="105">
        <v>0</v>
      </c>
      <c r="S22" s="105">
        <v>1</v>
      </c>
      <c r="T22" s="105">
        <v>0</v>
      </c>
      <c r="U22" s="106">
        <f>IF(ISBLANK(Table1[[#This Row],[OHC Date]]),$B$7-Table1[[#This Row],[HOC Date]]+1,Table1[[#This Row],[OHC Date]]-Table1[[#This Row],[HOC Date]]+1)/7</f>
        <v>18.142857142857142</v>
      </c>
      <c r="V22" s="107">
        <v>0</v>
      </c>
      <c r="W22" s="107">
        <v>0.77</v>
      </c>
      <c r="X22" s="107">
        <f>ROUND(0.7*Table1[[#This Row],[E&amp;D Rate per unit]]*R22*Table1[[#This Row],[Quantity]],2)</f>
        <v>0</v>
      </c>
      <c r="Y22" s="21">
        <f t="shared" si="0"/>
        <v>1320.17</v>
      </c>
      <c r="Z22" s="107">
        <f>ROUND(0.3*T22*Table1[[#This Row],[E&amp;D Rate per unit]]*Table1[[#This Row],[Quantity]],2)</f>
        <v>0</v>
      </c>
      <c r="AA22" s="107">
        <f t="shared" si="2"/>
        <v>1320.17</v>
      </c>
      <c r="AB22" s="126">
        <v>997.92</v>
      </c>
      <c r="AC22" s="126">
        <f>Table1[[#This Row],[Total Amount]]-Table1[[#This Row],[Previous Amount]]</f>
        <v>322.25000000000011</v>
      </c>
      <c r="AD22" s="127" t="s">
        <v>672</v>
      </c>
    </row>
    <row r="23" spans="1:30" ht="30" customHeight="1" x14ac:dyDescent="0.3">
      <c r="A23" s="150" t="s">
        <v>157</v>
      </c>
      <c r="B23" s="150" t="s">
        <v>97</v>
      </c>
      <c r="C23" s="16" t="s">
        <v>636</v>
      </c>
      <c r="D23" s="102">
        <v>74674</v>
      </c>
      <c r="E23" s="102"/>
      <c r="F23" s="17" t="s">
        <v>632</v>
      </c>
      <c r="G23" s="17" t="s">
        <v>634</v>
      </c>
      <c r="H23" s="16" t="s">
        <v>633</v>
      </c>
      <c r="I23" s="102">
        <v>1</v>
      </c>
      <c r="J23" s="16">
        <v>23.4</v>
      </c>
      <c r="K23" s="16">
        <v>2.75</v>
      </c>
      <c r="L23" s="16">
        <v>1</v>
      </c>
      <c r="M23" s="16">
        <v>1</v>
      </c>
      <c r="N23" s="104" t="s">
        <v>160</v>
      </c>
      <c r="O23" s="16">
        <f t="shared" si="4"/>
        <v>64.349999999999994</v>
      </c>
      <c r="P23" s="18">
        <v>44835</v>
      </c>
      <c r="Q23" s="118"/>
      <c r="R23" s="105">
        <v>0</v>
      </c>
      <c r="S23" s="105">
        <v>1</v>
      </c>
      <c r="T23" s="105">
        <v>0</v>
      </c>
      <c r="U23" s="106">
        <f>IF(ISBLANK(Table1[[#This Row],[OHC Date]]),$B$7-Table1[[#This Row],[HOC Date]]+1,Table1[[#This Row],[OHC Date]]-Table1[[#This Row],[HOC Date]]+1)/7</f>
        <v>16.714285714285715</v>
      </c>
      <c r="V23" s="107">
        <v>0</v>
      </c>
      <c r="W23" s="107">
        <v>6.72</v>
      </c>
      <c r="X23" s="107">
        <f>ROUND(0.7*Table1[[#This Row],[E&amp;D Rate per unit]]*R23*Table1[[#This Row],[Quantity]],2)</f>
        <v>0</v>
      </c>
      <c r="Y23" s="21">
        <f t="shared" si="0"/>
        <v>7227.79</v>
      </c>
      <c r="Z23" s="107">
        <f>ROUND(0.3*T23*Table1[[#This Row],[E&amp;D Rate per unit]]*Table1[[#This Row],[Quantity]],2)</f>
        <v>0</v>
      </c>
      <c r="AA23" s="107">
        <f t="shared" si="2"/>
        <v>7227.79</v>
      </c>
      <c r="AB23" s="126">
        <v>5312.74</v>
      </c>
      <c r="AC23" s="126">
        <f>Table1[[#This Row],[Total Amount]]-Table1[[#This Row],[Previous Amount]]</f>
        <v>1915.0500000000002</v>
      </c>
      <c r="AD23" s="127" t="s">
        <v>672</v>
      </c>
    </row>
    <row r="24" spans="1:30" ht="30" customHeight="1" x14ac:dyDescent="0.3">
      <c r="A24" s="150" t="s">
        <v>157</v>
      </c>
      <c r="B24" s="150" t="s">
        <v>97</v>
      </c>
      <c r="C24" s="16" t="s">
        <v>638</v>
      </c>
      <c r="D24" s="102">
        <v>79101</v>
      </c>
      <c r="E24" s="102"/>
      <c r="F24" s="17" t="s">
        <v>632</v>
      </c>
      <c r="G24" s="17" t="s">
        <v>634</v>
      </c>
      <c r="H24" s="16" t="s">
        <v>633</v>
      </c>
      <c r="I24" s="102">
        <v>1</v>
      </c>
      <c r="J24" s="16">
        <v>20</v>
      </c>
      <c r="K24" s="16">
        <v>2.75</v>
      </c>
      <c r="L24" s="16">
        <v>1</v>
      </c>
      <c r="M24" s="16">
        <v>1</v>
      </c>
      <c r="N24" s="104" t="s">
        <v>160</v>
      </c>
      <c r="O24" s="16">
        <f t="shared" si="4"/>
        <v>55</v>
      </c>
      <c r="P24" s="18">
        <v>44901</v>
      </c>
      <c r="Q24" s="118"/>
      <c r="R24" s="105">
        <v>0</v>
      </c>
      <c r="S24" s="105">
        <v>1</v>
      </c>
      <c r="T24" s="105">
        <v>0</v>
      </c>
      <c r="U24" s="106">
        <f>IF(ISBLANK(Table1[[#This Row],[OHC Date]]),$B$7-Table1[[#This Row],[HOC Date]]+1,Table1[[#This Row],[OHC Date]]-Table1[[#This Row],[HOC Date]]+1)/7</f>
        <v>7.2857142857142856</v>
      </c>
      <c r="V24" s="107">
        <v>0</v>
      </c>
      <c r="W24" s="107">
        <v>6.72</v>
      </c>
      <c r="X24" s="107">
        <f>ROUND(0.7*Table1[[#This Row],[E&amp;D Rate per unit]]*R24*Table1[[#This Row],[Quantity]],2)</f>
        <v>0</v>
      </c>
      <c r="Y24" s="21">
        <f t="shared" si="0"/>
        <v>2692.8</v>
      </c>
      <c r="Z24" s="107">
        <f>ROUND(0.3*T24*Table1[[#This Row],[E&amp;D Rate per unit]]*Table1[[#This Row],[Quantity]],2)</f>
        <v>0</v>
      </c>
      <c r="AA24" s="107">
        <f t="shared" si="2"/>
        <v>2692.8</v>
      </c>
      <c r="AB24" s="126">
        <v>1056</v>
      </c>
      <c r="AC24" s="126">
        <f>Table1[[#This Row],[Total Amount]]-Table1[[#This Row],[Previous Amount]]</f>
        <v>1636.8000000000002</v>
      </c>
      <c r="AD24" s="127" t="s">
        <v>672</v>
      </c>
    </row>
    <row r="25" spans="1:30" ht="30" customHeight="1" x14ac:dyDescent="0.3">
      <c r="A25" s="150" t="s">
        <v>157</v>
      </c>
      <c r="B25" s="150" t="s">
        <v>97</v>
      </c>
      <c r="C25" s="16" t="s">
        <v>637</v>
      </c>
      <c r="D25" s="102">
        <v>79146</v>
      </c>
      <c r="E25" s="102"/>
      <c r="F25" s="17" t="s">
        <v>632</v>
      </c>
      <c r="G25" s="17" t="s">
        <v>634</v>
      </c>
      <c r="H25" s="16" t="s">
        <v>633</v>
      </c>
      <c r="I25" s="102">
        <v>1</v>
      </c>
      <c r="J25" s="16">
        <v>6</v>
      </c>
      <c r="K25" s="16">
        <v>2.5</v>
      </c>
      <c r="L25" s="16">
        <v>1</v>
      </c>
      <c r="M25" s="16">
        <v>1</v>
      </c>
      <c r="N25" s="104" t="s">
        <v>160</v>
      </c>
      <c r="O25" s="16">
        <f t="shared" si="4"/>
        <v>15</v>
      </c>
      <c r="P25" s="18">
        <v>44910</v>
      </c>
      <c r="Q25" s="118"/>
      <c r="R25" s="105">
        <v>0</v>
      </c>
      <c r="S25" s="105">
        <v>1</v>
      </c>
      <c r="T25" s="105">
        <v>0</v>
      </c>
      <c r="U25" s="106">
        <f>IF(ISBLANK(Table1[[#This Row],[OHC Date]]),$B$7-Table1[[#This Row],[HOC Date]]+1,Table1[[#This Row],[OHC Date]]-Table1[[#This Row],[HOC Date]]+1)/7</f>
        <v>6</v>
      </c>
      <c r="V25" s="107">
        <v>0</v>
      </c>
      <c r="W25" s="107">
        <v>6.72</v>
      </c>
      <c r="X25" s="107">
        <f>ROUND(0.7*Table1[[#This Row],[E&amp;D Rate per unit]]*R25*Table1[[#This Row],[Quantity]],2)</f>
        <v>0</v>
      </c>
      <c r="Y25" s="21">
        <f t="shared" si="0"/>
        <v>604.79999999999995</v>
      </c>
      <c r="Z25" s="107">
        <f>ROUND(0.3*T25*Table1[[#This Row],[E&amp;D Rate per unit]]*Table1[[#This Row],[Quantity]],2)</f>
        <v>0</v>
      </c>
      <c r="AA25" s="107">
        <f t="shared" si="2"/>
        <v>604.79999999999995</v>
      </c>
      <c r="AB25" s="126">
        <v>158.4</v>
      </c>
      <c r="AC25" s="126">
        <f>Table1[[#This Row],[Total Amount]]-Table1[[#This Row],[Previous Amount]]</f>
        <v>446.4</v>
      </c>
      <c r="AD25" s="127" t="s">
        <v>672</v>
      </c>
    </row>
    <row r="26" spans="1:30" ht="30" customHeight="1" x14ac:dyDescent="0.3">
      <c r="A26" s="150" t="s">
        <v>157</v>
      </c>
      <c r="B26" s="150" t="s">
        <v>97</v>
      </c>
      <c r="C26" s="102">
        <v>1</v>
      </c>
      <c r="D26" s="102">
        <v>74652</v>
      </c>
      <c r="E26" s="102"/>
      <c r="F26" s="17" t="s">
        <v>632</v>
      </c>
      <c r="G26" s="17" t="s">
        <v>634</v>
      </c>
      <c r="H26" s="16" t="s">
        <v>639</v>
      </c>
      <c r="I26" s="102">
        <v>1</v>
      </c>
      <c r="J26" s="16">
        <v>50.4</v>
      </c>
      <c r="K26" s="16">
        <v>1.3</v>
      </c>
      <c r="L26" s="16">
        <v>1</v>
      </c>
      <c r="M26" s="16"/>
      <c r="N26" s="104" t="s">
        <v>224</v>
      </c>
      <c r="O26" s="16">
        <f t="shared" si="4"/>
        <v>65.52</v>
      </c>
      <c r="P26" s="18">
        <v>44824</v>
      </c>
      <c r="Q26" s="118"/>
      <c r="R26" s="105">
        <v>0</v>
      </c>
      <c r="S26" s="105">
        <v>1</v>
      </c>
      <c r="T26" s="105">
        <v>0</v>
      </c>
      <c r="U26" s="106">
        <f>IF(ISBLANK(Table1[[#This Row],[OHC Date]]),$B$7-Table1[[#This Row],[HOC Date]]+1,Table1[[#This Row],[OHC Date]]-Table1[[#This Row],[HOC Date]]+1)/7</f>
        <v>18.285714285714285</v>
      </c>
      <c r="V26" s="107">
        <v>0</v>
      </c>
      <c r="W26" s="107">
        <v>10.15</v>
      </c>
      <c r="X26" s="107">
        <f>ROUND(0.7*Table1[[#This Row],[E&amp;D Rate per unit]]*R26*Table1[[#This Row],[Quantity]],2)</f>
        <v>0</v>
      </c>
      <c r="Y26" s="21">
        <f t="shared" si="0"/>
        <v>12160.51</v>
      </c>
      <c r="Z26" s="107">
        <f>ROUND(0.3*T26*Table1[[#This Row],[E&amp;D Rate per unit]]*Table1[[#This Row],[Quantity]],2)</f>
        <v>0</v>
      </c>
      <c r="AA26" s="183">
        <f t="shared" si="2"/>
        <v>12160.51</v>
      </c>
      <c r="AB26" s="126">
        <v>9215.39</v>
      </c>
      <c r="AC26" s="126">
        <f>Table1[[#This Row],[Total Amount]]-Table1[[#This Row],[Previous Amount]]</f>
        <v>2945.1200000000008</v>
      </c>
      <c r="AD26" s="127" t="s">
        <v>672</v>
      </c>
    </row>
    <row r="27" spans="1:30" ht="30" customHeight="1" x14ac:dyDescent="0.3">
      <c r="A27" s="150" t="s">
        <v>157</v>
      </c>
      <c r="B27" s="150" t="s">
        <v>97</v>
      </c>
      <c r="C27" s="102">
        <v>1</v>
      </c>
      <c r="D27" s="102">
        <v>74652</v>
      </c>
      <c r="E27" s="102"/>
      <c r="F27" s="17" t="s">
        <v>632</v>
      </c>
      <c r="G27" s="17" t="s">
        <v>634</v>
      </c>
      <c r="H27" s="151" t="s">
        <v>640</v>
      </c>
      <c r="I27" s="102">
        <v>1</v>
      </c>
      <c r="J27" s="16">
        <v>224</v>
      </c>
      <c r="K27" s="16">
        <v>1</v>
      </c>
      <c r="L27" s="16">
        <v>1</v>
      </c>
      <c r="M27" s="16"/>
      <c r="N27" s="104" t="s">
        <v>283</v>
      </c>
      <c r="O27" s="16">
        <f t="shared" si="4"/>
        <v>224</v>
      </c>
      <c r="P27" s="18">
        <v>44824</v>
      </c>
      <c r="Q27" s="118"/>
      <c r="R27" s="105">
        <v>0</v>
      </c>
      <c r="S27" s="105">
        <v>1</v>
      </c>
      <c r="T27" s="105">
        <v>0</v>
      </c>
      <c r="U27" s="106">
        <f>IF(ISBLANK(Table1[[#This Row],[OHC Date]]),$B$7-Table1[[#This Row],[HOC Date]]+1,Table1[[#This Row],[OHC Date]]-Table1[[#This Row],[HOC Date]]+1)/7</f>
        <v>18.285714285714285</v>
      </c>
      <c r="V27" s="107">
        <v>0</v>
      </c>
      <c r="W27" s="107">
        <v>17.149999999999999</v>
      </c>
      <c r="X27" s="107">
        <f>ROUND(0.7*Table1[[#This Row],[E&amp;D Rate per unit]]*R27*Table1[[#This Row],[Quantity]],2)</f>
        <v>0</v>
      </c>
      <c r="Y27" s="21">
        <f t="shared" si="0"/>
        <v>70246.399999999994</v>
      </c>
      <c r="Z27" s="107">
        <f>ROUND(0.3*T27*Table1[[#This Row],[E&amp;D Rate per unit]]*Table1[[#This Row],[Quantity]],2)</f>
        <v>0</v>
      </c>
      <c r="AA27" s="183">
        <f t="shared" si="2"/>
        <v>70246.399999999994</v>
      </c>
      <c r="AB27" s="126">
        <v>53233.599999999999</v>
      </c>
      <c r="AC27" s="126">
        <f>Table1[[#This Row],[Total Amount]]-Table1[[#This Row],[Previous Amount]]</f>
        <v>17012.799999999996</v>
      </c>
      <c r="AD27" s="127" t="s">
        <v>672</v>
      </c>
    </row>
    <row r="28" spans="1:30" ht="30" customHeight="1" x14ac:dyDescent="0.3">
      <c r="A28" s="150" t="s">
        <v>157</v>
      </c>
      <c r="B28" s="150" t="s">
        <v>97</v>
      </c>
      <c r="C28" s="16" t="s">
        <v>269</v>
      </c>
      <c r="D28" s="102">
        <v>79109</v>
      </c>
      <c r="E28" s="102"/>
      <c r="F28" s="17" t="s">
        <v>632</v>
      </c>
      <c r="G28" s="17" t="s">
        <v>641</v>
      </c>
      <c r="H28" s="16" t="s">
        <v>642</v>
      </c>
      <c r="I28" s="102">
        <v>1</v>
      </c>
      <c r="J28" s="16">
        <v>20</v>
      </c>
      <c r="K28" s="16">
        <v>2.75</v>
      </c>
      <c r="L28" s="16">
        <v>1</v>
      </c>
      <c r="M28" s="16">
        <v>1</v>
      </c>
      <c r="N28" s="104" t="s">
        <v>160</v>
      </c>
      <c r="O28" s="16">
        <f t="shared" si="4"/>
        <v>55</v>
      </c>
      <c r="P28" s="18">
        <v>44902</v>
      </c>
      <c r="Q28" s="118"/>
      <c r="R28" s="105">
        <v>0</v>
      </c>
      <c r="S28" s="105">
        <v>1</v>
      </c>
      <c r="T28" s="105">
        <v>0</v>
      </c>
      <c r="U28" s="106">
        <f>IF(ISBLANK(Table1[[#This Row],[OHC Date]]),$B$7-Table1[[#This Row],[HOC Date]]+1,Table1[[#This Row],[OHC Date]]-Table1[[#This Row],[HOC Date]]+1)/7</f>
        <v>7.1428571428571432</v>
      </c>
      <c r="V28" s="107">
        <v>0</v>
      </c>
      <c r="W28" s="107">
        <v>6.72</v>
      </c>
      <c r="X28" s="107">
        <f>ROUND(0.7*Table1[[#This Row],[E&amp;D Rate per unit]]*R28*Table1[[#This Row],[Quantity]],2)</f>
        <v>0</v>
      </c>
      <c r="Y28" s="21">
        <f t="shared" si="0"/>
        <v>2640</v>
      </c>
      <c r="Z28" s="107">
        <f>ROUND(0.3*T28*Table1[[#This Row],[E&amp;D Rate per unit]]*Table1[[#This Row],[Quantity]],2)</f>
        <v>0</v>
      </c>
      <c r="AA28" s="107">
        <f t="shared" si="2"/>
        <v>2640</v>
      </c>
      <c r="AB28" s="126">
        <v>1003.2</v>
      </c>
      <c r="AC28" s="126">
        <f>Table1[[#This Row],[Total Amount]]-Table1[[#This Row],[Previous Amount]]</f>
        <v>1636.8</v>
      </c>
      <c r="AD28" s="127" t="s">
        <v>672</v>
      </c>
    </row>
    <row r="29" spans="1:30" ht="30" customHeight="1" x14ac:dyDescent="0.3">
      <c r="A29" s="150" t="s">
        <v>157</v>
      </c>
      <c r="B29" s="150" t="s">
        <v>97</v>
      </c>
      <c r="C29" s="16" t="s">
        <v>643</v>
      </c>
      <c r="D29" s="102">
        <v>79158</v>
      </c>
      <c r="E29" s="102"/>
      <c r="F29" s="17" t="s">
        <v>632</v>
      </c>
      <c r="G29" s="17">
        <v>31</v>
      </c>
      <c r="H29" s="16" t="s">
        <v>642</v>
      </c>
      <c r="I29" s="102">
        <v>1</v>
      </c>
      <c r="J29" s="16">
        <v>5</v>
      </c>
      <c r="K29" s="16">
        <v>2.75</v>
      </c>
      <c r="L29" s="16">
        <v>1</v>
      </c>
      <c r="M29" s="16">
        <v>1</v>
      </c>
      <c r="N29" s="104" t="s">
        <v>160</v>
      </c>
      <c r="O29" s="16">
        <f t="shared" si="4"/>
        <v>13.75</v>
      </c>
      <c r="P29" s="18">
        <v>44911</v>
      </c>
      <c r="Q29" s="118"/>
      <c r="R29" s="105">
        <v>0</v>
      </c>
      <c r="S29" s="105">
        <v>1</v>
      </c>
      <c r="T29" s="105">
        <v>0</v>
      </c>
      <c r="U29" s="106">
        <f>IF(ISBLANK(Table1[[#This Row],[OHC Date]]),$B$7-Table1[[#This Row],[HOC Date]]+1,Table1[[#This Row],[OHC Date]]-Table1[[#This Row],[HOC Date]]+1)/7</f>
        <v>5.8571428571428568</v>
      </c>
      <c r="V29" s="107">
        <v>0</v>
      </c>
      <c r="W29" s="107">
        <v>6.72</v>
      </c>
      <c r="X29" s="107">
        <f>ROUND(0.7*Table1[[#This Row],[E&amp;D Rate per unit]]*R29*Table1[[#This Row],[Quantity]],2)</f>
        <v>0</v>
      </c>
      <c r="Y29" s="21">
        <f t="shared" si="0"/>
        <v>541.20000000000005</v>
      </c>
      <c r="Z29" s="107">
        <f>ROUND(0.3*T29*Table1[[#This Row],[E&amp;D Rate per unit]]*Table1[[#This Row],[Quantity]],2)</f>
        <v>0</v>
      </c>
      <c r="AA29" s="107">
        <f t="shared" si="2"/>
        <v>541.20000000000005</v>
      </c>
      <c r="AB29" s="126">
        <v>132</v>
      </c>
      <c r="AC29" s="126">
        <f>Table1[[#This Row],[Total Amount]]-Table1[[#This Row],[Previous Amount]]</f>
        <v>409.20000000000005</v>
      </c>
      <c r="AD29" s="127" t="s">
        <v>672</v>
      </c>
    </row>
    <row r="30" spans="1:30" ht="30" customHeight="1" x14ac:dyDescent="0.3">
      <c r="A30" s="150" t="s">
        <v>157</v>
      </c>
      <c r="B30" s="150" t="s">
        <v>97</v>
      </c>
      <c r="C30" s="16" t="s">
        <v>644</v>
      </c>
      <c r="D30" s="102">
        <v>79143</v>
      </c>
      <c r="E30" s="102"/>
      <c r="F30" s="17" t="s">
        <v>632</v>
      </c>
      <c r="G30" s="17">
        <v>31</v>
      </c>
      <c r="H30" s="16" t="s">
        <v>642</v>
      </c>
      <c r="I30" s="102">
        <v>1</v>
      </c>
      <c r="J30" s="16">
        <v>12</v>
      </c>
      <c r="K30" s="16">
        <v>2.75</v>
      </c>
      <c r="L30" s="16">
        <v>1</v>
      </c>
      <c r="M30" s="16">
        <v>1</v>
      </c>
      <c r="N30" s="104" t="s">
        <v>160</v>
      </c>
      <c r="O30" s="16">
        <f t="shared" si="4"/>
        <v>33</v>
      </c>
      <c r="P30" s="18">
        <v>44909</v>
      </c>
      <c r="Q30" s="118"/>
      <c r="R30" s="105">
        <v>0</v>
      </c>
      <c r="S30" s="105">
        <v>1</v>
      </c>
      <c r="T30" s="105">
        <v>0</v>
      </c>
      <c r="U30" s="106">
        <f>IF(ISBLANK(Table1[[#This Row],[OHC Date]]),$B$7-Table1[[#This Row],[HOC Date]]+1,Table1[[#This Row],[OHC Date]]-Table1[[#This Row],[HOC Date]]+1)/7</f>
        <v>6.1428571428571432</v>
      </c>
      <c r="V30" s="107">
        <v>0</v>
      </c>
      <c r="W30" s="107">
        <v>6.72</v>
      </c>
      <c r="X30" s="107">
        <f>ROUND(0.7*Table1[[#This Row],[E&amp;D Rate per unit]]*R30*Table1[[#This Row],[Quantity]],2)</f>
        <v>0</v>
      </c>
      <c r="Y30" s="21">
        <f t="shared" si="0"/>
        <v>1362.24</v>
      </c>
      <c r="Z30" s="107">
        <f>ROUND(0.3*T30*Table1[[#This Row],[E&amp;D Rate per unit]]*Table1[[#This Row],[Quantity]],2)</f>
        <v>0</v>
      </c>
      <c r="AA30" s="107">
        <f t="shared" si="2"/>
        <v>1362.24</v>
      </c>
      <c r="AB30" s="126">
        <v>380.16</v>
      </c>
      <c r="AC30" s="126">
        <f>Table1[[#This Row],[Total Amount]]-Table1[[#This Row],[Previous Amount]]</f>
        <v>982.07999999999993</v>
      </c>
      <c r="AD30" s="127" t="s">
        <v>672</v>
      </c>
    </row>
    <row r="31" spans="1:30" ht="30" customHeight="1" x14ac:dyDescent="0.3">
      <c r="A31" s="150" t="s">
        <v>157</v>
      </c>
      <c r="B31" s="150" t="s">
        <v>97</v>
      </c>
      <c r="C31" s="16" t="s">
        <v>269</v>
      </c>
      <c r="D31" s="102">
        <v>79109</v>
      </c>
      <c r="E31" s="102"/>
      <c r="F31" s="17" t="s">
        <v>632</v>
      </c>
      <c r="G31" s="17" t="s">
        <v>641</v>
      </c>
      <c r="H31" s="16" t="s">
        <v>642</v>
      </c>
      <c r="I31" s="102">
        <v>1</v>
      </c>
      <c r="J31" s="16">
        <v>12</v>
      </c>
      <c r="K31" s="16">
        <v>5</v>
      </c>
      <c r="L31" s="16">
        <v>1</v>
      </c>
      <c r="M31" s="16">
        <v>1</v>
      </c>
      <c r="N31" s="104" t="s">
        <v>160</v>
      </c>
      <c r="O31" s="16">
        <f t="shared" si="4"/>
        <v>60</v>
      </c>
      <c r="P31" s="18">
        <v>44902</v>
      </c>
      <c r="Q31" s="118"/>
      <c r="R31" s="105">
        <v>0</v>
      </c>
      <c r="S31" s="105">
        <v>1</v>
      </c>
      <c r="T31" s="105">
        <v>0</v>
      </c>
      <c r="U31" s="106">
        <f>IF(ISBLANK(Table1[[#This Row],[OHC Date]]),$B$7-Table1[[#This Row],[HOC Date]]+1,Table1[[#This Row],[OHC Date]]-Table1[[#This Row],[HOC Date]]+1)/7</f>
        <v>7.1428571428571432</v>
      </c>
      <c r="V31" s="107">
        <v>0</v>
      </c>
      <c r="W31" s="107">
        <v>12.25</v>
      </c>
      <c r="X31" s="107">
        <f>ROUND(0.7*Table1[[#This Row],[E&amp;D Rate per unit]]*R31*Table1[[#This Row],[Quantity]],2)</f>
        <v>0</v>
      </c>
      <c r="Y31" s="21">
        <f t="shared" si="0"/>
        <v>5250</v>
      </c>
      <c r="Z31" s="107">
        <f>ROUND(0.3*T31*Table1[[#This Row],[E&amp;D Rate per unit]]*Table1[[#This Row],[Quantity]],2)</f>
        <v>0</v>
      </c>
      <c r="AA31" s="107">
        <f t="shared" si="2"/>
        <v>5250</v>
      </c>
      <c r="AB31" s="126">
        <v>1995</v>
      </c>
      <c r="AC31" s="126">
        <f>Table1[[#This Row],[Total Amount]]-Table1[[#This Row],[Previous Amount]]</f>
        <v>3255</v>
      </c>
      <c r="AD31" s="127" t="s">
        <v>672</v>
      </c>
    </row>
    <row r="32" spans="1:30" ht="30" customHeight="1" x14ac:dyDescent="0.3">
      <c r="A32" s="150" t="s">
        <v>157</v>
      </c>
      <c r="B32" s="150" t="s">
        <v>97</v>
      </c>
      <c r="C32" s="16" t="s">
        <v>644</v>
      </c>
      <c r="D32" s="102">
        <v>79143</v>
      </c>
      <c r="E32" s="102"/>
      <c r="F32" s="17" t="s">
        <v>632</v>
      </c>
      <c r="G32" s="17">
        <v>31</v>
      </c>
      <c r="H32" s="16" t="s">
        <v>642</v>
      </c>
      <c r="I32" s="102">
        <v>1</v>
      </c>
      <c r="J32" s="16">
        <v>12</v>
      </c>
      <c r="K32" s="16">
        <v>2.75</v>
      </c>
      <c r="L32" s="16">
        <v>1</v>
      </c>
      <c r="M32" s="16">
        <v>1</v>
      </c>
      <c r="N32" s="104" t="s">
        <v>160</v>
      </c>
      <c r="O32" s="16">
        <f t="shared" si="4"/>
        <v>33</v>
      </c>
      <c r="P32" s="18">
        <v>44909</v>
      </c>
      <c r="Q32" s="118"/>
      <c r="R32" s="105">
        <v>0</v>
      </c>
      <c r="S32" s="105">
        <v>1</v>
      </c>
      <c r="T32" s="105">
        <v>0</v>
      </c>
      <c r="U32" s="106">
        <f>IF(ISBLANK(Table1[[#This Row],[OHC Date]]),$B$7-Table1[[#This Row],[HOC Date]]+1,Table1[[#This Row],[OHC Date]]-Table1[[#This Row],[HOC Date]]+1)/7</f>
        <v>6.1428571428571432</v>
      </c>
      <c r="V32" s="107">
        <v>0</v>
      </c>
      <c r="W32" s="107">
        <v>8.61</v>
      </c>
      <c r="X32" s="107">
        <f>ROUND(0.7*Table1[[#This Row],[E&amp;D Rate per unit]]*R32*Table1[[#This Row],[Quantity]],2)</f>
        <v>0</v>
      </c>
      <c r="Y32" s="21">
        <f t="shared" si="0"/>
        <v>1745.37</v>
      </c>
      <c r="Z32" s="107">
        <f>ROUND(0.3*T32*Table1[[#This Row],[E&amp;D Rate per unit]]*Table1[[#This Row],[Quantity]],2)</f>
        <v>0</v>
      </c>
      <c r="AA32" s="107">
        <f t="shared" si="2"/>
        <v>1745.37</v>
      </c>
      <c r="AB32" s="126">
        <v>487.08</v>
      </c>
      <c r="AC32" s="126">
        <f>Table1[[#This Row],[Total Amount]]-Table1[[#This Row],[Previous Amount]]</f>
        <v>1258.29</v>
      </c>
      <c r="AD32" s="127" t="s">
        <v>672</v>
      </c>
    </row>
    <row r="33" spans="1:30" ht="30" customHeight="1" x14ac:dyDescent="0.3">
      <c r="A33" s="150" t="s">
        <v>157</v>
      </c>
      <c r="B33" s="150" t="s">
        <v>97</v>
      </c>
      <c r="C33" s="16"/>
      <c r="D33" s="102"/>
      <c r="E33" s="102"/>
      <c r="F33" s="17" t="s">
        <v>632</v>
      </c>
      <c r="G33" s="17">
        <v>31</v>
      </c>
      <c r="H33" s="16" t="s">
        <v>645</v>
      </c>
      <c r="I33" s="102">
        <v>1</v>
      </c>
      <c r="J33" s="16">
        <v>52</v>
      </c>
      <c r="K33" s="16">
        <v>1</v>
      </c>
      <c r="L33" s="16">
        <v>1</v>
      </c>
      <c r="M33" s="16"/>
      <c r="N33" s="104" t="s">
        <v>206</v>
      </c>
      <c r="O33" s="16">
        <f t="shared" si="4"/>
        <v>52</v>
      </c>
      <c r="P33" s="18">
        <v>44909</v>
      </c>
      <c r="Q33" s="118"/>
      <c r="R33" s="105">
        <v>0</v>
      </c>
      <c r="S33" s="105">
        <v>1</v>
      </c>
      <c r="T33" s="105">
        <v>0</v>
      </c>
      <c r="U33" s="106">
        <f>IF(ISBLANK(Table1[[#This Row],[OHC Date]]),$B$7-Table1[[#This Row],[HOC Date]]+1,Table1[[#This Row],[OHC Date]]-Table1[[#This Row],[HOC Date]]+1)/7</f>
        <v>6.1428571428571432</v>
      </c>
      <c r="V33" s="107">
        <v>0</v>
      </c>
      <c r="W33" s="107">
        <v>0</v>
      </c>
      <c r="X33" s="107">
        <f>ROUND(0.7*Table1[[#This Row],[E&amp;D Rate per unit]]*R33*Table1[[#This Row],[Quantity]],2)</f>
        <v>0</v>
      </c>
      <c r="Y33" s="21">
        <f t="shared" si="0"/>
        <v>0</v>
      </c>
      <c r="Z33" s="107">
        <f>ROUND(0.3*T33*Table1[[#This Row],[E&amp;D Rate per unit]]*Table1[[#This Row],[Quantity]],2)</f>
        <v>0</v>
      </c>
      <c r="AA33" s="107">
        <f t="shared" si="2"/>
        <v>0</v>
      </c>
      <c r="AB33" s="126">
        <v>0</v>
      </c>
      <c r="AC33" s="126">
        <f>Table1[[#This Row],[Total Amount]]-Table1[[#This Row],[Previous Amount]]</f>
        <v>0</v>
      </c>
      <c r="AD33" s="127" t="s">
        <v>672</v>
      </c>
    </row>
    <row r="34" spans="1:30" ht="30" customHeight="1" x14ac:dyDescent="0.3">
      <c r="A34" s="150" t="s">
        <v>157</v>
      </c>
      <c r="B34" s="150" t="s">
        <v>97</v>
      </c>
      <c r="C34" s="102">
        <v>8</v>
      </c>
      <c r="D34" s="102">
        <v>77651</v>
      </c>
      <c r="E34" s="102"/>
      <c r="F34" s="17" t="s">
        <v>632</v>
      </c>
      <c r="G34" s="17" t="s">
        <v>209</v>
      </c>
      <c r="H34" s="16" t="s">
        <v>646</v>
      </c>
      <c r="I34" s="102">
        <v>1</v>
      </c>
      <c r="J34" s="16">
        <v>6.8</v>
      </c>
      <c r="K34" s="16">
        <v>1.8</v>
      </c>
      <c r="L34" s="16">
        <v>4</v>
      </c>
      <c r="M34" s="16">
        <v>1</v>
      </c>
      <c r="N34" s="104" t="s">
        <v>206</v>
      </c>
      <c r="O34" s="16">
        <f t="shared" si="4"/>
        <v>27.2</v>
      </c>
      <c r="P34" s="18">
        <v>44844</v>
      </c>
      <c r="Q34" s="118"/>
      <c r="R34" s="105">
        <v>0</v>
      </c>
      <c r="S34" s="105">
        <v>1</v>
      </c>
      <c r="T34" s="105">
        <v>0</v>
      </c>
      <c r="U34" s="106">
        <f>IF(ISBLANK(Table1[[#This Row],[OHC Date]]),$B$7-Table1[[#This Row],[HOC Date]]+1,Table1[[#This Row],[OHC Date]]-Table1[[#This Row],[HOC Date]]+1)/7</f>
        <v>15.428571428571429</v>
      </c>
      <c r="V34" s="107">
        <v>0</v>
      </c>
      <c r="W34" s="107">
        <v>0.77</v>
      </c>
      <c r="X34" s="107">
        <f>ROUND(0.7*Table1[[#This Row],[E&amp;D Rate per unit]]*R34*Table1[[#This Row],[Quantity]],2)</f>
        <v>0</v>
      </c>
      <c r="Y34" s="21">
        <f t="shared" si="0"/>
        <v>323.14</v>
      </c>
      <c r="Z34" s="107">
        <f>ROUND(0.3*T34*Table1[[#This Row],[E&amp;D Rate per unit]]*Table1[[#This Row],[Quantity]],2)</f>
        <v>0</v>
      </c>
      <c r="AA34" s="107">
        <f t="shared" si="2"/>
        <v>323.14</v>
      </c>
      <c r="AB34" s="126">
        <v>230.38</v>
      </c>
      <c r="AC34" s="126">
        <f>Table1[[#This Row],[Total Amount]]-Table1[[#This Row],[Previous Amount]]</f>
        <v>92.759999999999991</v>
      </c>
      <c r="AD34" s="127" t="s">
        <v>672</v>
      </c>
    </row>
    <row r="35" spans="1:30" ht="30" customHeight="1" x14ac:dyDescent="0.3">
      <c r="A35" s="150" t="s">
        <v>157</v>
      </c>
      <c r="B35" s="150" t="s">
        <v>97</v>
      </c>
      <c r="C35" s="16" t="s">
        <v>268</v>
      </c>
      <c r="D35" s="102">
        <v>77651</v>
      </c>
      <c r="E35" s="102"/>
      <c r="F35" s="17" t="s">
        <v>632</v>
      </c>
      <c r="G35" s="17" t="s">
        <v>647</v>
      </c>
      <c r="H35" s="16" t="s">
        <v>646</v>
      </c>
      <c r="I35" s="102">
        <v>1</v>
      </c>
      <c r="J35" s="16">
        <v>23.4</v>
      </c>
      <c r="K35" s="16">
        <v>3.6</v>
      </c>
      <c r="L35" s="16">
        <v>24</v>
      </c>
      <c r="M35" s="16">
        <v>1</v>
      </c>
      <c r="N35" s="104" t="s">
        <v>224</v>
      </c>
      <c r="O35" s="16">
        <f t="shared" si="4"/>
        <v>2021.76</v>
      </c>
      <c r="P35" s="18">
        <v>44844</v>
      </c>
      <c r="Q35" s="118"/>
      <c r="R35" s="105">
        <v>0</v>
      </c>
      <c r="S35" s="105">
        <v>1</v>
      </c>
      <c r="T35" s="105">
        <v>0</v>
      </c>
      <c r="U35" s="106">
        <f>IF(ISBLANK(Table1[[#This Row],[OHC Date]]),$B$7-Table1[[#This Row],[HOC Date]]+1,Table1[[#This Row],[OHC Date]]-Table1[[#This Row],[HOC Date]]+1)/7</f>
        <v>15.428571428571429</v>
      </c>
      <c r="V35" s="107">
        <v>0</v>
      </c>
      <c r="W35" s="107">
        <v>0.49</v>
      </c>
      <c r="X35" s="107">
        <f>ROUND(0.7*Table1[[#This Row],[E&amp;D Rate per unit]]*R35*Table1[[#This Row],[Quantity]],2)</f>
        <v>0</v>
      </c>
      <c r="Y35" s="21">
        <f t="shared" si="0"/>
        <v>15284.51</v>
      </c>
      <c r="Z35" s="107">
        <f>ROUND(0.3*T35*Table1[[#This Row],[E&amp;D Rate per unit]]*Table1[[#This Row],[Quantity]],2)</f>
        <v>0</v>
      </c>
      <c r="AA35" s="107">
        <f t="shared" si="2"/>
        <v>15284.51</v>
      </c>
      <c r="AB35" s="126">
        <v>10897.29</v>
      </c>
      <c r="AC35" s="126">
        <f>Table1[[#This Row],[Total Amount]]-Table1[[#This Row],[Previous Amount]]</f>
        <v>4387.2199999999993</v>
      </c>
      <c r="AD35" s="127" t="s">
        <v>672</v>
      </c>
    </row>
    <row r="36" spans="1:30" ht="30" customHeight="1" x14ac:dyDescent="0.3">
      <c r="A36" s="150" t="s">
        <v>157</v>
      </c>
      <c r="B36" s="150" t="s">
        <v>97</v>
      </c>
      <c r="C36" s="16" t="s">
        <v>271</v>
      </c>
      <c r="D36" s="102">
        <v>77651</v>
      </c>
      <c r="E36" s="102"/>
      <c r="F36" s="17" t="s">
        <v>632</v>
      </c>
      <c r="G36" s="17" t="s">
        <v>209</v>
      </c>
      <c r="H36" s="16" t="s">
        <v>646</v>
      </c>
      <c r="I36" s="102">
        <v>1</v>
      </c>
      <c r="J36" s="16">
        <v>18.600000000000001</v>
      </c>
      <c r="K36" s="16">
        <v>0.6</v>
      </c>
      <c r="L36" s="16">
        <v>4</v>
      </c>
      <c r="M36" s="16">
        <v>1</v>
      </c>
      <c r="N36" s="104" t="s">
        <v>206</v>
      </c>
      <c r="O36" s="16">
        <f t="shared" si="4"/>
        <v>74.400000000000006</v>
      </c>
      <c r="P36" s="18">
        <v>44844</v>
      </c>
      <c r="Q36" s="118"/>
      <c r="R36" s="105">
        <v>0</v>
      </c>
      <c r="S36" s="105">
        <v>1</v>
      </c>
      <c r="T36" s="105">
        <v>0</v>
      </c>
      <c r="U36" s="106">
        <f>IF(ISBLANK(Table1[[#This Row],[OHC Date]]),$B$7-Table1[[#This Row],[HOC Date]]+1,Table1[[#This Row],[OHC Date]]-Table1[[#This Row],[HOC Date]]+1)/7</f>
        <v>15.428571428571429</v>
      </c>
      <c r="V36" s="107">
        <v>0</v>
      </c>
      <c r="W36" s="107">
        <v>0.49</v>
      </c>
      <c r="X36" s="107">
        <f>ROUND(0.7*Table1[[#This Row],[E&amp;D Rate per unit]]*R36*Table1[[#This Row],[Quantity]],2)</f>
        <v>0</v>
      </c>
      <c r="Y36" s="21">
        <f t="shared" si="0"/>
        <v>562.46</v>
      </c>
      <c r="Z36" s="107">
        <f>ROUND(0.3*T36*Table1[[#This Row],[E&amp;D Rate per unit]]*Table1[[#This Row],[Quantity]],2)</f>
        <v>0</v>
      </c>
      <c r="AA36" s="107">
        <f t="shared" si="2"/>
        <v>562.46</v>
      </c>
      <c r="AB36" s="126">
        <v>401.02</v>
      </c>
      <c r="AC36" s="126">
        <f>Table1[[#This Row],[Total Amount]]-Table1[[#This Row],[Previous Amount]]</f>
        <v>161.44000000000005</v>
      </c>
      <c r="AD36" s="127" t="s">
        <v>672</v>
      </c>
    </row>
    <row r="37" spans="1:30" ht="30" customHeight="1" x14ac:dyDescent="0.3">
      <c r="A37" s="150" t="s">
        <v>157</v>
      </c>
      <c r="B37" s="150" t="s">
        <v>97</v>
      </c>
      <c r="C37" s="16" t="s">
        <v>272</v>
      </c>
      <c r="D37" s="102">
        <v>77651</v>
      </c>
      <c r="E37" s="102"/>
      <c r="F37" s="17" t="s">
        <v>632</v>
      </c>
      <c r="G37" s="17" t="s">
        <v>209</v>
      </c>
      <c r="H37" s="16" t="s">
        <v>646</v>
      </c>
      <c r="I37" s="102">
        <v>1</v>
      </c>
      <c r="J37" s="16">
        <v>10.8</v>
      </c>
      <c r="K37" s="16">
        <v>0.6</v>
      </c>
      <c r="L37" s="16">
        <v>4</v>
      </c>
      <c r="M37" s="16">
        <v>1</v>
      </c>
      <c r="N37" s="104" t="s">
        <v>206</v>
      </c>
      <c r="O37" s="16">
        <f t="shared" si="4"/>
        <v>43.2</v>
      </c>
      <c r="P37" s="18">
        <v>44844</v>
      </c>
      <c r="Q37" s="118"/>
      <c r="R37" s="105">
        <v>0</v>
      </c>
      <c r="S37" s="105">
        <v>1</v>
      </c>
      <c r="T37" s="105">
        <v>0</v>
      </c>
      <c r="U37" s="106">
        <f>IF(ISBLANK(Table1[[#This Row],[OHC Date]]),$B$7-Table1[[#This Row],[HOC Date]]+1,Table1[[#This Row],[OHC Date]]-Table1[[#This Row],[HOC Date]]+1)/7</f>
        <v>15.428571428571429</v>
      </c>
      <c r="V37" s="107">
        <v>0</v>
      </c>
      <c r="W37" s="107">
        <v>0.49</v>
      </c>
      <c r="X37" s="107">
        <f>ROUND(0.7*Table1[[#This Row],[E&amp;D Rate per unit]]*R37*Table1[[#This Row],[Quantity]],2)</f>
        <v>0</v>
      </c>
      <c r="Y37" s="21">
        <f t="shared" si="0"/>
        <v>326.58999999999997</v>
      </c>
      <c r="Z37" s="107">
        <f>ROUND(0.3*T37*Table1[[#This Row],[E&amp;D Rate per unit]]*Table1[[#This Row],[Quantity]],2)</f>
        <v>0</v>
      </c>
      <c r="AA37" s="107">
        <f t="shared" si="2"/>
        <v>326.58999999999997</v>
      </c>
      <c r="AB37" s="126">
        <v>232.85</v>
      </c>
      <c r="AC37" s="126">
        <f>Table1[[#This Row],[Total Amount]]-Table1[[#This Row],[Previous Amount]]</f>
        <v>93.739999999999981</v>
      </c>
      <c r="AD37" s="127" t="s">
        <v>672</v>
      </c>
    </row>
    <row r="38" spans="1:30" ht="30" customHeight="1" x14ac:dyDescent="0.3">
      <c r="A38" s="150" t="s">
        <v>157</v>
      </c>
      <c r="B38" s="150" t="s">
        <v>97</v>
      </c>
      <c r="C38" s="16" t="s">
        <v>650</v>
      </c>
      <c r="D38" s="102">
        <v>77651</v>
      </c>
      <c r="E38" s="102"/>
      <c r="F38" s="17" t="s">
        <v>632</v>
      </c>
      <c r="G38" s="17" t="s">
        <v>209</v>
      </c>
      <c r="H38" s="16" t="s">
        <v>646</v>
      </c>
      <c r="I38" s="102">
        <v>1</v>
      </c>
      <c r="J38" s="16">
        <v>6.8</v>
      </c>
      <c r="K38" s="16">
        <v>0.9</v>
      </c>
      <c r="L38" s="16">
        <v>4</v>
      </c>
      <c r="M38" s="16">
        <v>1</v>
      </c>
      <c r="N38" s="104" t="s">
        <v>206</v>
      </c>
      <c r="O38" s="16">
        <f t="shared" si="4"/>
        <v>27.2</v>
      </c>
      <c r="P38" s="18">
        <v>44844</v>
      </c>
      <c r="Q38" s="118"/>
      <c r="R38" s="105">
        <v>0</v>
      </c>
      <c r="S38" s="105">
        <v>1</v>
      </c>
      <c r="T38" s="105">
        <v>0</v>
      </c>
      <c r="U38" s="106">
        <f>IF(ISBLANK(Table1[[#This Row],[OHC Date]]),$B$7-Table1[[#This Row],[HOC Date]]+1,Table1[[#This Row],[OHC Date]]-Table1[[#This Row],[HOC Date]]+1)/7</f>
        <v>15.428571428571429</v>
      </c>
      <c r="V38" s="107">
        <v>0</v>
      </c>
      <c r="W38" s="107">
        <v>0.49</v>
      </c>
      <c r="X38" s="107">
        <f>ROUND(0.7*Table1[[#This Row],[E&amp;D Rate per unit]]*R38*Table1[[#This Row],[Quantity]],2)</f>
        <v>0</v>
      </c>
      <c r="Y38" s="21">
        <f t="shared" si="0"/>
        <v>205.63</v>
      </c>
      <c r="Z38" s="107">
        <f>ROUND(0.3*T38*Table1[[#This Row],[E&amp;D Rate per unit]]*Table1[[#This Row],[Quantity]],2)</f>
        <v>0</v>
      </c>
      <c r="AA38" s="107">
        <f t="shared" si="2"/>
        <v>205.63</v>
      </c>
      <c r="AB38" s="126">
        <v>146.61000000000001</v>
      </c>
      <c r="AC38" s="126">
        <f>Table1[[#This Row],[Total Amount]]-Table1[[#This Row],[Previous Amount]]</f>
        <v>59.019999999999982</v>
      </c>
      <c r="AD38" s="127" t="s">
        <v>672</v>
      </c>
    </row>
    <row r="39" spans="1:30" ht="30" customHeight="1" x14ac:dyDescent="0.3">
      <c r="A39" s="150" t="s">
        <v>157</v>
      </c>
      <c r="B39" s="150" t="s">
        <v>97</v>
      </c>
      <c r="C39" s="16" t="s">
        <v>651</v>
      </c>
      <c r="D39" s="102">
        <v>77651</v>
      </c>
      <c r="E39" s="102"/>
      <c r="F39" s="17" t="s">
        <v>632</v>
      </c>
      <c r="G39" s="17" t="s">
        <v>647</v>
      </c>
      <c r="H39" s="16" t="s">
        <v>646</v>
      </c>
      <c r="I39" s="102">
        <v>6</v>
      </c>
      <c r="J39" s="16">
        <v>23.4</v>
      </c>
      <c r="K39" s="16">
        <v>0.5</v>
      </c>
      <c r="L39" s="16">
        <v>1</v>
      </c>
      <c r="M39" s="16">
        <v>6</v>
      </c>
      <c r="N39" s="104" t="s">
        <v>160</v>
      </c>
      <c r="O39" s="16">
        <f t="shared" si="4"/>
        <v>70.2</v>
      </c>
      <c r="P39" s="18">
        <v>44844</v>
      </c>
      <c r="Q39" s="118"/>
      <c r="R39" s="105">
        <v>0</v>
      </c>
      <c r="S39" s="105">
        <v>1</v>
      </c>
      <c r="T39" s="105">
        <v>0</v>
      </c>
      <c r="U39" s="106">
        <f>IF(ISBLANK(Table1[[#This Row],[OHC Date]]),$B$7-Table1[[#This Row],[HOC Date]]+1,Table1[[#This Row],[OHC Date]]-Table1[[#This Row],[HOC Date]]+1)/7</f>
        <v>15.428571428571429</v>
      </c>
      <c r="V39" s="107">
        <v>0</v>
      </c>
      <c r="W39" s="107">
        <v>1.05</v>
      </c>
      <c r="X39" s="107">
        <f>ROUND(0.7*Table1[[#This Row],[E&amp;D Rate per unit]]*R39*Table1[[#This Row],[Quantity]],2)</f>
        <v>0</v>
      </c>
      <c r="Y39" s="21">
        <f t="shared" si="0"/>
        <v>1137.24</v>
      </c>
      <c r="Z39" s="107">
        <f>ROUND(0.3*T39*Table1[[#This Row],[E&amp;D Rate per unit]]*Table1[[#This Row],[Quantity]],2)</f>
        <v>0</v>
      </c>
      <c r="AA39" s="107">
        <f t="shared" si="2"/>
        <v>1137.24</v>
      </c>
      <c r="AB39" s="126">
        <v>810.81</v>
      </c>
      <c r="AC39" s="126">
        <f>Table1[[#This Row],[Total Amount]]-Table1[[#This Row],[Previous Amount]]</f>
        <v>326.43000000000006</v>
      </c>
      <c r="AD39" s="127" t="s">
        <v>672</v>
      </c>
    </row>
    <row r="40" spans="1:30" ht="30" customHeight="1" x14ac:dyDescent="0.3">
      <c r="A40" s="150" t="s">
        <v>157</v>
      </c>
      <c r="B40" s="150" t="s">
        <v>97</v>
      </c>
      <c r="C40" s="16" t="s">
        <v>652</v>
      </c>
      <c r="D40" s="102">
        <v>77651</v>
      </c>
      <c r="E40" s="102"/>
      <c r="F40" s="17" t="s">
        <v>632</v>
      </c>
      <c r="G40" s="17" t="s">
        <v>647</v>
      </c>
      <c r="H40" s="16" t="s">
        <v>646</v>
      </c>
      <c r="I40" s="102">
        <v>5</v>
      </c>
      <c r="J40" s="16">
        <v>23.4</v>
      </c>
      <c r="K40" s="16">
        <v>1.8</v>
      </c>
      <c r="L40" s="16">
        <v>1</v>
      </c>
      <c r="M40" s="16">
        <v>5</v>
      </c>
      <c r="N40" s="104" t="s">
        <v>160</v>
      </c>
      <c r="O40" s="16">
        <f t="shared" si="4"/>
        <v>210.6</v>
      </c>
      <c r="P40" s="18">
        <v>44844</v>
      </c>
      <c r="Q40" s="118"/>
      <c r="R40" s="105">
        <v>0</v>
      </c>
      <c r="S40" s="105">
        <v>1</v>
      </c>
      <c r="T40" s="105">
        <v>0</v>
      </c>
      <c r="U40" s="106">
        <f>IF(ISBLANK(Table1[[#This Row],[OHC Date]]),$B$7-Table1[[#This Row],[HOC Date]]+1,Table1[[#This Row],[OHC Date]]-Table1[[#This Row],[HOC Date]]+1)/7</f>
        <v>15.428571428571429</v>
      </c>
      <c r="V40" s="107">
        <v>0</v>
      </c>
      <c r="W40" s="107">
        <v>0.7</v>
      </c>
      <c r="X40" s="107">
        <f>ROUND(0.7*Table1[[#This Row],[E&amp;D Rate per unit]]*R40*Table1[[#This Row],[Quantity]],2)</f>
        <v>0</v>
      </c>
      <c r="Y40" s="21">
        <f t="shared" ref="Y40:Y71" si="5">ROUND(O40*U40*W40*S40,2)</f>
        <v>2274.48</v>
      </c>
      <c r="Z40" s="107">
        <f>ROUND(0.3*T40*Table1[[#This Row],[E&amp;D Rate per unit]]*Table1[[#This Row],[Quantity]],2)</f>
        <v>0</v>
      </c>
      <c r="AA40" s="107">
        <f t="shared" si="2"/>
        <v>2274.48</v>
      </c>
      <c r="AB40" s="126">
        <v>1621.62</v>
      </c>
      <c r="AC40" s="126">
        <f>Table1[[#This Row],[Total Amount]]-Table1[[#This Row],[Previous Amount]]</f>
        <v>652.86000000000013</v>
      </c>
      <c r="AD40" s="127" t="s">
        <v>672</v>
      </c>
    </row>
    <row r="41" spans="1:30" ht="30" customHeight="1" x14ac:dyDescent="0.3">
      <c r="A41" s="150" t="s">
        <v>157</v>
      </c>
      <c r="B41" s="150" t="s">
        <v>97</v>
      </c>
      <c r="C41" s="16" t="s">
        <v>653</v>
      </c>
      <c r="D41" s="102">
        <v>77651</v>
      </c>
      <c r="E41" s="102"/>
      <c r="F41" s="17" t="s">
        <v>632</v>
      </c>
      <c r="G41" s="17" t="s">
        <v>209</v>
      </c>
      <c r="H41" s="16" t="s">
        <v>646</v>
      </c>
      <c r="I41" s="102">
        <v>1</v>
      </c>
      <c r="J41" s="16">
        <v>22.5</v>
      </c>
      <c r="K41" s="16">
        <v>2.5</v>
      </c>
      <c r="L41" s="16">
        <v>9</v>
      </c>
      <c r="M41" s="16"/>
      <c r="N41" s="104" t="s">
        <v>224</v>
      </c>
      <c r="O41" s="16">
        <f t="shared" si="4"/>
        <v>506.25</v>
      </c>
      <c r="P41" s="18">
        <v>44844</v>
      </c>
      <c r="Q41" s="118"/>
      <c r="R41" s="105">
        <v>0</v>
      </c>
      <c r="S41" s="105">
        <v>1</v>
      </c>
      <c r="T41" s="105">
        <v>0</v>
      </c>
      <c r="U41" s="106">
        <f>IF(ISBLANK(Table1[[#This Row],[OHC Date]]),$B$7-Table1[[#This Row],[HOC Date]]+1,Table1[[#This Row],[OHC Date]]-Table1[[#This Row],[HOC Date]]+1)/7</f>
        <v>15.428571428571429</v>
      </c>
      <c r="V41" s="107">
        <v>0</v>
      </c>
      <c r="W41" s="107">
        <v>0.35</v>
      </c>
      <c r="X41" s="107">
        <f>ROUND(0.7*Table1[[#This Row],[E&amp;D Rate per unit]]*R41*Table1[[#This Row],[Quantity]],2)</f>
        <v>0</v>
      </c>
      <c r="Y41" s="21">
        <f t="shared" si="5"/>
        <v>2733.75</v>
      </c>
      <c r="Z41" s="107">
        <f>ROUND(0.3*T41*Table1[[#This Row],[E&amp;D Rate per unit]]*Table1[[#This Row],[Quantity]],2)</f>
        <v>0</v>
      </c>
      <c r="AA41" s="107">
        <f t="shared" si="2"/>
        <v>2733.75</v>
      </c>
      <c r="AB41" s="126">
        <v>1949.06</v>
      </c>
      <c r="AC41" s="126">
        <f>Table1[[#This Row],[Total Amount]]-Table1[[#This Row],[Previous Amount]]</f>
        <v>784.69</v>
      </c>
      <c r="AD41" s="127" t="s">
        <v>672</v>
      </c>
    </row>
    <row r="42" spans="1:30" ht="30" customHeight="1" x14ac:dyDescent="0.3">
      <c r="A42" s="150" t="s">
        <v>157</v>
      </c>
      <c r="B42" s="150" t="s">
        <v>97</v>
      </c>
      <c r="C42" s="16" t="s">
        <v>654</v>
      </c>
      <c r="D42" s="102">
        <v>77528</v>
      </c>
      <c r="E42" s="102"/>
      <c r="F42" s="17" t="s">
        <v>632</v>
      </c>
      <c r="G42" s="17" t="s">
        <v>656</v>
      </c>
      <c r="H42" s="16" t="s">
        <v>646</v>
      </c>
      <c r="I42" s="102">
        <v>1</v>
      </c>
      <c r="J42" s="16">
        <v>5</v>
      </c>
      <c r="K42" s="16">
        <v>1.8</v>
      </c>
      <c r="L42" s="16">
        <v>8.8000000000000007</v>
      </c>
      <c r="M42" s="16">
        <v>1</v>
      </c>
      <c r="N42" s="104" t="s">
        <v>206</v>
      </c>
      <c r="O42" s="16">
        <f t="shared" si="4"/>
        <v>44</v>
      </c>
      <c r="P42" s="18">
        <v>44888</v>
      </c>
      <c r="Q42" s="118"/>
      <c r="R42" s="105">
        <v>0</v>
      </c>
      <c r="S42" s="105">
        <v>1</v>
      </c>
      <c r="T42" s="105">
        <v>0</v>
      </c>
      <c r="U42" s="106">
        <f>IF(ISBLANK(Table1[[#This Row],[OHC Date]]),$B$7-Table1[[#This Row],[HOC Date]]+1,Table1[[#This Row],[OHC Date]]-Table1[[#This Row],[HOC Date]]+1)/7</f>
        <v>9.1428571428571423</v>
      </c>
      <c r="V42" s="107">
        <v>0</v>
      </c>
      <c r="W42" s="107">
        <v>0.77</v>
      </c>
      <c r="X42" s="107">
        <f>ROUND(0.7*Table1[[#This Row],[E&amp;D Rate per unit]]*R42*Table1[[#This Row],[Quantity]],2)</f>
        <v>0</v>
      </c>
      <c r="Y42" s="21">
        <f t="shared" si="5"/>
        <v>309.76</v>
      </c>
      <c r="Z42" s="107">
        <f>ROUND(0.3*T42*Table1[[#This Row],[E&amp;D Rate per unit]]*Table1[[#This Row],[Quantity]],2)</f>
        <v>0</v>
      </c>
      <c r="AA42" s="107">
        <f t="shared" si="2"/>
        <v>309.76</v>
      </c>
      <c r="AB42" s="126">
        <v>159.72</v>
      </c>
      <c r="AC42" s="126">
        <f>Table1[[#This Row],[Total Amount]]-Table1[[#This Row],[Previous Amount]]</f>
        <v>150.04</v>
      </c>
      <c r="AD42" s="127" t="s">
        <v>672</v>
      </c>
    </row>
    <row r="43" spans="1:30" ht="30" customHeight="1" x14ac:dyDescent="0.3">
      <c r="A43" s="150" t="s">
        <v>157</v>
      </c>
      <c r="B43" s="150" t="s">
        <v>97</v>
      </c>
      <c r="C43" s="16" t="s">
        <v>655</v>
      </c>
      <c r="D43" s="102">
        <v>77528</v>
      </c>
      <c r="E43" s="102"/>
      <c r="F43" s="17" t="s">
        <v>632</v>
      </c>
      <c r="G43" s="17" t="s">
        <v>656</v>
      </c>
      <c r="H43" s="16" t="s">
        <v>646</v>
      </c>
      <c r="I43" s="102">
        <v>1</v>
      </c>
      <c r="J43" s="16">
        <v>7</v>
      </c>
      <c r="K43" s="16">
        <v>2.75</v>
      </c>
      <c r="L43" s="16">
        <v>1</v>
      </c>
      <c r="M43" s="16">
        <v>1</v>
      </c>
      <c r="N43" s="104" t="s">
        <v>160</v>
      </c>
      <c r="O43" s="16">
        <f t="shared" si="4"/>
        <v>19.25</v>
      </c>
      <c r="P43" s="18">
        <v>44888</v>
      </c>
      <c r="Q43" s="118"/>
      <c r="R43" s="105">
        <v>0</v>
      </c>
      <c r="S43" s="105">
        <v>1</v>
      </c>
      <c r="T43" s="105">
        <v>0</v>
      </c>
      <c r="U43" s="106">
        <f>IF(ISBLANK(Table1[[#This Row],[OHC Date]]),$B$7-Table1[[#This Row],[HOC Date]]+1,Table1[[#This Row],[OHC Date]]-Table1[[#This Row],[HOC Date]]+1)/7</f>
        <v>9.1428571428571423</v>
      </c>
      <c r="V43" s="107">
        <v>0</v>
      </c>
      <c r="W43" s="107">
        <v>6.72</v>
      </c>
      <c r="X43" s="107">
        <f>ROUND(0.7*Table1[[#This Row],[E&amp;D Rate per unit]]*R43*Table1[[#This Row],[Quantity]],2)</f>
        <v>0</v>
      </c>
      <c r="Y43" s="21">
        <f t="shared" si="5"/>
        <v>1182.72</v>
      </c>
      <c r="Z43" s="107">
        <f>ROUND(0.3*T43*Table1[[#This Row],[E&amp;D Rate per unit]]*Table1[[#This Row],[Quantity]],2)</f>
        <v>0</v>
      </c>
      <c r="AA43" s="107">
        <f t="shared" ref="AA43:AA69" si="6">ROUND(X43+Z43+Y43,2)</f>
        <v>1182.72</v>
      </c>
      <c r="AB43" s="126">
        <v>609.84</v>
      </c>
      <c r="AC43" s="126">
        <f>Table1[[#This Row],[Total Amount]]-Table1[[#This Row],[Previous Amount]]</f>
        <v>572.88</v>
      </c>
      <c r="AD43" s="127" t="s">
        <v>672</v>
      </c>
    </row>
    <row r="44" spans="1:30" ht="30" customHeight="1" x14ac:dyDescent="0.3">
      <c r="A44" s="150" t="s">
        <v>157</v>
      </c>
      <c r="B44" s="150" t="s">
        <v>97</v>
      </c>
      <c r="C44" s="102">
        <v>8</v>
      </c>
      <c r="D44" s="102">
        <v>77651</v>
      </c>
      <c r="E44" s="102"/>
      <c r="F44" s="17" t="s">
        <v>632</v>
      </c>
      <c r="G44" s="17" t="s">
        <v>209</v>
      </c>
      <c r="H44" s="16" t="s">
        <v>646</v>
      </c>
      <c r="I44" s="102">
        <v>1</v>
      </c>
      <c r="J44" s="16">
        <v>152.4</v>
      </c>
      <c r="K44" s="16">
        <v>1</v>
      </c>
      <c r="L44" s="16">
        <v>1</v>
      </c>
      <c r="M44" s="16"/>
      <c r="N44" s="104" t="s">
        <v>283</v>
      </c>
      <c r="O44" s="16">
        <f t="shared" si="4"/>
        <v>152.4</v>
      </c>
      <c r="P44" s="18">
        <v>44844</v>
      </c>
      <c r="Q44" s="118"/>
      <c r="R44" s="105">
        <v>0</v>
      </c>
      <c r="S44" s="105">
        <v>1</v>
      </c>
      <c r="T44" s="105">
        <v>0</v>
      </c>
      <c r="U44" s="106">
        <f>IF(ISBLANK(Table1[[#This Row],[OHC Date]]),$B$7-Table1[[#This Row],[HOC Date]]+1,Table1[[#This Row],[OHC Date]]-Table1[[#This Row],[HOC Date]]+1)/7</f>
        <v>15.428571428571429</v>
      </c>
      <c r="V44" s="107">
        <v>0</v>
      </c>
      <c r="W44" s="107">
        <v>1.4</v>
      </c>
      <c r="X44" s="107">
        <f>ROUND(0.7*Table1[[#This Row],[E&amp;D Rate per unit]]*R44*Table1[[#This Row],[Quantity]],2)</f>
        <v>0</v>
      </c>
      <c r="Y44" s="21">
        <f t="shared" si="5"/>
        <v>3291.84</v>
      </c>
      <c r="Z44" s="107">
        <f>ROUND(0.3*T44*Table1[[#This Row],[E&amp;D Rate per unit]]*Table1[[#This Row],[Quantity]],2)</f>
        <v>0</v>
      </c>
      <c r="AA44" s="107">
        <f t="shared" si="6"/>
        <v>3291.84</v>
      </c>
      <c r="AB44" s="126">
        <v>2346.96</v>
      </c>
      <c r="AC44" s="126">
        <f>Table1[[#This Row],[Total Amount]]-Table1[[#This Row],[Previous Amount]]</f>
        <v>944.88000000000011</v>
      </c>
      <c r="AD44" s="127" t="s">
        <v>672</v>
      </c>
    </row>
    <row r="45" spans="1:30" ht="30" customHeight="1" x14ac:dyDescent="0.3">
      <c r="A45" s="150" t="s">
        <v>157</v>
      </c>
      <c r="B45" s="150" t="s">
        <v>97</v>
      </c>
      <c r="C45" s="102">
        <v>8</v>
      </c>
      <c r="D45" s="102">
        <v>77651</v>
      </c>
      <c r="E45" s="102"/>
      <c r="F45" s="17" t="s">
        <v>632</v>
      </c>
      <c r="G45" s="17" t="s">
        <v>209</v>
      </c>
      <c r="H45" s="16" t="s">
        <v>648</v>
      </c>
      <c r="I45" s="102">
        <v>1</v>
      </c>
      <c r="J45" s="16">
        <v>280.8</v>
      </c>
      <c r="K45" s="16">
        <v>1</v>
      </c>
      <c r="L45" s="16">
        <v>1</v>
      </c>
      <c r="M45" s="16"/>
      <c r="N45" s="104" t="s">
        <v>206</v>
      </c>
      <c r="O45" s="16">
        <f t="shared" si="4"/>
        <v>280.8</v>
      </c>
      <c r="P45" s="18">
        <v>44844</v>
      </c>
      <c r="Q45" s="118"/>
      <c r="R45" s="105">
        <v>0</v>
      </c>
      <c r="S45" s="105">
        <v>1</v>
      </c>
      <c r="T45" s="105">
        <v>0</v>
      </c>
      <c r="U45" s="106">
        <f>IF(ISBLANK(Table1[[#This Row],[OHC Date]]),$B$7-Table1[[#This Row],[HOC Date]]+1,Table1[[#This Row],[OHC Date]]-Table1[[#This Row],[HOC Date]]+1)/7</f>
        <v>15.428571428571429</v>
      </c>
      <c r="V45" s="107">
        <v>0</v>
      </c>
      <c r="W45" s="107">
        <v>0</v>
      </c>
      <c r="X45" s="107">
        <f>ROUND(0.7*Table1[[#This Row],[E&amp;D Rate per unit]]*R45*Table1[[#This Row],[Quantity]],2)</f>
        <v>0</v>
      </c>
      <c r="Y45" s="21">
        <f t="shared" si="5"/>
        <v>0</v>
      </c>
      <c r="Z45" s="107">
        <f>ROUND(0.3*T45*Table1[[#This Row],[E&amp;D Rate per unit]]*Table1[[#This Row],[Quantity]],2)</f>
        <v>0</v>
      </c>
      <c r="AA45" s="107">
        <f t="shared" si="6"/>
        <v>0</v>
      </c>
      <c r="AB45" s="126">
        <v>0</v>
      </c>
      <c r="AC45" s="126">
        <f>Table1[[#This Row],[Total Amount]]-Table1[[#This Row],[Previous Amount]]</f>
        <v>0</v>
      </c>
      <c r="AD45" s="127" t="s">
        <v>672</v>
      </c>
    </row>
    <row r="46" spans="1:30" ht="30" customHeight="1" x14ac:dyDescent="0.3">
      <c r="A46" s="150" t="s">
        <v>157</v>
      </c>
      <c r="B46" s="150" t="s">
        <v>97</v>
      </c>
      <c r="C46" s="102">
        <v>8</v>
      </c>
      <c r="D46" s="102">
        <v>77651</v>
      </c>
      <c r="E46" s="102"/>
      <c r="F46" s="17" t="s">
        <v>632</v>
      </c>
      <c r="G46" s="17" t="s">
        <v>209</v>
      </c>
      <c r="H46" s="151" t="s">
        <v>640</v>
      </c>
      <c r="I46" s="102">
        <v>1</v>
      </c>
      <c r="J46" s="16">
        <v>80</v>
      </c>
      <c r="K46" s="16">
        <v>1</v>
      </c>
      <c r="L46" s="16">
        <v>1</v>
      </c>
      <c r="M46" s="16"/>
      <c r="N46" s="104" t="s">
        <v>283</v>
      </c>
      <c r="O46" s="16">
        <f t="shared" si="4"/>
        <v>80</v>
      </c>
      <c r="P46" s="18">
        <v>44844</v>
      </c>
      <c r="Q46" s="118"/>
      <c r="R46" s="105">
        <v>0</v>
      </c>
      <c r="S46" s="105">
        <v>1</v>
      </c>
      <c r="T46" s="105">
        <v>0</v>
      </c>
      <c r="U46" s="106">
        <f>IF(ISBLANK(Table1[[#This Row],[OHC Date]]),$B$7-Table1[[#This Row],[HOC Date]]+1,Table1[[#This Row],[OHC Date]]-Table1[[#This Row],[HOC Date]]+1)/7</f>
        <v>15.428571428571429</v>
      </c>
      <c r="V46" s="107">
        <v>0</v>
      </c>
      <c r="W46" s="107">
        <v>17.149999999999999</v>
      </c>
      <c r="X46" s="107">
        <f>ROUND(0.7*Table1[[#This Row],[E&amp;D Rate per unit]]*R46*Table1[[#This Row],[Quantity]],2)</f>
        <v>0</v>
      </c>
      <c r="Y46" s="21">
        <f t="shared" si="5"/>
        <v>21168</v>
      </c>
      <c r="Z46" s="107">
        <f>ROUND(0.3*T46*Table1[[#This Row],[E&amp;D Rate per unit]]*Table1[[#This Row],[Quantity]],2)</f>
        <v>0</v>
      </c>
      <c r="AA46" s="183">
        <f t="shared" si="6"/>
        <v>21168</v>
      </c>
      <c r="AB46" s="126">
        <v>15092</v>
      </c>
      <c r="AC46" s="126">
        <f>Table1[[#This Row],[Total Amount]]-Table1[[#This Row],[Previous Amount]]</f>
        <v>6076</v>
      </c>
      <c r="AD46" s="127" t="s">
        <v>672</v>
      </c>
    </row>
    <row r="47" spans="1:30" ht="30" customHeight="1" x14ac:dyDescent="0.3">
      <c r="A47" s="150" t="s">
        <v>157</v>
      </c>
      <c r="B47" s="150" t="s">
        <v>97</v>
      </c>
      <c r="C47" s="16" t="s">
        <v>657</v>
      </c>
      <c r="D47" s="102">
        <v>77660</v>
      </c>
      <c r="E47" s="102"/>
      <c r="F47" s="17" t="s">
        <v>649</v>
      </c>
      <c r="G47" s="17" t="s">
        <v>209</v>
      </c>
      <c r="H47" s="16" t="s">
        <v>646</v>
      </c>
      <c r="I47" s="102">
        <v>1</v>
      </c>
      <c r="J47" s="16">
        <v>6</v>
      </c>
      <c r="K47" s="16">
        <v>1</v>
      </c>
      <c r="L47" s="16">
        <v>1</v>
      </c>
      <c r="M47" s="16"/>
      <c r="N47" s="104" t="s">
        <v>283</v>
      </c>
      <c r="O47" s="16">
        <f t="shared" si="4"/>
        <v>6</v>
      </c>
      <c r="P47" s="18">
        <v>44844</v>
      </c>
      <c r="Q47" s="118"/>
      <c r="R47" s="105">
        <v>0</v>
      </c>
      <c r="S47" s="105">
        <v>1</v>
      </c>
      <c r="T47" s="105">
        <v>0</v>
      </c>
      <c r="U47" s="106">
        <f>IF(ISBLANK(Table1[[#This Row],[OHC Date]]),$B$7-Table1[[#This Row],[HOC Date]]+1,Table1[[#This Row],[OHC Date]]-Table1[[#This Row],[HOC Date]]+1)/7</f>
        <v>15.428571428571429</v>
      </c>
      <c r="V47" s="107">
        <v>0</v>
      </c>
      <c r="W47" s="107">
        <v>1.4</v>
      </c>
      <c r="X47" s="107">
        <f>ROUND(0.7*Table1[[#This Row],[E&amp;D Rate per unit]]*R47*Table1[[#This Row],[Quantity]],2)</f>
        <v>0</v>
      </c>
      <c r="Y47" s="21">
        <f t="shared" si="5"/>
        <v>129.6</v>
      </c>
      <c r="Z47" s="107">
        <f>ROUND(0.3*T47*Table1[[#This Row],[E&amp;D Rate per unit]]*Table1[[#This Row],[Quantity]],2)</f>
        <v>0</v>
      </c>
      <c r="AA47" s="107">
        <f t="shared" si="6"/>
        <v>129.6</v>
      </c>
      <c r="AB47" s="126">
        <v>92.4</v>
      </c>
      <c r="AC47" s="126">
        <f>Table1[[#This Row],[Total Amount]]-Table1[[#This Row],[Previous Amount]]</f>
        <v>37.199999999999989</v>
      </c>
      <c r="AD47" s="127" t="s">
        <v>672</v>
      </c>
    </row>
    <row r="48" spans="1:30" ht="30" customHeight="1" x14ac:dyDescent="0.3">
      <c r="A48" s="150" t="s">
        <v>157</v>
      </c>
      <c r="B48" s="150" t="s">
        <v>97</v>
      </c>
      <c r="C48" s="16">
        <v>2</v>
      </c>
      <c r="D48" s="102">
        <v>74661</v>
      </c>
      <c r="E48" s="102"/>
      <c r="F48" s="17" t="s">
        <v>658</v>
      </c>
      <c r="G48" s="17" t="s">
        <v>159</v>
      </c>
      <c r="H48" s="16" t="s">
        <v>659</v>
      </c>
      <c r="I48" s="102">
        <v>1</v>
      </c>
      <c r="J48" s="16">
        <v>21.1</v>
      </c>
      <c r="K48" s="16">
        <v>9</v>
      </c>
      <c r="L48" s="16">
        <v>9.1999999999999993</v>
      </c>
      <c r="M48" s="16">
        <v>1</v>
      </c>
      <c r="N48" s="104" t="s">
        <v>224</v>
      </c>
      <c r="O48" s="16">
        <f t="shared" ref="O48:O71" si="7">ROUND(IF(N48="m3",I48*J48*K48*L48,IF(N48="m2-LxH",I48*J48*L48,IF(N48="m2-LxW",I48*J48*K48,IF(N48="rm",I48*L48,IF(N48="lm",I48*J48,IF(N48="unit",I48,"NA")))))),2)</f>
        <v>1747.08</v>
      </c>
      <c r="P48" s="18">
        <v>44826</v>
      </c>
      <c r="Q48" s="118"/>
      <c r="R48" s="105">
        <v>0</v>
      </c>
      <c r="S48" s="105">
        <v>1</v>
      </c>
      <c r="T48" s="105">
        <v>0</v>
      </c>
      <c r="U48" s="106">
        <f>IF(ISBLANK(Table1[[#This Row],[OHC Date]]),$B$7-Table1[[#This Row],[HOC Date]]+1,Table1[[#This Row],[OHC Date]]-Table1[[#This Row],[HOC Date]]+1)/7</f>
        <v>18</v>
      </c>
      <c r="V48" s="107">
        <v>0</v>
      </c>
      <c r="W48" s="107">
        <v>0.49</v>
      </c>
      <c r="X48" s="107">
        <f>ROUND(0.7*Table1[[#This Row],[E&amp;D Rate per unit]]*R48*Table1[[#This Row],[Quantity]],2)</f>
        <v>0</v>
      </c>
      <c r="Y48" s="21">
        <f t="shared" si="5"/>
        <v>15409.25</v>
      </c>
      <c r="Z48" s="107">
        <f>ROUND(0.3*T48*Table1[[#This Row],[E&amp;D Rate per unit]]*Table1[[#This Row],[Quantity]],2)</f>
        <v>0</v>
      </c>
      <c r="AA48" s="107">
        <f t="shared" si="6"/>
        <v>15409.25</v>
      </c>
      <c r="AB48" s="126">
        <v>11618.08</v>
      </c>
      <c r="AC48" s="126">
        <f>Table1[[#This Row],[Total Amount]]-Table1[[#This Row],[Previous Amount]]</f>
        <v>3791.17</v>
      </c>
      <c r="AD48" s="127" t="s">
        <v>672</v>
      </c>
    </row>
    <row r="49" spans="1:30" ht="30" customHeight="1" x14ac:dyDescent="0.3">
      <c r="A49" s="150" t="s">
        <v>157</v>
      </c>
      <c r="B49" s="150" t="s">
        <v>97</v>
      </c>
      <c r="C49" s="16">
        <v>3</v>
      </c>
      <c r="D49" s="102">
        <v>74667</v>
      </c>
      <c r="E49" s="102"/>
      <c r="F49" s="17" t="s">
        <v>658</v>
      </c>
      <c r="G49" s="17" t="s">
        <v>163</v>
      </c>
      <c r="H49" s="16" t="s">
        <v>659</v>
      </c>
      <c r="I49" s="102">
        <v>1</v>
      </c>
      <c r="J49" s="16">
        <v>22.9</v>
      </c>
      <c r="K49" s="16">
        <v>3.4</v>
      </c>
      <c r="L49" s="16">
        <v>14</v>
      </c>
      <c r="M49" s="16">
        <v>1</v>
      </c>
      <c r="N49" s="104" t="s">
        <v>224</v>
      </c>
      <c r="O49" s="16">
        <f t="shared" si="7"/>
        <v>1090.04</v>
      </c>
      <c r="P49" s="18">
        <v>44831</v>
      </c>
      <c r="Q49" s="118"/>
      <c r="R49" s="105">
        <v>0</v>
      </c>
      <c r="S49" s="105">
        <v>1</v>
      </c>
      <c r="T49" s="105">
        <v>0</v>
      </c>
      <c r="U49" s="106">
        <f>IF(ISBLANK(Table1[[#This Row],[OHC Date]]),$B$7-Table1[[#This Row],[HOC Date]]+1,Table1[[#This Row],[OHC Date]]-Table1[[#This Row],[HOC Date]]+1)/7</f>
        <v>17.285714285714285</v>
      </c>
      <c r="V49" s="107">
        <v>0</v>
      </c>
      <c r="W49" s="107">
        <v>0.49</v>
      </c>
      <c r="X49" s="107">
        <f>ROUND(0.7*Table1[[#This Row],[E&amp;D Rate per unit]]*R49*Table1[[#This Row],[Quantity]],2)</f>
        <v>0</v>
      </c>
      <c r="Y49" s="21">
        <f t="shared" si="5"/>
        <v>9232.64</v>
      </c>
      <c r="Z49" s="107">
        <f>ROUND(0.3*T49*Table1[[#This Row],[E&amp;D Rate per unit]]*Table1[[#This Row],[Quantity]],2)</f>
        <v>0</v>
      </c>
      <c r="AA49" s="107">
        <f t="shared" si="6"/>
        <v>9232.64</v>
      </c>
      <c r="AB49" s="126">
        <v>6867.25</v>
      </c>
      <c r="AC49" s="126">
        <f>Table1[[#This Row],[Total Amount]]-Table1[[#This Row],[Previous Amount]]</f>
        <v>2365.3899999999994</v>
      </c>
      <c r="AD49" s="127" t="s">
        <v>672</v>
      </c>
    </row>
    <row r="50" spans="1:30" ht="30" customHeight="1" x14ac:dyDescent="0.3">
      <c r="A50" s="150" t="s">
        <v>157</v>
      </c>
      <c r="B50" s="150" t="s">
        <v>97</v>
      </c>
      <c r="C50" s="16">
        <v>3</v>
      </c>
      <c r="D50" s="102">
        <v>74667</v>
      </c>
      <c r="E50" s="102"/>
      <c r="F50" s="17" t="s">
        <v>658</v>
      </c>
      <c r="G50" s="17" t="s">
        <v>159</v>
      </c>
      <c r="H50" s="16" t="s">
        <v>659</v>
      </c>
      <c r="I50" s="102">
        <v>1</v>
      </c>
      <c r="J50" s="16">
        <v>22.9</v>
      </c>
      <c r="K50" s="16">
        <v>7.2</v>
      </c>
      <c r="L50" s="16">
        <v>7.5</v>
      </c>
      <c r="M50" s="16">
        <v>1</v>
      </c>
      <c r="N50" s="104" t="s">
        <v>224</v>
      </c>
      <c r="O50" s="16">
        <f t="shared" si="7"/>
        <v>1236.5999999999999</v>
      </c>
      <c r="P50" s="18">
        <v>44831</v>
      </c>
      <c r="Q50" s="118"/>
      <c r="R50" s="105">
        <v>0</v>
      </c>
      <c r="S50" s="105">
        <v>1</v>
      </c>
      <c r="T50" s="105">
        <v>0</v>
      </c>
      <c r="U50" s="106">
        <f>IF(ISBLANK(Table1[[#This Row],[OHC Date]]),$B$7-Table1[[#This Row],[HOC Date]]+1,Table1[[#This Row],[OHC Date]]-Table1[[#This Row],[HOC Date]]+1)/7</f>
        <v>17.285714285714285</v>
      </c>
      <c r="V50" s="107">
        <v>0</v>
      </c>
      <c r="W50" s="107">
        <v>0.49</v>
      </c>
      <c r="X50" s="107">
        <f>ROUND(0.7*Table1[[#This Row],[E&amp;D Rate per unit]]*R50*Table1[[#This Row],[Quantity]],2)</f>
        <v>0</v>
      </c>
      <c r="Y50" s="21">
        <f t="shared" si="5"/>
        <v>10474</v>
      </c>
      <c r="Z50" s="107">
        <f>ROUND(0.3*T50*Table1[[#This Row],[E&amp;D Rate per unit]]*Table1[[#This Row],[Quantity]],2)</f>
        <v>0</v>
      </c>
      <c r="AA50" s="107">
        <f t="shared" si="6"/>
        <v>10474</v>
      </c>
      <c r="AB50" s="126">
        <v>7790.58</v>
      </c>
      <c r="AC50" s="126">
        <f>Table1[[#This Row],[Total Amount]]-Table1[[#This Row],[Previous Amount]]</f>
        <v>2683.42</v>
      </c>
      <c r="AD50" s="127" t="s">
        <v>672</v>
      </c>
    </row>
    <row r="51" spans="1:30" ht="30" customHeight="1" x14ac:dyDescent="0.3">
      <c r="A51" s="150" t="s">
        <v>157</v>
      </c>
      <c r="B51" s="150" t="s">
        <v>97</v>
      </c>
      <c r="C51" s="16">
        <v>3</v>
      </c>
      <c r="D51" s="102">
        <v>74667</v>
      </c>
      <c r="E51" s="102"/>
      <c r="F51" s="17" t="s">
        <v>658</v>
      </c>
      <c r="G51" s="17" t="s">
        <v>159</v>
      </c>
      <c r="H51" s="16" t="s">
        <v>659</v>
      </c>
      <c r="I51" s="102">
        <v>1</v>
      </c>
      <c r="J51" s="16">
        <v>72</v>
      </c>
      <c r="K51" s="16">
        <v>11</v>
      </c>
      <c r="L51" s="16">
        <v>1</v>
      </c>
      <c r="M51" s="16"/>
      <c r="N51" s="104" t="s">
        <v>283</v>
      </c>
      <c r="O51" s="16">
        <f t="shared" si="7"/>
        <v>72</v>
      </c>
      <c r="P51" s="18">
        <v>44831</v>
      </c>
      <c r="Q51" s="118"/>
      <c r="R51" s="105">
        <v>0</v>
      </c>
      <c r="S51" s="105">
        <v>1</v>
      </c>
      <c r="T51" s="105">
        <v>0</v>
      </c>
      <c r="U51" s="106">
        <f>IF(ISBLANK(Table1[[#This Row],[OHC Date]]),$B$7-Table1[[#This Row],[HOC Date]]+1,Table1[[#This Row],[OHC Date]]-Table1[[#This Row],[HOC Date]]+1)/7</f>
        <v>17.285714285714285</v>
      </c>
      <c r="V51" s="107">
        <v>0</v>
      </c>
      <c r="W51" s="107">
        <v>1.4</v>
      </c>
      <c r="X51" s="107">
        <f>ROUND(0.7*Table1[[#This Row],[E&amp;D Rate per unit]]*R51*Table1[[#This Row],[Quantity]],2)</f>
        <v>0</v>
      </c>
      <c r="Y51" s="21">
        <f t="shared" si="5"/>
        <v>1742.4</v>
      </c>
      <c r="Z51" s="107">
        <f>ROUND(0.3*T51*Table1[[#This Row],[E&amp;D Rate per unit]]*Table1[[#This Row],[Quantity]],2)</f>
        <v>0</v>
      </c>
      <c r="AA51" s="107">
        <f t="shared" si="6"/>
        <v>1742.4</v>
      </c>
      <c r="AB51" s="126">
        <v>1296</v>
      </c>
      <c r="AC51" s="126">
        <f>Table1[[#This Row],[Total Amount]]-Table1[[#This Row],[Previous Amount]]</f>
        <v>446.40000000000009</v>
      </c>
      <c r="AD51" s="127" t="s">
        <v>672</v>
      </c>
    </row>
    <row r="52" spans="1:30" ht="30" customHeight="1" x14ac:dyDescent="0.3">
      <c r="A52" s="150" t="s">
        <v>157</v>
      </c>
      <c r="B52" s="150" t="s">
        <v>97</v>
      </c>
      <c r="C52" s="16">
        <v>3</v>
      </c>
      <c r="D52" s="102">
        <v>74667</v>
      </c>
      <c r="E52" s="102"/>
      <c r="F52" s="17" t="s">
        <v>658</v>
      </c>
      <c r="G52" s="17" t="s">
        <v>159</v>
      </c>
      <c r="H52" s="151" t="s">
        <v>639</v>
      </c>
      <c r="I52" s="102">
        <v>1</v>
      </c>
      <c r="J52" s="16">
        <v>22.9</v>
      </c>
      <c r="K52" s="16">
        <v>2.4</v>
      </c>
      <c r="L52" s="16">
        <v>1</v>
      </c>
      <c r="M52" s="16"/>
      <c r="N52" s="104" t="s">
        <v>224</v>
      </c>
      <c r="O52" s="16">
        <f t="shared" si="7"/>
        <v>54.96</v>
      </c>
      <c r="P52" s="18">
        <v>44831</v>
      </c>
      <c r="Q52" s="118"/>
      <c r="R52" s="105">
        <v>0</v>
      </c>
      <c r="S52" s="105">
        <v>1</v>
      </c>
      <c r="T52" s="105">
        <v>0</v>
      </c>
      <c r="U52" s="106">
        <f>IF(ISBLANK(Table1[[#This Row],[OHC Date]]),$B$7-Table1[[#This Row],[HOC Date]]+1,Table1[[#This Row],[OHC Date]]-Table1[[#This Row],[HOC Date]]+1)/7</f>
        <v>17.285714285714285</v>
      </c>
      <c r="V52" s="107">
        <v>0</v>
      </c>
      <c r="W52" s="107">
        <v>10.15</v>
      </c>
      <c r="X52" s="107">
        <f>ROUND(0.7*Table1[[#This Row],[E&amp;D Rate per unit]]*R52*Table1[[#This Row],[Quantity]],2)</f>
        <v>0</v>
      </c>
      <c r="Y52" s="21">
        <f t="shared" si="5"/>
        <v>9642.73</v>
      </c>
      <c r="Z52" s="107">
        <f>ROUND(0.3*T52*Table1[[#This Row],[E&amp;D Rate per unit]]*Table1[[#This Row],[Quantity]],2)</f>
        <v>0</v>
      </c>
      <c r="AA52" s="107">
        <f t="shared" si="6"/>
        <v>9642.73</v>
      </c>
      <c r="AB52" s="126">
        <v>7172.28</v>
      </c>
      <c r="AC52" s="126">
        <f>Table1[[#This Row],[Total Amount]]-Table1[[#This Row],[Previous Amount]]</f>
        <v>2470.4499999999998</v>
      </c>
      <c r="AD52" s="127" t="s">
        <v>672</v>
      </c>
    </row>
    <row r="53" spans="1:30" ht="30" customHeight="1" x14ac:dyDescent="0.3">
      <c r="A53" s="150" t="s">
        <v>157</v>
      </c>
      <c r="B53" s="150" t="s">
        <v>97</v>
      </c>
      <c r="C53" s="16">
        <v>10</v>
      </c>
      <c r="D53" s="102">
        <v>74681</v>
      </c>
      <c r="E53" s="102"/>
      <c r="F53" s="17" t="s">
        <v>660</v>
      </c>
      <c r="G53" s="17" t="s">
        <v>661</v>
      </c>
      <c r="H53" s="16" t="s">
        <v>662</v>
      </c>
      <c r="I53" s="102">
        <v>1</v>
      </c>
      <c r="J53" s="16">
        <v>24.7</v>
      </c>
      <c r="K53" s="16">
        <v>1.3</v>
      </c>
      <c r="L53" s="16">
        <v>4.2</v>
      </c>
      <c r="M53" s="16">
        <v>1</v>
      </c>
      <c r="N53" s="104" t="s">
        <v>206</v>
      </c>
      <c r="O53" s="16">
        <f t="shared" si="7"/>
        <v>103.74</v>
      </c>
      <c r="P53" s="18">
        <v>44846</v>
      </c>
      <c r="Q53" s="118"/>
      <c r="R53" s="105">
        <v>0</v>
      </c>
      <c r="S53" s="105">
        <v>1</v>
      </c>
      <c r="T53" s="105">
        <v>0</v>
      </c>
      <c r="U53" s="106">
        <f>IF(ISBLANK(Table1[[#This Row],[OHC Date]]),$B$7-Table1[[#This Row],[HOC Date]]+1,Table1[[#This Row],[OHC Date]]-Table1[[#This Row],[HOC Date]]+1)/7</f>
        <v>15.142857142857142</v>
      </c>
      <c r="V53" s="107">
        <v>0</v>
      </c>
      <c r="W53" s="107">
        <v>0.49</v>
      </c>
      <c r="X53" s="107">
        <f>ROUND(0.7*Table1[[#This Row],[E&amp;D Rate per unit]]*R53*Table1[[#This Row],[Quantity]],2)</f>
        <v>0</v>
      </c>
      <c r="Y53" s="21">
        <f t="shared" si="5"/>
        <v>769.75</v>
      </c>
      <c r="Z53" s="107">
        <f>ROUND(0.3*T53*Table1[[#This Row],[E&amp;D Rate per unit]]*Table1[[#This Row],[Quantity]],2)</f>
        <v>0</v>
      </c>
      <c r="AA53" s="107">
        <f t="shared" si="6"/>
        <v>769.75</v>
      </c>
      <c r="AB53" s="126">
        <v>544.64</v>
      </c>
      <c r="AC53" s="126">
        <f>Table1[[#This Row],[Total Amount]]-Table1[[#This Row],[Previous Amount]]</f>
        <v>225.11</v>
      </c>
      <c r="AD53" s="127" t="s">
        <v>672</v>
      </c>
    </row>
    <row r="54" spans="1:30" ht="30" customHeight="1" x14ac:dyDescent="0.3">
      <c r="A54" s="150" t="s">
        <v>157</v>
      </c>
      <c r="B54" s="150" t="s">
        <v>97</v>
      </c>
      <c r="C54" s="16">
        <v>10</v>
      </c>
      <c r="D54" s="102">
        <v>74681</v>
      </c>
      <c r="E54" s="102"/>
      <c r="F54" s="17" t="s">
        <v>660</v>
      </c>
      <c r="G54" s="17" t="s">
        <v>661</v>
      </c>
      <c r="H54" s="151" t="s">
        <v>639</v>
      </c>
      <c r="I54" s="102">
        <v>1</v>
      </c>
      <c r="J54" s="16">
        <v>24.7</v>
      </c>
      <c r="K54" s="16">
        <v>1.3</v>
      </c>
      <c r="L54" s="16">
        <v>1</v>
      </c>
      <c r="M54" s="16"/>
      <c r="N54" s="104" t="s">
        <v>224</v>
      </c>
      <c r="O54" s="16">
        <f t="shared" si="7"/>
        <v>32.11</v>
      </c>
      <c r="P54" s="18">
        <v>44846</v>
      </c>
      <c r="Q54" s="118"/>
      <c r="R54" s="105">
        <v>0</v>
      </c>
      <c r="S54" s="105">
        <v>1</v>
      </c>
      <c r="T54" s="105">
        <v>0</v>
      </c>
      <c r="U54" s="106">
        <f>IF(ISBLANK(Table1[[#This Row],[OHC Date]]),$B$7-Table1[[#This Row],[HOC Date]]+1,Table1[[#This Row],[OHC Date]]-Table1[[#This Row],[HOC Date]]+1)/7</f>
        <v>15.142857142857142</v>
      </c>
      <c r="V54" s="107">
        <v>0</v>
      </c>
      <c r="W54" s="107">
        <v>10.15</v>
      </c>
      <c r="X54" s="107">
        <f>ROUND(0.7*Table1[[#This Row],[E&amp;D Rate per unit]]*R54*Table1[[#This Row],[Quantity]],2)</f>
        <v>0</v>
      </c>
      <c r="Y54" s="21">
        <f t="shared" si="5"/>
        <v>4935.3100000000004</v>
      </c>
      <c r="Z54" s="107">
        <f>ROUND(0.3*T54*Table1[[#This Row],[E&amp;D Rate per unit]]*Table1[[#This Row],[Quantity]],2)</f>
        <v>0</v>
      </c>
      <c r="AA54" s="107">
        <f t="shared" si="6"/>
        <v>4935.3100000000004</v>
      </c>
      <c r="AB54" s="126">
        <v>3491.96</v>
      </c>
      <c r="AC54" s="126">
        <f>Table1[[#This Row],[Total Amount]]-Table1[[#This Row],[Previous Amount]]</f>
        <v>1443.3500000000004</v>
      </c>
      <c r="AD54" s="127" t="s">
        <v>672</v>
      </c>
    </row>
    <row r="55" spans="1:30" ht="30" customHeight="1" x14ac:dyDescent="0.3">
      <c r="A55" s="150" t="s">
        <v>157</v>
      </c>
      <c r="B55" s="150" t="s">
        <v>97</v>
      </c>
      <c r="C55" s="16">
        <v>9</v>
      </c>
      <c r="D55" s="102">
        <v>74680</v>
      </c>
      <c r="E55" s="102"/>
      <c r="F55" s="17" t="s">
        <v>660</v>
      </c>
      <c r="G55" s="17" t="s">
        <v>163</v>
      </c>
      <c r="H55" s="16" t="s">
        <v>663</v>
      </c>
      <c r="I55" s="102">
        <v>1</v>
      </c>
      <c r="J55" s="16">
        <v>18.8</v>
      </c>
      <c r="K55" s="16">
        <v>3.6</v>
      </c>
      <c r="L55" s="16">
        <v>4.7</v>
      </c>
      <c r="M55" s="16"/>
      <c r="N55" s="104" t="s">
        <v>224</v>
      </c>
      <c r="O55" s="16">
        <f t="shared" si="7"/>
        <v>318.10000000000002</v>
      </c>
      <c r="P55" s="18">
        <v>44846</v>
      </c>
      <c r="Q55" s="118"/>
      <c r="R55" s="105">
        <v>0</v>
      </c>
      <c r="S55" s="105">
        <v>1</v>
      </c>
      <c r="T55" s="105">
        <v>0</v>
      </c>
      <c r="U55" s="106">
        <f>IF(ISBLANK(Table1[[#This Row],[OHC Date]]),$B$7-Table1[[#This Row],[HOC Date]]+1,Table1[[#This Row],[OHC Date]]-Table1[[#This Row],[HOC Date]]+1)/7</f>
        <v>15.142857142857142</v>
      </c>
      <c r="V55" s="107">
        <v>0</v>
      </c>
      <c r="W55" s="107">
        <v>0.49</v>
      </c>
      <c r="X55" s="107">
        <f>ROUND(0.7*Table1[[#This Row],[E&amp;D Rate per unit]]*R55*Table1[[#This Row],[Quantity]],2)</f>
        <v>0</v>
      </c>
      <c r="Y55" s="21">
        <f t="shared" si="5"/>
        <v>2360.3000000000002</v>
      </c>
      <c r="Z55" s="107">
        <f>ROUND(0.3*T55*Table1[[#This Row],[E&amp;D Rate per unit]]*Table1[[#This Row],[Quantity]],2)</f>
        <v>0</v>
      </c>
      <c r="AA55" s="107">
        <f t="shared" si="6"/>
        <v>2360.3000000000002</v>
      </c>
      <c r="AB55" s="126">
        <v>1670.03</v>
      </c>
      <c r="AC55" s="126">
        <f>Table1[[#This Row],[Total Amount]]-Table1[[#This Row],[Previous Amount]]</f>
        <v>690.27000000000021</v>
      </c>
      <c r="AD55" s="127" t="s">
        <v>672</v>
      </c>
    </row>
    <row r="56" spans="1:30" ht="30" customHeight="1" x14ac:dyDescent="0.3">
      <c r="A56" s="150" t="s">
        <v>157</v>
      </c>
      <c r="B56" s="150" t="s">
        <v>97</v>
      </c>
      <c r="C56" s="16">
        <v>9</v>
      </c>
      <c r="D56" s="102">
        <v>74680</v>
      </c>
      <c r="E56" s="102"/>
      <c r="F56" s="17" t="s">
        <v>660</v>
      </c>
      <c r="G56" s="17" t="s">
        <v>163</v>
      </c>
      <c r="H56" s="151" t="s">
        <v>639</v>
      </c>
      <c r="I56" s="102">
        <v>1</v>
      </c>
      <c r="J56" s="16">
        <v>18.8</v>
      </c>
      <c r="K56" s="16">
        <v>3.6</v>
      </c>
      <c r="L56" s="16">
        <v>1</v>
      </c>
      <c r="M56" s="16"/>
      <c r="N56" s="104" t="s">
        <v>224</v>
      </c>
      <c r="O56" s="16">
        <f t="shared" si="7"/>
        <v>67.680000000000007</v>
      </c>
      <c r="P56" s="18">
        <v>44846</v>
      </c>
      <c r="Q56" s="118"/>
      <c r="R56" s="105">
        <v>0</v>
      </c>
      <c r="S56" s="105">
        <v>1</v>
      </c>
      <c r="T56" s="105">
        <v>0</v>
      </c>
      <c r="U56" s="106">
        <f>IF(ISBLANK(Table1[[#This Row],[OHC Date]]),$B$7-Table1[[#This Row],[HOC Date]]+1,Table1[[#This Row],[OHC Date]]-Table1[[#This Row],[HOC Date]]+1)/7</f>
        <v>15.142857142857142</v>
      </c>
      <c r="V56" s="107">
        <v>0</v>
      </c>
      <c r="W56" s="107">
        <v>10.15</v>
      </c>
      <c r="X56" s="107">
        <f>ROUND(0.7*Table1[[#This Row],[E&amp;D Rate per unit]]*R56*Table1[[#This Row],[Quantity]],2)</f>
        <v>0</v>
      </c>
      <c r="Y56" s="21">
        <f t="shared" si="5"/>
        <v>10402.42</v>
      </c>
      <c r="Z56" s="107">
        <f>ROUND(0.3*T56*Table1[[#This Row],[E&amp;D Rate per unit]]*Table1[[#This Row],[Quantity]],2)</f>
        <v>0</v>
      </c>
      <c r="AA56" s="107">
        <f t="shared" si="6"/>
        <v>10402.42</v>
      </c>
      <c r="AB56" s="126">
        <v>7360.2</v>
      </c>
      <c r="AC56" s="126">
        <f>Table1[[#This Row],[Total Amount]]-Table1[[#This Row],[Previous Amount]]</f>
        <v>3042.2200000000003</v>
      </c>
      <c r="AD56" s="127" t="s">
        <v>672</v>
      </c>
    </row>
    <row r="57" spans="1:30" ht="30" customHeight="1" x14ac:dyDescent="0.3">
      <c r="A57" s="150" t="s">
        <v>157</v>
      </c>
      <c r="B57" s="150" t="s">
        <v>97</v>
      </c>
      <c r="C57" s="16">
        <v>108</v>
      </c>
      <c r="D57" s="102">
        <v>77542</v>
      </c>
      <c r="E57" s="102"/>
      <c r="F57" s="17" t="s">
        <v>664</v>
      </c>
      <c r="G57" s="17" t="s">
        <v>665</v>
      </c>
      <c r="H57" s="16" t="s">
        <v>666</v>
      </c>
      <c r="I57" s="102">
        <v>1</v>
      </c>
      <c r="J57" s="16">
        <v>12.6</v>
      </c>
      <c r="K57" s="16">
        <v>1.3</v>
      </c>
      <c r="L57" s="16">
        <v>8.8000000000000007</v>
      </c>
      <c r="M57" s="16">
        <v>1</v>
      </c>
      <c r="N57" s="104" t="s">
        <v>206</v>
      </c>
      <c r="O57" s="16">
        <f t="shared" si="7"/>
        <v>110.88</v>
      </c>
      <c r="P57" s="18">
        <v>44895</v>
      </c>
      <c r="Q57" s="118"/>
      <c r="R57" s="105">
        <v>0</v>
      </c>
      <c r="S57" s="105">
        <v>1</v>
      </c>
      <c r="T57" s="105">
        <v>0</v>
      </c>
      <c r="U57" s="106">
        <f>IF(ISBLANK(Table1[[#This Row],[OHC Date]]),$B$7-Table1[[#This Row],[HOC Date]]+1,Table1[[#This Row],[OHC Date]]-Table1[[#This Row],[HOC Date]]+1)/7</f>
        <v>8.1428571428571423</v>
      </c>
      <c r="V57" s="107">
        <v>0</v>
      </c>
      <c r="W57" s="107">
        <v>0.49</v>
      </c>
      <c r="X57" s="107">
        <f>ROUND(0.7*Table1[[#This Row],[E&amp;D Rate per unit]]*R57*Table1[[#This Row],[Quantity]],2)</f>
        <v>0</v>
      </c>
      <c r="Y57" s="21">
        <f t="shared" si="5"/>
        <v>442.41</v>
      </c>
      <c r="Z57" s="107">
        <f>ROUND(0.3*T57*Table1[[#This Row],[E&amp;D Rate per unit]]*Table1[[#This Row],[Quantity]],2)</f>
        <v>0</v>
      </c>
      <c r="AA57" s="107">
        <f t="shared" si="6"/>
        <v>442.41</v>
      </c>
      <c r="AB57" s="126">
        <v>201.8</v>
      </c>
      <c r="AC57" s="126">
        <f>Table1[[#This Row],[Total Amount]]-Table1[[#This Row],[Previous Amount]]</f>
        <v>240.61</v>
      </c>
      <c r="AD57" s="127" t="s">
        <v>672</v>
      </c>
    </row>
    <row r="58" spans="1:30" ht="30" customHeight="1" x14ac:dyDescent="0.3">
      <c r="A58" s="150" t="s">
        <v>157</v>
      </c>
      <c r="B58" s="150" t="s">
        <v>97</v>
      </c>
      <c r="C58" s="16">
        <v>108</v>
      </c>
      <c r="D58" s="102">
        <v>77542</v>
      </c>
      <c r="E58" s="102"/>
      <c r="F58" s="17" t="s">
        <v>664</v>
      </c>
      <c r="G58" s="17" t="s">
        <v>665</v>
      </c>
      <c r="H58" s="16" t="s">
        <v>639</v>
      </c>
      <c r="I58" s="102">
        <v>1</v>
      </c>
      <c r="J58" s="16">
        <v>12.6</v>
      </c>
      <c r="K58" s="16">
        <v>1.3</v>
      </c>
      <c r="L58" s="16">
        <v>1</v>
      </c>
      <c r="M58" s="16"/>
      <c r="N58" s="104" t="s">
        <v>224</v>
      </c>
      <c r="O58" s="16">
        <f t="shared" si="7"/>
        <v>16.38</v>
      </c>
      <c r="P58" s="18">
        <v>44895</v>
      </c>
      <c r="Q58" s="118"/>
      <c r="R58" s="105">
        <v>0</v>
      </c>
      <c r="S58" s="105">
        <v>1</v>
      </c>
      <c r="T58" s="105">
        <v>0</v>
      </c>
      <c r="U58" s="106">
        <f>IF(ISBLANK(Table1[[#This Row],[OHC Date]]),$B$7-Table1[[#This Row],[HOC Date]]+1,Table1[[#This Row],[OHC Date]]-Table1[[#This Row],[HOC Date]]+1)/7</f>
        <v>8.1428571428571423</v>
      </c>
      <c r="V58" s="107">
        <v>0</v>
      </c>
      <c r="W58" s="107">
        <v>10.15</v>
      </c>
      <c r="X58" s="107">
        <f>ROUND(0.7*Table1[[#This Row],[E&amp;D Rate per unit]]*R58*Table1[[#This Row],[Quantity]],2)</f>
        <v>0</v>
      </c>
      <c r="Y58" s="21">
        <f t="shared" si="5"/>
        <v>1353.81</v>
      </c>
      <c r="Z58" s="107">
        <f>ROUND(0.3*T58*Table1[[#This Row],[E&amp;D Rate per unit]]*Table1[[#This Row],[Quantity]],2)</f>
        <v>0</v>
      </c>
      <c r="AA58" s="107">
        <f t="shared" si="6"/>
        <v>1353.81</v>
      </c>
      <c r="AB58" s="126">
        <v>617.53</v>
      </c>
      <c r="AC58" s="126">
        <f>Table1[[#This Row],[Total Amount]]-Table1[[#This Row],[Previous Amount]]</f>
        <v>736.28</v>
      </c>
      <c r="AD58" s="127" t="s">
        <v>672</v>
      </c>
    </row>
    <row r="59" spans="1:30" ht="30" customHeight="1" x14ac:dyDescent="0.3">
      <c r="A59" s="150" t="s">
        <v>157</v>
      </c>
      <c r="B59" s="150" t="s">
        <v>97</v>
      </c>
      <c r="C59" s="16" t="s">
        <v>667</v>
      </c>
      <c r="D59" s="102">
        <v>77543</v>
      </c>
      <c r="E59" s="102"/>
      <c r="F59" s="17" t="s">
        <v>664</v>
      </c>
      <c r="G59" s="17" t="s">
        <v>336</v>
      </c>
      <c r="H59" s="16" t="s">
        <v>666</v>
      </c>
      <c r="I59" s="102">
        <v>1</v>
      </c>
      <c r="J59" s="16">
        <v>3.6</v>
      </c>
      <c r="K59" s="16">
        <v>1.8</v>
      </c>
      <c r="L59" s="16">
        <v>3</v>
      </c>
      <c r="M59" s="16"/>
      <c r="N59" s="104" t="s">
        <v>206</v>
      </c>
      <c r="O59" s="16">
        <f t="shared" si="7"/>
        <v>10.8</v>
      </c>
      <c r="P59" s="18">
        <v>44895</v>
      </c>
      <c r="Q59" s="118"/>
      <c r="R59" s="105">
        <v>0</v>
      </c>
      <c r="S59" s="105">
        <v>1</v>
      </c>
      <c r="T59" s="105">
        <v>0</v>
      </c>
      <c r="U59" s="106">
        <f>IF(ISBLANK(Table1[[#This Row],[OHC Date]]),$B$7-Table1[[#This Row],[HOC Date]]+1,Table1[[#This Row],[OHC Date]]-Table1[[#This Row],[HOC Date]]+1)/7</f>
        <v>8.1428571428571423</v>
      </c>
      <c r="V59" s="107">
        <v>0</v>
      </c>
      <c r="W59" s="107">
        <v>0.49</v>
      </c>
      <c r="X59" s="107">
        <f>ROUND(0.7*Table1[[#This Row],[E&amp;D Rate per unit]]*R59*Table1[[#This Row],[Quantity]],2)</f>
        <v>0</v>
      </c>
      <c r="Y59" s="21">
        <f t="shared" si="5"/>
        <v>43.09</v>
      </c>
      <c r="Z59" s="107">
        <f>ROUND(0.3*T59*Table1[[#This Row],[E&amp;D Rate per unit]]*Table1[[#This Row],[Quantity]],2)</f>
        <v>0</v>
      </c>
      <c r="AA59" s="107">
        <f t="shared" si="6"/>
        <v>43.09</v>
      </c>
      <c r="AB59" s="126">
        <v>19.66</v>
      </c>
      <c r="AC59" s="126">
        <f>Table1[[#This Row],[Total Amount]]-Table1[[#This Row],[Previous Amount]]</f>
        <v>23.430000000000003</v>
      </c>
      <c r="AD59" s="132" t="s">
        <v>861</v>
      </c>
    </row>
    <row r="60" spans="1:30" ht="30" customHeight="1" x14ac:dyDescent="0.3">
      <c r="A60" s="150" t="s">
        <v>157</v>
      </c>
      <c r="B60" s="150" t="s">
        <v>97</v>
      </c>
      <c r="C60" s="16" t="s">
        <v>667</v>
      </c>
      <c r="D60" s="102">
        <v>77542</v>
      </c>
      <c r="E60" s="102"/>
      <c r="F60" s="17" t="s">
        <v>664</v>
      </c>
      <c r="G60" s="17" t="s">
        <v>336</v>
      </c>
      <c r="H60" s="16" t="s">
        <v>639</v>
      </c>
      <c r="I60" s="102">
        <v>1</v>
      </c>
      <c r="J60" s="16">
        <v>3.6</v>
      </c>
      <c r="K60" s="16">
        <v>1.3</v>
      </c>
      <c r="L60" s="16">
        <v>1</v>
      </c>
      <c r="M60" s="16"/>
      <c r="N60" s="104" t="s">
        <v>224</v>
      </c>
      <c r="O60" s="16">
        <f t="shared" si="7"/>
        <v>4.68</v>
      </c>
      <c r="P60" s="18">
        <v>44895</v>
      </c>
      <c r="Q60" s="118"/>
      <c r="R60" s="105">
        <v>0</v>
      </c>
      <c r="S60" s="105">
        <v>0</v>
      </c>
      <c r="T60" s="105">
        <v>0</v>
      </c>
      <c r="U60" s="106">
        <f>IF(ISBLANK(Table1[[#This Row],[OHC Date]]),$B$7-Table1[[#This Row],[HOC Date]]+1,Table1[[#This Row],[OHC Date]]-Table1[[#This Row],[HOC Date]]+1)/7</f>
        <v>8.1428571428571423</v>
      </c>
      <c r="V60" s="107">
        <v>0</v>
      </c>
      <c r="W60" s="107">
        <v>10.15</v>
      </c>
      <c r="X60" s="107">
        <f>ROUND(0.7*Table1[[#This Row],[E&amp;D Rate per unit]]*R60*Table1[[#This Row],[Quantity]],2)</f>
        <v>0</v>
      </c>
      <c r="Y60" s="21">
        <f t="shared" si="5"/>
        <v>0</v>
      </c>
      <c r="Z60" s="107">
        <f>ROUND(0.3*T60*Table1[[#This Row],[E&amp;D Rate per unit]]*Table1[[#This Row],[Quantity]],2)</f>
        <v>0</v>
      </c>
      <c r="AA60" s="107">
        <f t="shared" si="6"/>
        <v>0</v>
      </c>
      <c r="AB60" s="126">
        <v>0</v>
      </c>
      <c r="AC60" s="126">
        <f>Table1[[#This Row],[Total Amount]]-Table1[[#This Row],[Previous Amount]]</f>
        <v>0</v>
      </c>
      <c r="AD60" s="132" t="s">
        <v>672</v>
      </c>
    </row>
    <row r="61" spans="1:30" ht="30" customHeight="1" x14ac:dyDescent="0.3">
      <c r="A61" s="150" t="s">
        <v>157</v>
      </c>
      <c r="B61" s="150" t="s">
        <v>97</v>
      </c>
      <c r="C61" s="16" t="s">
        <v>667</v>
      </c>
      <c r="D61" s="102">
        <v>77542</v>
      </c>
      <c r="E61" s="102"/>
      <c r="F61" s="17" t="s">
        <v>664</v>
      </c>
      <c r="G61" s="17" t="s">
        <v>336</v>
      </c>
      <c r="H61" s="16" t="s">
        <v>639</v>
      </c>
      <c r="I61" s="102">
        <v>1</v>
      </c>
      <c r="J61" s="16">
        <v>3.6</v>
      </c>
      <c r="K61" s="16">
        <v>1.8</v>
      </c>
      <c r="L61" s="16">
        <v>1</v>
      </c>
      <c r="M61" s="16"/>
      <c r="N61" s="104" t="s">
        <v>224</v>
      </c>
      <c r="O61" s="16">
        <f t="shared" si="7"/>
        <v>6.48</v>
      </c>
      <c r="P61" s="18">
        <v>44895</v>
      </c>
      <c r="Q61" s="118"/>
      <c r="R61" s="105">
        <v>0</v>
      </c>
      <c r="S61" s="105">
        <v>0</v>
      </c>
      <c r="T61" s="105">
        <v>0</v>
      </c>
      <c r="U61" s="106">
        <f>IF(ISBLANK(Table1[[#This Row],[OHC Date]]),$B$7-Table1[[#This Row],[HOC Date]]+1,Table1[[#This Row],[OHC Date]]-Table1[[#This Row],[HOC Date]]+1)/7</f>
        <v>8.1428571428571423</v>
      </c>
      <c r="V61" s="107">
        <v>0</v>
      </c>
      <c r="W61" s="107">
        <v>10.15</v>
      </c>
      <c r="X61" s="107">
        <f>ROUND(0.7*Table1[[#This Row],[E&amp;D Rate per unit]]*R61*Table1[[#This Row],[Quantity]],2)</f>
        <v>0</v>
      </c>
      <c r="Y61" s="21">
        <f t="shared" si="5"/>
        <v>0</v>
      </c>
      <c r="Z61" s="107">
        <f>ROUND(0.3*T61*Table1[[#This Row],[E&amp;D Rate per unit]]*Table1[[#This Row],[Quantity]],2)</f>
        <v>0</v>
      </c>
      <c r="AA61" s="107">
        <f t="shared" si="6"/>
        <v>0</v>
      </c>
      <c r="AB61" s="126">
        <v>0</v>
      </c>
      <c r="AC61" s="126">
        <f>Table1[[#This Row],[Total Amount]]-Table1[[#This Row],[Previous Amount]]</f>
        <v>0</v>
      </c>
      <c r="AD61" s="132" t="s">
        <v>672</v>
      </c>
    </row>
    <row r="62" spans="1:30" ht="30" customHeight="1" x14ac:dyDescent="0.3">
      <c r="A62" s="150" t="s">
        <v>157</v>
      </c>
      <c r="B62" s="150" t="s">
        <v>97</v>
      </c>
      <c r="C62" s="16" t="s">
        <v>668</v>
      </c>
      <c r="D62" s="102">
        <v>79142</v>
      </c>
      <c r="E62" s="102"/>
      <c r="F62" s="17" t="s">
        <v>669</v>
      </c>
      <c r="G62" s="17" t="s">
        <v>190</v>
      </c>
      <c r="H62" s="16" t="s">
        <v>670</v>
      </c>
      <c r="I62" s="102">
        <v>1</v>
      </c>
      <c r="J62" s="16">
        <v>11</v>
      </c>
      <c r="K62" s="16">
        <v>3.5</v>
      </c>
      <c r="L62" s="16">
        <v>1</v>
      </c>
      <c r="M62" s="16">
        <v>1</v>
      </c>
      <c r="N62" s="104" t="s">
        <v>160</v>
      </c>
      <c r="O62" s="16">
        <f t="shared" si="7"/>
        <v>38.5</v>
      </c>
      <c r="P62" s="18">
        <v>44909</v>
      </c>
      <c r="Q62" s="118"/>
      <c r="R62" s="105">
        <v>0</v>
      </c>
      <c r="S62" s="105">
        <v>1</v>
      </c>
      <c r="T62" s="105">
        <v>0</v>
      </c>
      <c r="U62" s="106">
        <f>IF(ISBLANK(Table1[[#This Row],[OHC Date]]),$B$7-Table1[[#This Row],[HOC Date]]+1,Table1[[#This Row],[OHC Date]]-Table1[[#This Row],[HOC Date]]+1)/7</f>
        <v>6.1428571428571432</v>
      </c>
      <c r="V62" s="107">
        <v>0</v>
      </c>
      <c r="W62" s="107">
        <v>8.61</v>
      </c>
      <c r="X62" s="107">
        <f>ROUND(0.7*Table1[[#This Row],[E&amp;D Rate per unit]]*R62*Table1[[#This Row],[Quantity]],2)</f>
        <v>0</v>
      </c>
      <c r="Y62" s="21">
        <f t="shared" si="5"/>
        <v>2036.27</v>
      </c>
      <c r="Z62" s="107">
        <f>ROUND(0.3*T62*Table1[[#This Row],[E&amp;D Rate per unit]]*Table1[[#This Row],[Quantity]],2)</f>
        <v>0</v>
      </c>
      <c r="AA62" s="107">
        <f t="shared" si="6"/>
        <v>2036.27</v>
      </c>
      <c r="AB62" s="126">
        <v>568.26</v>
      </c>
      <c r="AC62" s="126">
        <f>Table1[[#This Row],[Total Amount]]-Table1[[#This Row],[Previous Amount]]</f>
        <v>1468.01</v>
      </c>
      <c r="AD62" s="127" t="s">
        <v>672</v>
      </c>
    </row>
    <row r="63" spans="1:30" ht="30" customHeight="1" x14ac:dyDescent="0.3">
      <c r="A63" s="150" t="s">
        <v>157</v>
      </c>
      <c r="B63" s="150" t="s">
        <v>97</v>
      </c>
      <c r="C63" s="16" t="s">
        <v>668</v>
      </c>
      <c r="D63" s="102">
        <v>79142</v>
      </c>
      <c r="E63" s="102"/>
      <c r="F63" s="17" t="s">
        <v>669</v>
      </c>
      <c r="G63" s="17" t="s">
        <v>190</v>
      </c>
      <c r="H63" s="16" t="s">
        <v>670</v>
      </c>
      <c r="I63" s="102">
        <v>6</v>
      </c>
      <c r="J63" s="16">
        <v>10.8</v>
      </c>
      <c r="K63" s="16">
        <v>1</v>
      </c>
      <c r="L63" s="16">
        <v>1</v>
      </c>
      <c r="M63" s="16"/>
      <c r="N63" s="104" t="s">
        <v>283</v>
      </c>
      <c r="O63" s="16">
        <f t="shared" si="7"/>
        <v>64.8</v>
      </c>
      <c r="P63" s="18">
        <v>44909</v>
      </c>
      <c r="Q63" s="118"/>
      <c r="R63" s="105">
        <v>0</v>
      </c>
      <c r="S63" s="105">
        <v>1</v>
      </c>
      <c r="T63" s="105">
        <v>0</v>
      </c>
      <c r="U63" s="106">
        <f>IF(ISBLANK(Table1[[#This Row],[OHC Date]]),$B$7-Table1[[#This Row],[HOC Date]]+1,Table1[[#This Row],[OHC Date]]-Table1[[#This Row],[HOC Date]]+1)/7</f>
        <v>6.1428571428571432</v>
      </c>
      <c r="V63" s="107">
        <v>0</v>
      </c>
      <c r="W63" s="107">
        <v>1.4</v>
      </c>
      <c r="X63" s="107">
        <f>ROUND(0.7*Table1[[#This Row],[E&amp;D Rate per unit]]*R63*Table1[[#This Row],[Quantity]],2)</f>
        <v>0</v>
      </c>
      <c r="Y63" s="21">
        <f t="shared" si="5"/>
        <v>557.28</v>
      </c>
      <c r="Z63" s="107">
        <f>ROUND(0.3*T63*Table1[[#This Row],[E&amp;D Rate per unit]]*Table1[[#This Row],[Quantity]],2)</f>
        <v>0</v>
      </c>
      <c r="AA63" s="107">
        <f t="shared" si="6"/>
        <v>557.28</v>
      </c>
      <c r="AB63" s="126">
        <v>155.52000000000001</v>
      </c>
      <c r="AC63" s="126">
        <f>Table1[[#This Row],[Total Amount]]-Table1[[#This Row],[Previous Amount]]</f>
        <v>401.76</v>
      </c>
      <c r="AD63" s="127" t="s">
        <v>672</v>
      </c>
    </row>
    <row r="64" spans="1:30" ht="30" customHeight="1" x14ac:dyDescent="0.3">
      <c r="A64" s="150" t="s">
        <v>157</v>
      </c>
      <c r="B64" s="150" t="s">
        <v>97</v>
      </c>
      <c r="C64" s="16" t="s">
        <v>668</v>
      </c>
      <c r="D64" s="102">
        <v>79142</v>
      </c>
      <c r="E64" s="102"/>
      <c r="F64" s="17" t="s">
        <v>669</v>
      </c>
      <c r="G64" s="17" t="s">
        <v>190</v>
      </c>
      <c r="H64" s="16" t="s">
        <v>670</v>
      </c>
      <c r="I64" s="102">
        <v>12</v>
      </c>
      <c r="J64" s="16">
        <v>6</v>
      </c>
      <c r="K64" s="16">
        <v>1</v>
      </c>
      <c r="L64" s="16">
        <v>1</v>
      </c>
      <c r="M64" s="16"/>
      <c r="N64" s="104" t="s">
        <v>283</v>
      </c>
      <c r="O64" s="16">
        <f t="shared" si="7"/>
        <v>72</v>
      </c>
      <c r="P64" s="18">
        <v>44909</v>
      </c>
      <c r="Q64" s="118"/>
      <c r="R64" s="105">
        <v>0</v>
      </c>
      <c r="S64" s="105">
        <v>1</v>
      </c>
      <c r="T64" s="105">
        <v>0</v>
      </c>
      <c r="U64" s="106">
        <f>IF(ISBLANK(Table1[[#This Row],[OHC Date]]),$B$7-Table1[[#This Row],[HOC Date]]+1,Table1[[#This Row],[OHC Date]]-Table1[[#This Row],[HOC Date]]+1)/7</f>
        <v>6.1428571428571432</v>
      </c>
      <c r="V64" s="107">
        <v>0</v>
      </c>
      <c r="W64" s="107">
        <v>1.4</v>
      </c>
      <c r="X64" s="107">
        <f>ROUND(0.7*Table1[[#This Row],[E&amp;D Rate per unit]]*R64*Table1[[#This Row],[Quantity]],2)</f>
        <v>0</v>
      </c>
      <c r="Y64" s="21">
        <f t="shared" si="5"/>
        <v>619.20000000000005</v>
      </c>
      <c r="Z64" s="107">
        <f>ROUND(0.3*T64*Table1[[#This Row],[E&amp;D Rate per unit]]*Table1[[#This Row],[Quantity]],2)</f>
        <v>0</v>
      </c>
      <c r="AA64" s="107">
        <f t="shared" si="6"/>
        <v>619.20000000000005</v>
      </c>
      <c r="AB64" s="126">
        <v>172.8</v>
      </c>
      <c r="AC64" s="126">
        <f>Table1[[#This Row],[Total Amount]]-Table1[[#This Row],[Previous Amount]]</f>
        <v>446.40000000000003</v>
      </c>
      <c r="AD64" s="127" t="s">
        <v>672</v>
      </c>
    </row>
    <row r="65" spans="1:30" ht="30" customHeight="1" x14ac:dyDescent="0.3">
      <c r="A65" s="150" t="s">
        <v>157</v>
      </c>
      <c r="B65" s="150" t="s">
        <v>97</v>
      </c>
      <c r="C65" s="16" t="s">
        <v>668</v>
      </c>
      <c r="D65" s="102">
        <v>79142</v>
      </c>
      <c r="E65" s="102"/>
      <c r="F65" s="17" t="s">
        <v>669</v>
      </c>
      <c r="G65" s="17" t="s">
        <v>190</v>
      </c>
      <c r="H65" s="16" t="s">
        <v>670</v>
      </c>
      <c r="I65" s="102">
        <v>1</v>
      </c>
      <c r="J65" s="16">
        <v>8</v>
      </c>
      <c r="K65" s="16">
        <v>2.6</v>
      </c>
      <c r="L65" s="16">
        <v>1</v>
      </c>
      <c r="M65" s="16"/>
      <c r="N65" s="104" t="s">
        <v>160</v>
      </c>
      <c r="O65" s="16">
        <f t="shared" si="7"/>
        <v>20.8</v>
      </c>
      <c r="P65" s="18">
        <v>44909</v>
      </c>
      <c r="Q65" s="118"/>
      <c r="R65" s="105">
        <v>0</v>
      </c>
      <c r="S65" s="105">
        <v>1</v>
      </c>
      <c r="T65" s="105">
        <v>0</v>
      </c>
      <c r="U65" s="106">
        <f>IF(ISBLANK(Table1[[#This Row],[OHC Date]]),$B$7-Table1[[#This Row],[HOC Date]]+1,Table1[[#This Row],[OHC Date]]-Table1[[#This Row],[HOC Date]]+1)/7</f>
        <v>6.1428571428571432</v>
      </c>
      <c r="V65" s="107">
        <v>0</v>
      </c>
      <c r="W65" s="107">
        <v>6.37</v>
      </c>
      <c r="X65" s="107">
        <f>ROUND(0.7*Table1[[#This Row],[E&amp;D Rate per unit]]*R65*Table1[[#This Row],[Quantity]],2)</f>
        <v>0</v>
      </c>
      <c r="Y65" s="21">
        <f t="shared" si="5"/>
        <v>813.9</v>
      </c>
      <c r="Z65" s="107">
        <f>ROUND(0.3*T65*Table1[[#This Row],[E&amp;D Rate per unit]]*Table1[[#This Row],[Quantity]],2)</f>
        <v>0</v>
      </c>
      <c r="AA65" s="107">
        <f t="shared" si="6"/>
        <v>813.9</v>
      </c>
      <c r="AB65" s="126">
        <v>227.14</v>
      </c>
      <c r="AC65" s="126">
        <f>Table1[[#This Row],[Total Amount]]-Table1[[#This Row],[Previous Amount]]</f>
        <v>586.76</v>
      </c>
      <c r="AD65" s="127" t="s">
        <v>672</v>
      </c>
    </row>
    <row r="66" spans="1:30" ht="30" customHeight="1" x14ac:dyDescent="0.3">
      <c r="A66" s="150" t="s">
        <v>157</v>
      </c>
      <c r="B66" s="150" t="s">
        <v>97</v>
      </c>
      <c r="C66" s="16" t="s">
        <v>267</v>
      </c>
      <c r="D66" s="102">
        <v>79108</v>
      </c>
      <c r="E66" s="102"/>
      <c r="F66" s="17" t="s">
        <v>669</v>
      </c>
      <c r="G66" s="17" t="s">
        <v>671</v>
      </c>
      <c r="H66" s="16" t="s">
        <v>670</v>
      </c>
      <c r="I66" s="184">
        <v>1</v>
      </c>
      <c r="J66" s="16">
        <v>10.8</v>
      </c>
      <c r="K66" s="16">
        <v>1</v>
      </c>
      <c r="L66" s="16">
        <v>1</v>
      </c>
      <c r="M66" s="16"/>
      <c r="N66" s="104" t="s">
        <v>283</v>
      </c>
      <c r="O66" s="16">
        <f t="shared" si="7"/>
        <v>10.8</v>
      </c>
      <c r="P66" s="18">
        <v>44902</v>
      </c>
      <c r="Q66" s="118"/>
      <c r="R66" s="105">
        <v>0</v>
      </c>
      <c r="S66" s="105">
        <v>1</v>
      </c>
      <c r="T66" s="105">
        <v>0</v>
      </c>
      <c r="U66" s="106">
        <f>IF(ISBLANK(Table1[[#This Row],[OHC Date]]),$B$7-Table1[[#This Row],[HOC Date]]+1,Table1[[#This Row],[OHC Date]]-Table1[[#This Row],[HOC Date]]+1)/7</f>
        <v>7.1428571428571432</v>
      </c>
      <c r="V66" s="107">
        <v>0</v>
      </c>
      <c r="W66" s="107">
        <v>1.4</v>
      </c>
      <c r="X66" s="107">
        <f>ROUND(0.7*Table1[[#This Row],[E&amp;D Rate per unit]]*R66*Table1[[#This Row],[Quantity]],2)</f>
        <v>0</v>
      </c>
      <c r="Y66" s="21">
        <f t="shared" si="5"/>
        <v>108</v>
      </c>
      <c r="Z66" s="107">
        <f>ROUND(0.3*T66*Table1[[#This Row],[E&amp;D Rate per unit]]*Table1[[#This Row],[Quantity]],2)</f>
        <v>0</v>
      </c>
      <c r="AA66" s="107">
        <f t="shared" si="6"/>
        <v>108</v>
      </c>
      <c r="AB66" s="126">
        <v>246.24</v>
      </c>
      <c r="AC66" s="126">
        <f>Table1[[#This Row],[Total Amount]]-Table1[[#This Row],[Previous Amount]]</f>
        <v>-138.24</v>
      </c>
      <c r="AD66" s="127" t="s">
        <v>672</v>
      </c>
    </row>
    <row r="67" spans="1:30" ht="30" customHeight="1" x14ac:dyDescent="0.3">
      <c r="A67" s="150" t="s">
        <v>157</v>
      </c>
      <c r="B67" s="150" t="s">
        <v>97</v>
      </c>
      <c r="C67" s="16" t="s">
        <v>267</v>
      </c>
      <c r="D67" s="102">
        <v>79108</v>
      </c>
      <c r="E67" s="102"/>
      <c r="F67" s="17" t="s">
        <v>669</v>
      </c>
      <c r="G67" s="17" t="s">
        <v>671</v>
      </c>
      <c r="H67" s="16" t="s">
        <v>670</v>
      </c>
      <c r="I67" s="102">
        <v>1</v>
      </c>
      <c r="J67" s="16">
        <v>8</v>
      </c>
      <c r="K67" s="16">
        <v>5</v>
      </c>
      <c r="L67" s="16">
        <v>1</v>
      </c>
      <c r="M67" s="16"/>
      <c r="N67" s="104" t="s">
        <v>160</v>
      </c>
      <c r="O67" s="16">
        <f t="shared" si="7"/>
        <v>40</v>
      </c>
      <c r="P67" s="18">
        <v>44902</v>
      </c>
      <c r="Q67" s="118"/>
      <c r="R67" s="105">
        <v>0</v>
      </c>
      <c r="S67" s="105">
        <v>1</v>
      </c>
      <c r="T67" s="105">
        <v>0</v>
      </c>
      <c r="U67" s="106">
        <f>IF(ISBLANK(Table1[[#This Row],[OHC Date]]),$B$7-Table1[[#This Row],[HOC Date]]+1,Table1[[#This Row],[OHC Date]]-Table1[[#This Row],[HOC Date]]+1)/7</f>
        <v>7.1428571428571432</v>
      </c>
      <c r="V67" s="107">
        <v>0</v>
      </c>
      <c r="W67" s="107">
        <v>12.25</v>
      </c>
      <c r="X67" s="107">
        <f>ROUND(0.7*Table1[[#This Row],[E&amp;D Rate per unit]]*R67*Table1[[#This Row],[Quantity]],2)</f>
        <v>0</v>
      </c>
      <c r="Y67" s="21">
        <f t="shared" si="5"/>
        <v>3500</v>
      </c>
      <c r="Z67" s="107">
        <f>ROUND(0.3*T67*Table1[[#This Row],[E&amp;D Rate per unit]]*Table1[[#This Row],[Quantity]],2)</f>
        <v>0</v>
      </c>
      <c r="AA67" s="107">
        <f t="shared" si="6"/>
        <v>3500</v>
      </c>
      <c r="AB67" s="126">
        <v>1330</v>
      </c>
      <c r="AC67" s="126">
        <f>Table1[[#This Row],[Total Amount]]-Table1[[#This Row],[Previous Amount]]</f>
        <v>2170</v>
      </c>
      <c r="AD67" s="127" t="s">
        <v>672</v>
      </c>
    </row>
    <row r="68" spans="1:30" ht="30" customHeight="1" x14ac:dyDescent="0.3">
      <c r="A68" s="150" t="s">
        <v>157</v>
      </c>
      <c r="B68" s="150" t="s">
        <v>97</v>
      </c>
      <c r="C68" s="16" t="s">
        <v>267</v>
      </c>
      <c r="D68" s="102">
        <v>79108</v>
      </c>
      <c r="E68" s="102"/>
      <c r="F68" s="17" t="s">
        <v>669</v>
      </c>
      <c r="G68" s="17" t="s">
        <v>671</v>
      </c>
      <c r="H68" s="16" t="s">
        <v>670</v>
      </c>
      <c r="I68" s="102">
        <v>12</v>
      </c>
      <c r="J68" s="16">
        <v>6</v>
      </c>
      <c r="K68" s="16">
        <v>1</v>
      </c>
      <c r="L68" s="16">
        <v>1</v>
      </c>
      <c r="M68" s="16"/>
      <c r="N68" s="104" t="s">
        <v>283</v>
      </c>
      <c r="O68" s="16">
        <f t="shared" si="7"/>
        <v>72</v>
      </c>
      <c r="P68" s="18">
        <v>44902</v>
      </c>
      <c r="Q68" s="118"/>
      <c r="R68" s="105">
        <v>0</v>
      </c>
      <c r="S68" s="105">
        <v>1</v>
      </c>
      <c r="T68" s="105">
        <v>0</v>
      </c>
      <c r="U68" s="106">
        <f>IF(ISBLANK(Table1[[#This Row],[OHC Date]]),$B$7-Table1[[#This Row],[HOC Date]]+1,Table1[[#This Row],[OHC Date]]-Table1[[#This Row],[HOC Date]]+1)/7</f>
        <v>7.1428571428571432</v>
      </c>
      <c r="V68" s="107">
        <v>0</v>
      </c>
      <c r="W68" s="107">
        <v>1.4</v>
      </c>
      <c r="X68" s="107">
        <f>ROUND(0.7*Table1[[#This Row],[E&amp;D Rate per unit]]*R68*Table1[[#This Row],[Quantity]],2)</f>
        <v>0</v>
      </c>
      <c r="Y68" s="21">
        <f t="shared" si="5"/>
        <v>720</v>
      </c>
      <c r="Z68" s="107">
        <f>ROUND(0.3*T68*Table1[[#This Row],[E&amp;D Rate per unit]]*Table1[[#This Row],[Quantity]],2)</f>
        <v>0</v>
      </c>
      <c r="AA68" s="107">
        <f t="shared" si="6"/>
        <v>720</v>
      </c>
      <c r="AB68" s="126">
        <v>273.60000000000002</v>
      </c>
      <c r="AC68" s="126">
        <f>Table1[[#This Row],[Total Amount]]-Table1[[#This Row],[Previous Amount]]</f>
        <v>446.4</v>
      </c>
      <c r="AD68" s="127" t="s">
        <v>672</v>
      </c>
    </row>
    <row r="69" spans="1:30" ht="30" customHeight="1" x14ac:dyDescent="0.3">
      <c r="A69" s="150" t="s">
        <v>157</v>
      </c>
      <c r="B69" s="150" t="s">
        <v>97</v>
      </c>
      <c r="C69" s="16" t="s">
        <v>267</v>
      </c>
      <c r="D69" s="102">
        <v>79108</v>
      </c>
      <c r="E69" s="102"/>
      <c r="F69" s="17" t="s">
        <v>669</v>
      </c>
      <c r="G69" s="17" t="s">
        <v>671</v>
      </c>
      <c r="H69" s="16" t="s">
        <v>670</v>
      </c>
      <c r="I69" s="102">
        <v>1</v>
      </c>
      <c r="J69" s="16">
        <v>8</v>
      </c>
      <c r="K69" s="16">
        <v>2.6</v>
      </c>
      <c r="L69" s="16">
        <v>1</v>
      </c>
      <c r="M69" s="16"/>
      <c r="N69" s="104" t="s">
        <v>160</v>
      </c>
      <c r="O69" s="16">
        <f t="shared" si="7"/>
        <v>20.8</v>
      </c>
      <c r="P69" s="18">
        <v>44902</v>
      </c>
      <c r="Q69" s="118"/>
      <c r="R69" s="105">
        <v>0</v>
      </c>
      <c r="S69" s="105">
        <v>1</v>
      </c>
      <c r="T69" s="105">
        <v>0</v>
      </c>
      <c r="U69" s="106">
        <f>IF(ISBLANK(Table1[[#This Row],[OHC Date]]),$B$7-Table1[[#This Row],[HOC Date]]+1,Table1[[#This Row],[OHC Date]]-Table1[[#This Row],[HOC Date]]+1)/7</f>
        <v>7.1428571428571432</v>
      </c>
      <c r="V69" s="107">
        <v>0</v>
      </c>
      <c r="W69" s="107">
        <v>6.37</v>
      </c>
      <c r="X69" s="107">
        <f>ROUND(0.7*Table1[[#This Row],[E&amp;D Rate per unit]]*R69*Table1[[#This Row],[Quantity]],2)</f>
        <v>0</v>
      </c>
      <c r="Y69" s="21">
        <f t="shared" si="5"/>
        <v>946.4</v>
      </c>
      <c r="Z69" s="107">
        <f>ROUND(0.3*T69*Table1[[#This Row],[E&amp;D Rate per unit]]*Table1[[#This Row],[Quantity]],2)</f>
        <v>0</v>
      </c>
      <c r="AA69" s="107">
        <f t="shared" si="6"/>
        <v>946.4</v>
      </c>
      <c r="AB69" s="126">
        <v>359.63</v>
      </c>
      <c r="AC69" s="126">
        <f>Table1[[#This Row],[Total Amount]]-Table1[[#This Row],[Previous Amount]]</f>
        <v>586.77</v>
      </c>
      <c r="AD69" s="127" t="s">
        <v>672</v>
      </c>
    </row>
    <row r="70" spans="1:30" ht="30" customHeight="1" x14ac:dyDescent="0.3">
      <c r="A70" s="101" t="s">
        <v>89</v>
      </c>
      <c r="B70" s="92" t="s">
        <v>97</v>
      </c>
      <c r="C70" s="102" t="s">
        <v>78</v>
      </c>
      <c r="D70" s="102">
        <v>74653</v>
      </c>
      <c r="E70" s="102">
        <v>76751</v>
      </c>
      <c r="F70" s="103" t="s">
        <v>162</v>
      </c>
      <c r="G70" s="17" t="s">
        <v>159</v>
      </c>
      <c r="H70" s="102" t="s">
        <v>127</v>
      </c>
      <c r="I70" s="102">
        <v>1</v>
      </c>
      <c r="J70" s="102">
        <v>25.2</v>
      </c>
      <c r="K70" s="102">
        <v>1.2</v>
      </c>
      <c r="L70" s="102">
        <v>1</v>
      </c>
      <c r="M70" s="102">
        <v>1</v>
      </c>
      <c r="N70" s="104" t="s">
        <v>160</v>
      </c>
      <c r="O70" s="16">
        <f t="shared" si="7"/>
        <v>30.24</v>
      </c>
      <c r="P70" s="18">
        <v>44824</v>
      </c>
      <c r="Q70" s="118">
        <v>44830</v>
      </c>
      <c r="R70" s="105">
        <v>1</v>
      </c>
      <c r="S70" s="105">
        <v>1</v>
      </c>
      <c r="T70" s="105">
        <v>1</v>
      </c>
      <c r="U70" s="106">
        <f>IF(ISBLANK(Table1[[#This Row],[OHC Date]]),$B$7-Table1[[#This Row],[HOC Date]]+1,Table1[[#This Row],[OHC Date]]-Table1[[#This Row],[HOC Date]]+1)/7</f>
        <v>1</v>
      </c>
      <c r="V70" s="107">
        <v>36.520000000000003</v>
      </c>
      <c r="W70" s="107">
        <f>0.42*7</f>
        <v>2.94</v>
      </c>
      <c r="X70" s="107">
        <f>ROUND(0.7*Table1[[#This Row],[E&amp;D Rate per unit]]*R70*Table1[[#This Row],[Quantity]],2)</f>
        <v>773.06</v>
      </c>
      <c r="Y70" s="107">
        <f t="shared" si="5"/>
        <v>88.91</v>
      </c>
      <c r="Z70" s="107">
        <f>ROUND(0.3*T70*Table1[[#This Row],[E&amp;D Rate per unit]]*Table1[[#This Row],[Quantity]],2)</f>
        <v>331.31</v>
      </c>
      <c r="AA70" s="107">
        <f t="shared" ref="AA70:AA75" si="8">ROUND(X70+Z70+Y70,2)</f>
        <v>1193.28</v>
      </c>
      <c r="AB70" s="126">
        <v>1193.28</v>
      </c>
      <c r="AC70" s="126">
        <f>Table1[[#This Row],[Total Amount]]-Table1[[#This Row],[Previous Amount]]</f>
        <v>0</v>
      </c>
      <c r="AD70" s="108"/>
    </row>
    <row r="71" spans="1:30" ht="30" customHeight="1" x14ac:dyDescent="0.3">
      <c r="A71" s="101" t="s">
        <v>89</v>
      </c>
      <c r="B71" s="92" t="s">
        <v>97</v>
      </c>
      <c r="C71" s="102" t="s">
        <v>161</v>
      </c>
      <c r="D71" s="102">
        <v>74654</v>
      </c>
      <c r="E71" s="102"/>
      <c r="F71" s="103" t="s">
        <v>162</v>
      </c>
      <c r="G71" s="17" t="s">
        <v>163</v>
      </c>
      <c r="H71" s="102" t="s">
        <v>126</v>
      </c>
      <c r="I71" s="102">
        <v>1</v>
      </c>
      <c r="J71" s="102">
        <v>5</v>
      </c>
      <c r="K71" s="102">
        <v>0.5</v>
      </c>
      <c r="L71" s="102">
        <v>1</v>
      </c>
      <c r="M71" s="102">
        <v>1</v>
      </c>
      <c r="N71" s="104" t="s">
        <v>160</v>
      </c>
      <c r="O71" s="16">
        <f t="shared" si="7"/>
        <v>2.5</v>
      </c>
      <c r="P71" s="18">
        <v>44824</v>
      </c>
      <c r="Q71" s="118"/>
      <c r="R71" s="105">
        <v>1</v>
      </c>
      <c r="S71" s="105">
        <v>1</v>
      </c>
      <c r="T71" s="105">
        <v>0</v>
      </c>
      <c r="U71" s="106">
        <f>IF(ISBLANK(Table1[[#This Row],[OHC Date]]),$B$7-Table1[[#This Row],[HOC Date]]+1,Table1[[#This Row],[OHC Date]]-Table1[[#This Row],[HOC Date]]+1)/7</f>
        <v>18.285714285714285</v>
      </c>
      <c r="V71" s="107">
        <v>32.75</v>
      </c>
      <c r="W71" s="107">
        <v>1.05</v>
      </c>
      <c r="X71" s="107">
        <f>ROUND(0.7*Table1[[#This Row],[E&amp;D Rate per unit]]*R71*Table1[[#This Row],[Quantity]],2)</f>
        <v>57.31</v>
      </c>
      <c r="Y71" s="107">
        <f t="shared" si="5"/>
        <v>48</v>
      </c>
      <c r="Z71" s="107">
        <f>ROUND(0.3*T71*Table1[[#This Row],[E&amp;D Rate per unit]]*Table1[[#This Row],[Quantity]],2)</f>
        <v>0</v>
      </c>
      <c r="AA71" s="107">
        <f t="shared" si="8"/>
        <v>105.31</v>
      </c>
      <c r="AB71" s="126">
        <v>93.69</v>
      </c>
      <c r="AC71" s="126">
        <f>Table1[[#This Row],[Total Amount]]-Table1[[#This Row],[Previous Amount]]</f>
        <v>11.620000000000005</v>
      </c>
      <c r="AD71" s="108"/>
    </row>
    <row r="72" spans="1:30" ht="30" customHeight="1" x14ac:dyDescent="0.3">
      <c r="A72" s="101" t="s">
        <v>89</v>
      </c>
      <c r="B72" s="92" t="s">
        <v>97</v>
      </c>
      <c r="C72" s="102" t="s">
        <v>164</v>
      </c>
      <c r="D72" s="102">
        <v>74655</v>
      </c>
      <c r="E72" s="102">
        <v>76752</v>
      </c>
      <c r="F72" s="103" t="s">
        <v>162</v>
      </c>
      <c r="G72" s="17" t="s">
        <v>159</v>
      </c>
      <c r="H72" s="102" t="s">
        <v>126</v>
      </c>
      <c r="I72" s="102">
        <v>1</v>
      </c>
      <c r="J72" s="102">
        <v>16.2</v>
      </c>
      <c r="K72" s="102">
        <v>0.5</v>
      </c>
      <c r="L72" s="102">
        <v>1</v>
      </c>
      <c r="M72" s="102">
        <v>1</v>
      </c>
      <c r="N72" s="104" t="s">
        <v>160</v>
      </c>
      <c r="O72" s="104">
        <f t="shared" ref="O72:O73" si="9">ROUND(IF(N72="m3",I72*J72*K72*L72,IF(N72="m2-LxH",I72*J72*L72,IF(N72="m2-LxW",I72*J72*K72,IF(N72="rm",I72*L72,IF(N72="lm",I72*J72,IF(N72="unit",I72,"NA")))))),2)</f>
        <v>8.1</v>
      </c>
      <c r="P72" s="18">
        <v>44825</v>
      </c>
      <c r="Q72" s="118">
        <v>44831</v>
      </c>
      <c r="R72" s="105">
        <v>1</v>
      </c>
      <c r="S72" s="105">
        <v>1</v>
      </c>
      <c r="T72" s="105">
        <v>1</v>
      </c>
      <c r="U72" s="106">
        <f>IF(ISBLANK(Table1[[#This Row],[OHC Date]]),$B$7-Table1[[#This Row],[HOC Date]]+1,Table1[[#This Row],[OHC Date]]-Table1[[#This Row],[HOC Date]]+1)/7</f>
        <v>1</v>
      </c>
      <c r="V72" s="107">
        <v>32.75</v>
      </c>
      <c r="W72" s="107">
        <v>1.05</v>
      </c>
      <c r="X72" s="107">
        <f>ROUND(0.7*Table1[[#This Row],[E&amp;D Rate per unit]]*R72*Table1[[#This Row],[Quantity]],2)</f>
        <v>185.69</v>
      </c>
      <c r="Y72" s="107">
        <f t="shared" ref="Y72:Y73" si="10">ROUND(O72*U72*W72*S72,2)</f>
        <v>8.51</v>
      </c>
      <c r="Z72" s="107">
        <f>ROUND(0.3*T72*Table1[[#This Row],[E&amp;D Rate per unit]]*Table1[[#This Row],[Quantity]],2)</f>
        <v>79.58</v>
      </c>
      <c r="AA72" s="107">
        <f t="shared" ref="AA72:AA73" si="11">ROUND(X72+Z72+Y72,2)</f>
        <v>273.77999999999997</v>
      </c>
      <c r="AB72" s="126">
        <v>273.77999999999997</v>
      </c>
      <c r="AC72" s="126">
        <f>Table1[[#This Row],[Total Amount]]-Table1[[#This Row],[Previous Amount]]</f>
        <v>0</v>
      </c>
      <c r="AD72" s="108"/>
    </row>
    <row r="73" spans="1:30" ht="30" customHeight="1" x14ac:dyDescent="0.3">
      <c r="A73" s="101" t="s">
        <v>89</v>
      </c>
      <c r="B73" s="92" t="s">
        <v>97</v>
      </c>
      <c r="C73" s="102" t="s">
        <v>165</v>
      </c>
      <c r="D73" s="102">
        <v>74660</v>
      </c>
      <c r="E73" s="102">
        <v>76753</v>
      </c>
      <c r="F73" s="103" t="s">
        <v>162</v>
      </c>
      <c r="G73" s="17" t="s">
        <v>159</v>
      </c>
      <c r="H73" s="102" t="s">
        <v>127</v>
      </c>
      <c r="I73" s="102">
        <v>1</v>
      </c>
      <c r="J73" s="102">
        <v>1.8</v>
      </c>
      <c r="K73" s="102">
        <v>1</v>
      </c>
      <c r="L73" s="102">
        <v>1</v>
      </c>
      <c r="M73" s="102">
        <v>1</v>
      </c>
      <c r="N73" s="104" t="s">
        <v>160</v>
      </c>
      <c r="O73" s="104">
        <f t="shared" si="9"/>
        <v>1.8</v>
      </c>
      <c r="P73" s="18">
        <v>44828</v>
      </c>
      <c r="Q73" s="118">
        <v>44830</v>
      </c>
      <c r="R73" s="105">
        <v>1</v>
      </c>
      <c r="S73" s="105">
        <v>1</v>
      </c>
      <c r="T73" s="105">
        <v>1</v>
      </c>
      <c r="U73" s="106">
        <f>IF(ISBLANK(Table1[[#This Row],[OHC Date]]),$B$7-Table1[[#This Row],[HOC Date]]+1,Table1[[#This Row],[OHC Date]]-Table1[[#This Row],[HOC Date]]+1)/7</f>
        <v>0.42857142857142855</v>
      </c>
      <c r="V73" s="107">
        <v>36.520000000000003</v>
      </c>
      <c r="W73" s="107">
        <f>0.42*7</f>
        <v>2.94</v>
      </c>
      <c r="X73" s="107">
        <f>ROUND(0.7*Table1[[#This Row],[E&amp;D Rate per unit]]*R73*Table1[[#This Row],[Quantity]],2)</f>
        <v>46.02</v>
      </c>
      <c r="Y73" s="107">
        <f t="shared" si="10"/>
        <v>2.27</v>
      </c>
      <c r="Z73" s="107">
        <f>ROUND(0.3*T73*Table1[[#This Row],[E&amp;D Rate per unit]]*Table1[[#This Row],[Quantity]],2)</f>
        <v>19.72</v>
      </c>
      <c r="AA73" s="107">
        <f t="shared" si="11"/>
        <v>68.010000000000005</v>
      </c>
      <c r="AB73" s="126">
        <v>68.010000000000005</v>
      </c>
      <c r="AC73" s="126">
        <f>Table1[[#This Row],[Total Amount]]-Table1[[#This Row],[Previous Amount]]</f>
        <v>0</v>
      </c>
      <c r="AD73" s="108"/>
    </row>
    <row r="74" spans="1:30" ht="30" customHeight="1" x14ac:dyDescent="0.3">
      <c r="A74" s="101" t="s">
        <v>89</v>
      </c>
      <c r="B74" s="92" t="s">
        <v>97</v>
      </c>
      <c r="C74" s="102" t="s">
        <v>166</v>
      </c>
      <c r="D74" s="102">
        <v>74666</v>
      </c>
      <c r="E74" s="102">
        <v>76754</v>
      </c>
      <c r="F74" s="103" t="s">
        <v>162</v>
      </c>
      <c r="G74" s="17" t="s">
        <v>159</v>
      </c>
      <c r="H74" s="102" t="s">
        <v>127</v>
      </c>
      <c r="I74" s="102">
        <v>1</v>
      </c>
      <c r="J74" s="102">
        <v>23.4</v>
      </c>
      <c r="K74" s="102">
        <v>0.75</v>
      </c>
      <c r="L74" s="102">
        <v>1</v>
      </c>
      <c r="M74" s="102">
        <v>1</v>
      </c>
      <c r="N74" s="104" t="s">
        <v>160</v>
      </c>
      <c r="O74" s="16">
        <f t="shared" ref="O74:O86" si="12">ROUND(IF(N74="m3",I74*J74*K74*L74,IF(N74="m2-LxH",I74*J74*L74,IF(N74="m2-LxW",I74*J74*K74,IF(N74="rm",I74*L74,IF(N74="lm",I74*J74,IF(N74="unit",I74,"NA")))))),2)</f>
        <v>17.55</v>
      </c>
      <c r="P74" s="18">
        <v>44830</v>
      </c>
      <c r="Q74" s="118">
        <v>44832</v>
      </c>
      <c r="R74" s="105">
        <v>1</v>
      </c>
      <c r="S74" s="105">
        <v>1</v>
      </c>
      <c r="T74" s="105">
        <v>1</v>
      </c>
      <c r="U74" s="106">
        <f>IF(ISBLANK(Table1[[#This Row],[OHC Date]]),$B$7-Table1[[#This Row],[HOC Date]]+1,Table1[[#This Row],[OHC Date]]-Table1[[#This Row],[HOC Date]]+1)/7</f>
        <v>0.42857142857142855</v>
      </c>
      <c r="V74" s="107">
        <v>36.520000000000003</v>
      </c>
      <c r="W74" s="107">
        <f>0.42*7</f>
        <v>2.94</v>
      </c>
      <c r="X74" s="107">
        <f>ROUND(0.7*Table1[[#This Row],[E&amp;D Rate per unit]]*R74*Table1[[#This Row],[Quantity]],2)</f>
        <v>448.65</v>
      </c>
      <c r="Y74" s="107">
        <f t="shared" ref="Y74:Y86" si="13">ROUND(O74*U74*W74*S74,2)</f>
        <v>22.11</v>
      </c>
      <c r="Z74" s="107">
        <f>ROUND(0.3*T74*Table1[[#This Row],[E&amp;D Rate per unit]]*Table1[[#This Row],[Quantity]],2)</f>
        <v>192.28</v>
      </c>
      <c r="AA74" s="107">
        <f t="shared" si="8"/>
        <v>663.04</v>
      </c>
      <c r="AB74" s="126">
        <v>663.04</v>
      </c>
      <c r="AC74" s="126">
        <f>Table1[[#This Row],[Total Amount]]-Table1[[#This Row],[Previous Amount]]</f>
        <v>0</v>
      </c>
      <c r="AD74" s="108"/>
    </row>
    <row r="75" spans="1:30" ht="30" customHeight="1" x14ac:dyDescent="0.3">
      <c r="A75" s="101" t="s">
        <v>89</v>
      </c>
      <c r="B75" s="92" t="s">
        <v>97</v>
      </c>
      <c r="C75" s="102" t="s">
        <v>167</v>
      </c>
      <c r="D75" s="102">
        <v>74670</v>
      </c>
      <c r="E75" s="102"/>
      <c r="F75" s="103" t="s">
        <v>162</v>
      </c>
      <c r="G75" s="17" t="s">
        <v>159</v>
      </c>
      <c r="H75" s="102" t="s">
        <v>126</v>
      </c>
      <c r="I75" s="102">
        <v>2</v>
      </c>
      <c r="J75" s="102">
        <v>9.8000000000000007</v>
      </c>
      <c r="K75" s="102">
        <v>0.5</v>
      </c>
      <c r="L75" s="102">
        <v>1</v>
      </c>
      <c r="M75" s="102">
        <v>1</v>
      </c>
      <c r="N75" s="104" t="s">
        <v>160</v>
      </c>
      <c r="O75" s="16">
        <f t="shared" si="12"/>
        <v>9.8000000000000007</v>
      </c>
      <c r="P75" s="18">
        <v>44832</v>
      </c>
      <c r="Q75" s="118"/>
      <c r="R75" s="105">
        <v>1</v>
      </c>
      <c r="S75" s="105">
        <v>1</v>
      </c>
      <c r="T75" s="105">
        <v>0</v>
      </c>
      <c r="U75" s="106">
        <f>IF(ISBLANK(Table1[[#This Row],[OHC Date]]),$B$7-Table1[[#This Row],[HOC Date]]+1,Table1[[#This Row],[OHC Date]]-Table1[[#This Row],[HOC Date]]+1)/7</f>
        <v>17.142857142857142</v>
      </c>
      <c r="V75" s="107">
        <v>32.75</v>
      </c>
      <c r="W75" s="107">
        <v>1.05</v>
      </c>
      <c r="X75" s="107">
        <f>ROUND(0.7*Table1[[#This Row],[E&amp;D Rate per unit]]*R75*Table1[[#This Row],[Quantity]],2)</f>
        <v>224.67</v>
      </c>
      <c r="Y75" s="107">
        <f t="shared" si="13"/>
        <v>176.4</v>
      </c>
      <c r="Z75" s="107">
        <f>ROUND(0.3*T75*Table1[[#This Row],[E&amp;D Rate per unit]]*Table1[[#This Row],[Quantity]],2)</f>
        <v>0</v>
      </c>
      <c r="AA75" s="107">
        <f t="shared" si="8"/>
        <v>401.07</v>
      </c>
      <c r="AB75" s="126">
        <v>355.5</v>
      </c>
      <c r="AC75" s="126">
        <f>Table1[[#This Row],[Total Amount]]-Table1[[#This Row],[Previous Amount]]</f>
        <v>45.569999999999993</v>
      </c>
      <c r="AD75" s="108"/>
    </row>
    <row r="76" spans="1:30" ht="30" customHeight="1" x14ac:dyDescent="0.3">
      <c r="A76" s="101" t="s">
        <v>89</v>
      </c>
      <c r="B76" s="92" t="s">
        <v>97</v>
      </c>
      <c r="C76" s="102" t="s">
        <v>168</v>
      </c>
      <c r="D76" s="102">
        <v>74671</v>
      </c>
      <c r="E76" s="102"/>
      <c r="F76" s="103" t="s">
        <v>162</v>
      </c>
      <c r="G76" s="17" t="s">
        <v>159</v>
      </c>
      <c r="H76" s="102" t="s">
        <v>126</v>
      </c>
      <c r="I76" s="102">
        <v>1</v>
      </c>
      <c r="J76" s="102">
        <v>13.8</v>
      </c>
      <c r="K76" s="102">
        <v>0.5</v>
      </c>
      <c r="L76" s="102">
        <v>1</v>
      </c>
      <c r="M76" s="102">
        <v>1</v>
      </c>
      <c r="N76" s="104" t="s">
        <v>160</v>
      </c>
      <c r="O76" s="104">
        <f t="shared" si="12"/>
        <v>6.9</v>
      </c>
      <c r="P76" s="118">
        <v>44832</v>
      </c>
      <c r="Q76" s="118"/>
      <c r="R76" s="105">
        <v>1</v>
      </c>
      <c r="S76" s="105">
        <v>1</v>
      </c>
      <c r="T76" s="105">
        <v>0</v>
      </c>
      <c r="U76" s="106">
        <f>IF(ISBLANK(Table1[[#This Row],[OHC Date]]),$B$7-Table1[[#This Row],[HOC Date]]+1,Table1[[#This Row],[OHC Date]]-Table1[[#This Row],[HOC Date]]+1)/7</f>
        <v>17.142857142857142</v>
      </c>
      <c r="V76" s="107">
        <v>32.75</v>
      </c>
      <c r="W76" s="107">
        <v>1.05</v>
      </c>
      <c r="X76" s="107">
        <f>ROUND(0.7*Table1[[#This Row],[E&amp;D Rate per unit]]*R76*Table1[[#This Row],[Quantity]],2)</f>
        <v>158.18</v>
      </c>
      <c r="Y76" s="107">
        <f t="shared" si="13"/>
        <v>124.2</v>
      </c>
      <c r="Z76" s="107">
        <f>ROUND(0.3*T76*Table1[[#This Row],[E&amp;D Rate per unit]]*Table1[[#This Row],[Quantity]],2)</f>
        <v>0</v>
      </c>
      <c r="AA76" s="107">
        <f t="shared" ref="AA76:AA86" si="14">ROUND(X76+Z76+Y76,2)</f>
        <v>282.38</v>
      </c>
      <c r="AB76" s="126">
        <v>250.3</v>
      </c>
      <c r="AC76" s="126">
        <f>Table1[[#This Row],[Total Amount]]-Table1[[#This Row],[Previous Amount]]</f>
        <v>32.079999999999984</v>
      </c>
      <c r="AD76" s="108"/>
    </row>
    <row r="77" spans="1:30" ht="30" customHeight="1" x14ac:dyDescent="0.3">
      <c r="A77" s="101" t="s">
        <v>89</v>
      </c>
      <c r="B77" s="92" t="s">
        <v>97</v>
      </c>
      <c r="C77" s="102" t="s">
        <v>175</v>
      </c>
      <c r="D77" s="102">
        <v>74662</v>
      </c>
      <c r="E77" s="102"/>
      <c r="F77" s="103" t="s">
        <v>162</v>
      </c>
      <c r="G77" s="17" t="s">
        <v>159</v>
      </c>
      <c r="H77" s="102" t="s">
        <v>176</v>
      </c>
      <c r="I77" s="102">
        <v>4</v>
      </c>
      <c r="J77" s="102">
        <v>10.8</v>
      </c>
      <c r="K77" s="102">
        <v>1.8</v>
      </c>
      <c r="L77" s="102">
        <v>1</v>
      </c>
      <c r="M77" s="102">
        <v>4</v>
      </c>
      <c r="N77" s="104" t="s">
        <v>160</v>
      </c>
      <c r="O77" s="104">
        <f t="shared" si="12"/>
        <v>77.760000000000005</v>
      </c>
      <c r="P77" s="118">
        <v>44826</v>
      </c>
      <c r="Q77" s="118"/>
      <c r="R77" s="105">
        <v>1</v>
      </c>
      <c r="S77" s="105">
        <v>1</v>
      </c>
      <c r="T77" s="105">
        <v>0</v>
      </c>
      <c r="U77" s="106">
        <f>IF(ISBLANK(Table1[[#This Row],[OHC Date]]),$B$7-Table1[[#This Row],[HOC Date]]+1,Table1[[#This Row],[OHC Date]]-Table1[[#This Row],[HOC Date]]+1)/7</f>
        <v>18</v>
      </c>
      <c r="V77" s="107">
        <v>6.63</v>
      </c>
      <c r="W77" s="107">
        <v>0.7</v>
      </c>
      <c r="X77" s="107">
        <f>ROUND(0.7*Table1[[#This Row],[E&amp;D Rate per unit]]*R77*Table1[[#This Row],[Quantity]],2)</f>
        <v>360.88</v>
      </c>
      <c r="Y77" s="107">
        <f t="shared" si="13"/>
        <v>979.78</v>
      </c>
      <c r="Z77" s="107">
        <f>ROUND(0.3*T77*Table1[[#This Row],[E&amp;D Rate per unit]]*Table1[[#This Row],[Quantity]],2)</f>
        <v>0</v>
      </c>
      <c r="AA77" s="107">
        <f t="shared" si="14"/>
        <v>1340.66</v>
      </c>
      <c r="AB77" s="126">
        <v>1099.5999999999999</v>
      </c>
      <c r="AC77" s="126">
        <f>Table1[[#This Row],[Total Amount]]-Table1[[#This Row],[Previous Amount]]</f>
        <v>241.06000000000017</v>
      </c>
      <c r="AD77" s="108"/>
    </row>
    <row r="78" spans="1:30" ht="30" customHeight="1" x14ac:dyDescent="0.3">
      <c r="A78" s="101" t="s">
        <v>89</v>
      </c>
      <c r="B78" s="92" t="s">
        <v>97</v>
      </c>
      <c r="C78" s="102" t="s">
        <v>177</v>
      </c>
      <c r="D78" s="102">
        <v>74663</v>
      </c>
      <c r="E78" s="102">
        <v>76758</v>
      </c>
      <c r="F78" s="103" t="s">
        <v>178</v>
      </c>
      <c r="G78" s="17" t="s">
        <v>159</v>
      </c>
      <c r="H78" s="102" t="s">
        <v>176</v>
      </c>
      <c r="I78" s="102">
        <v>4</v>
      </c>
      <c r="J78" s="102">
        <v>3.6</v>
      </c>
      <c r="K78" s="102">
        <v>3.6</v>
      </c>
      <c r="L78" s="102">
        <v>1</v>
      </c>
      <c r="M78" s="102">
        <v>4</v>
      </c>
      <c r="N78" s="104" t="s">
        <v>160</v>
      </c>
      <c r="O78" s="104">
        <f t="shared" si="12"/>
        <v>51.84</v>
      </c>
      <c r="P78" s="118">
        <v>44826</v>
      </c>
      <c r="Q78" s="118">
        <v>44849</v>
      </c>
      <c r="R78" s="105">
        <v>1</v>
      </c>
      <c r="S78" s="105">
        <v>1</v>
      </c>
      <c r="T78" s="105">
        <v>1</v>
      </c>
      <c r="U78" s="106">
        <f>IF(ISBLANK(Table1[[#This Row],[OHC Date]]),$B$7-Table1[[#This Row],[HOC Date]]+1,Table1[[#This Row],[OHC Date]]-Table1[[#This Row],[HOC Date]]+1)/7</f>
        <v>3.4285714285714284</v>
      </c>
      <c r="V78" s="107">
        <v>6.63</v>
      </c>
      <c r="W78" s="107">
        <v>0.7</v>
      </c>
      <c r="X78" s="107">
        <f>ROUND(0.7*Table1[[#This Row],[E&amp;D Rate per unit]]*R78*Table1[[#This Row],[Quantity]],2)</f>
        <v>240.59</v>
      </c>
      <c r="Y78" s="107">
        <f t="shared" si="13"/>
        <v>124.42</v>
      </c>
      <c r="Z78" s="107">
        <f>ROUND(0.3*T78*Table1[[#This Row],[E&amp;D Rate per unit]]*Table1[[#This Row],[Quantity]],2)</f>
        <v>103.11</v>
      </c>
      <c r="AA78" s="107">
        <f t="shared" si="14"/>
        <v>468.12</v>
      </c>
      <c r="AB78" s="126">
        <v>468.12</v>
      </c>
      <c r="AC78" s="126">
        <f>Table1[[#This Row],[Total Amount]]-Table1[[#This Row],[Previous Amount]]</f>
        <v>0</v>
      </c>
      <c r="AD78" s="108"/>
    </row>
    <row r="79" spans="1:30" ht="30" customHeight="1" x14ac:dyDescent="0.3">
      <c r="A79" s="101" t="s">
        <v>89</v>
      </c>
      <c r="B79" s="92" t="s">
        <v>97</v>
      </c>
      <c r="C79" s="102" t="s">
        <v>179</v>
      </c>
      <c r="D79" s="102">
        <v>74664</v>
      </c>
      <c r="E79" s="102">
        <v>76759</v>
      </c>
      <c r="F79" s="103" t="s">
        <v>180</v>
      </c>
      <c r="G79" s="17" t="s">
        <v>159</v>
      </c>
      <c r="H79" s="102" t="s">
        <v>176</v>
      </c>
      <c r="I79" s="102">
        <v>4</v>
      </c>
      <c r="J79" s="102">
        <v>3.6</v>
      </c>
      <c r="K79" s="102">
        <v>3.6</v>
      </c>
      <c r="L79" s="102">
        <v>1</v>
      </c>
      <c r="M79" s="102">
        <v>4</v>
      </c>
      <c r="N79" s="104" t="s">
        <v>160</v>
      </c>
      <c r="O79" s="104">
        <f t="shared" si="12"/>
        <v>51.84</v>
      </c>
      <c r="P79" s="118">
        <v>44826</v>
      </c>
      <c r="Q79" s="118">
        <v>44849</v>
      </c>
      <c r="R79" s="105">
        <v>1</v>
      </c>
      <c r="S79" s="105">
        <v>1</v>
      </c>
      <c r="T79" s="105">
        <v>1</v>
      </c>
      <c r="U79" s="106">
        <f>IF(ISBLANK(Table1[[#This Row],[OHC Date]]),$B$7-Table1[[#This Row],[HOC Date]]+1,Table1[[#This Row],[OHC Date]]-Table1[[#This Row],[HOC Date]]+1)/7</f>
        <v>3.4285714285714284</v>
      </c>
      <c r="V79" s="107">
        <v>6.63</v>
      </c>
      <c r="W79" s="107">
        <v>0.7</v>
      </c>
      <c r="X79" s="107">
        <f>ROUND(0.7*Table1[[#This Row],[E&amp;D Rate per unit]]*R79*Table1[[#This Row],[Quantity]],2)</f>
        <v>240.59</v>
      </c>
      <c r="Y79" s="107">
        <f t="shared" si="13"/>
        <v>124.42</v>
      </c>
      <c r="Z79" s="107">
        <f>ROUND(0.3*T79*Table1[[#This Row],[E&amp;D Rate per unit]]*Table1[[#This Row],[Quantity]],2)</f>
        <v>103.11</v>
      </c>
      <c r="AA79" s="107">
        <f t="shared" si="14"/>
        <v>468.12</v>
      </c>
      <c r="AB79" s="126">
        <v>468.12</v>
      </c>
      <c r="AC79" s="126">
        <f>Table1[[#This Row],[Total Amount]]-Table1[[#This Row],[Previous Amount]]</f>
        <v>0</v>
      </c>
      <c r="AD79" s="108"/>
    </row>
    <row r="80" spans="1:30" ht="30" customHeight="1" x14ac:dyDescent="0.3">
      <c r="A80" s="101" t="s">
        <v>89</v>
      </c>
      <c r="B80" s="92" t="s">
        <v>97</v>
      </c>
      <c r="C80" s="102" t="s">
        <v>181</v>
      </c>
      <c r="D80" s="102">
        <v>74665</v>
      </c>
      <c r="E80" s="102">
        <v>76760</v>
      </c>
      <c r="F80" s="103" t="s">
        <v>182</v>
      </c>
      <c r="G80" s="17" t="s">
        <v>159</v>
      </c>
      <c r="H80" s="102" t="s">
        <v>176</v>
      </c>
      <c r="I80" s="102">
        <v>4</v>
      </c>
      <c r="J80" s="102">
        <v>3.6</v>
      </c>
      <c r="K80" s="102">
        <v>3.6</v>
      </c>
      <c r="L80" s="102">
        <v>1</v>
      </c>
      <c r="M80" s="102">
        <v>4</v>
      </c>
      <c r="N80" s="104" t="s">
        <v>160</v>
      </c>
      <c r="O80" s="104">
        <f t="shared" si="12"/>
        <v>51.84</v>
      </c>
      <c r="P80" s="118">
        <v>44826</v>
      </c>
      <c r="Q80" s="118">
        <v>44849</v>
      </c>
      <c r="R80" s="105">
        <v>1</v>
      </c>
      <c r="S80" s="105">
        <v>1</v>
      </c>
      <c r="T80" s="105">
        <v>1</v>
      </c>
      <c r="U80" s="106">
        <f>IF(ISBLANK(Table1[[#This Row],[OHC Date]]),$B$7-Table1[[#This Row],[HOC Date]]+1,Table1[[#This Row],[OHC Date]]-Table1[[#This Row],[HOC Date]]+1)/7</f>
        <v>3.4285714285714284</v>
      </c>
      <c r="V80" s="107">
        <v>6.63</v>
      </c>
      <c r="W80" s="107">
        <v>0.7</v>
      </c>
      <c r="X80" s="107">
        <f>ROUND(0.7*Table1[[#This Row],[E&amp;D Rate per unit]]*R80*Table1[[#This Row],[Quantity]],2)</f>
        <v>240.59</v>
      </c>
      <c r="Y80" s="107">
        <f t="shared" si="13"/>
        <v>124.42</v>
      </c>
      <c r="Z80" s="107">
        <f>ROUND(0.3*T80*Table1[[#This Row],[E&amp;D Rate per unit]]*Table1[[#This Row],[Quantity]],2)</f>
        <v>103.11</v>
      </c>
      <c r="AA80" s="107">
        <f t="shared" si="14"/>
        <v>468.12</v>
      </c>
      <c r="AB80" s="126">
        <v>468.12</v>
      </c>
      <c r="AC80" s="126">
        <f>Table1[[#This Row],[Total Amount]]-Table1[[#This Row],[Previous Amount]]</f>
        <v>0</v>
      </c>
      <c r="AD80" s="108"/>
    </row>
    <row r="81" spans="1:30" ht="30" customHeight="1" x14ac:dyDescent="0.3">
      <c r="A81" s="101" t="s">
        <v>89</v>
      </c>
      <c r="B81" s="92" t="s">
        <v>97</v>
      </c>
      <c r="C81" s="102" t="s">
        <v>183</v>
      </c>
      <c r="D81" s="102">
        <v>74668</v>
      </c>
      <c r="E81" s="102">
        <v>76761</v>
      </c>
      <c r="F81" s="103" t="s">
        <v>184</v>
      </c>
      <c r="G81" s="17" t="s">
        <v>163</v>
      </c>
      <c r="H81" s="102" t="s">
        <v>176</v>
      </c>
      <c r="I81" s="102">
        <v>6</v>
      </c>
      <c r="J81" s="102">
        <v>3.5</v>
      </c>
      <c r="K81" s="102">
        <v>3.5</v>
      </c>
      <c r="L81" s="102">
        <v>1</v>
      </c>
      <c r="M81" s="102">
        <v>6</v>
      </c>
      <c r="N81" s="104" t="s">
        <v>160</v>
      </c>
      <c r="O81" s="104">
        <f t="shared" si="12"/>
        <v>73.5</v>
      </c>
      <c r="P81" s="118">
        <v>44831</v>
      </c>
      <c r="Q81" s="118">
        <v>44849</v>
      </c>
      <c r="R81" s="105">
        <v>1</v>
      </c>
      <c r="S81" s="105">
        <v>1</v>
      </c>
      <c r="T81" s="105">
        <v>1</v>
      </c>
      <c r="U81" s="106">
        <f>IF(ISBLANK(Table1[[#This Row],[OHC Date]]),$B$7-Table1[[#This Row],[HOC Date]]+1,Table1[[#This Row],[OHC Date]]-Table1[[#This Row],[HOC Date]]+1)/7</f>
        <v>2.7142857142857144</v>
      </c>
      <c r="V81" s="107">
        <v>6.63</v>
      </c>
      <c r="W81" s="107">
        <v>0.7</v>
      </c>
      <c r="X81" s="107">
        <f>ROUND(0.7*Table1[[#This Row],[E&amp;D Rate per unit]]*R81*Table1[[#This Row],[Quantity]],2)</f>
        <v>341.11</v>
      </c>
      <c r="Y81" s="107">
        <f t="shared" si="13"/>
        <v>139.65</v>
      </c>
      <c r="Z81" s="107">
        <f>ROUND(0.3*T81*Table1[[#This Row],[E&amp;D Rate per unit]]*Table1[[#This Row],[Quantity]],2)</f>
        <v>146.19</v>
      </c>
      <c r="AA81" s="107">
        <f t="shared" si="14"/>
        <v>626.95000000000005</v>
      </c>
      <c r="AB81" s="126">
        <v>626.95000000000005</v>
      </c>
      <c r="AC81" s="126">
        <f>Table1[[#This Row],[Total Amount]]-Table1[[#This Row],[Previous Amount]]</f>
        <v>0</v>
      </c>
      <c r="AD81" s="108"/>
    </row>
    <row r="82" spans="1:30" ht="30" customHeight="1" x14ac:dyDescent="0.3">
      <c r="A82" s="101" t="s">
        <v>89</v>
      </c>
      <c r="B82" s="92" t="s">
        <v>97</v>
      </c>
      <c r="C82" s="102" t="s">
        <v>185</v>
      </c>
      <c r="D82" s="102">
        <v>74669</v>
      </c>
      <c r="E82" s="102">
        <v>76762</v>
      </c>
      <c r="F82" s="103" t="s">
        <v>186</v>
      </c>
      <c r="G82" s="17" t="s">
        <v>163</v>
      </c>
      <c r="H82" s="102" t="s">
        <v>176</v>
      </c>
      <c r="I82" s="102">
        <v>6</v>
      </c>
      <c r="J82" s="102">
        <v>9</v>
      </c>
      <c r="K82" s="102">
        <v>3.5</v>
      </c>
      <c r="L82" s="102">
        <v>1</v>
      </c>
      <c r="M82" s="102">
        <v>6</v>
      </c>
      <c r="N82" s="104" t="s">
        <v>160</v>
      </c>
      <c r="O82" s="104">
        <f t="shared" si="12"/>
        <v>189</v>
      </c>
      <c r="P82" s="118">
        <v>44831</v>
      </c>
      <c r="Q82" s="118">
        <v>44849</v>
      </c>
      <c r="R82" s="105">
        <v>1</v>
      </c>
      <c r="S82" s="105">
        <v>1</v>
      </c>
      <c r="T82" s="105">
        <v>1</v>
      </c>
      <c r="U82" s="106">
        <f>IF(ISBLANK(Table1[[#This Row],[OHC Date]]),$B$7-Table1[[#This Row],[HOC Date]]+1,Table1[[#This Row],[OHC Date]]-Table1[[#This Row],[HOC Date]]+1)/7</f>
        <v>2.7142857142857144</v>
      </c>
      <c r="V82" s="107">
        <v>6.63</v>
      </c>
      <c r="W82" s="107">
        <v>0.7</v>
      </c>
      <c r="X82" s="107">
        <f>ROUND(0.7*Table1[[#This Row],[E&amp;D Rate per unit]]*R82*Table1[[#This Row],[Quantity]],2)</f>
        <v>877.15</v>
      </c>
      <c r="Y82" s="107">
        <f t="shared" si="13"/>
        <v>359.1</v>
      </c>
      <c r="Z82" s="107">
        <f>ROUND(0.3*T82*Table1[[#This Row],[E&amp;D Rate per unit]]*Table1[[#This Row],[Quantity]],2)</f>
        <v>375.92</v>
      </c>
      <c r="AA82" s="107">
        <f t="shared" si="14"/>
        <v>1612.17</v>
      </c>
      <c r="AB82" s="126">
        <v>1612.17</v>
      </c>
      <c r="AC82" s="126">
        <f>Table1[[#This Row],[Total Amount]]-Table1[[#This Row],[Previous Amount]]</f>
        <v>0</v>
      </c>
      <c r="AD82" s="108"/>
    </row>
    <row r="83" spans="1:30" s="133" customFormat="1" ht="30" customHeight="1" x14ac:dyDescent="0.3">
      <c r="A83" s="101" t="s">
        <v>92</v>
      </c>
      <c r="B83" s="92" t="s">
        <v>97</v>
      </c>
      <c r="C83" s="102">
        <v>4</v>
      </c>
      <c r="D83" s="102">
        <v>74673</v>
      </c>
      <c r="E83" s="102">
        <v>76788</v>
      </c>
      <c r="F83" s="103" t="s">
        <v>187</v>
      </c>
      <c r="G83" s="17" t="s">
        <v>188</v>
      </c>
      <c r="H83" s="102" t="s">
        <v>189</v>
      </c>
      <c r="I83" s="102">
        <v>1</v>
      </c>
      <c r="J83" s="102"/>
      <c r="K83" s="102"/>
      <c r="L83" s="102"/>
      <c r="M83" s="102"/>
      <c r="N83" s="104" t="s">
        <v>56</v>
      </c>
      <c r="O83" s="104">
        <f t="shared" si="12"/>
        <v>1</v>
      </c>
      <c r="P83" s="118">
        <v>44835</v>
      </c>
      <c r="Q83" s="118">
        <v>44870</v>
      </c>
      <c r="R83" s="105">
        <v>1</v>
      </c>
      <c r="S83" s="105">
        <v>1</v>
      </c>
      <c r="T83" s="105">
        <v>1</v>
      </c>
      <c r="U83" s="106">
        <f>IF(ISBLANK(Table1[[#This Row],[OHC Date]]),$B$7-Table1[[#This Row],[HOC Date]]+1,Table1[[#This Row],[OHC Date]]-Table1[[#This Row],[HOC Date]]+1)/7</f>
        <v>5.1428571428571432</v>
      </c>
      <c r="V83" s="107">
        <v>15626.48</v>
      </c>
      <c r="W83" s="107">
        <v>625.97</v>
      </c>
      <c r="X83" s="107">
        <f>ROUND(0.7*Table1[[#This Row],[E&amp;D Rate per unit]]*R83*Table1[[#This Row],[Quantity]],2)</f>
        <v>10938.54</v>
      </c>
      <c r="Y83" s="107">
        <f t="shared" si="13"/>
        <v>3219.27</v>
      </c>
      <c r="Z83" s="107">
        <f>ROUND(0.3*T83*Table1[[#This Row],[E&amp;D Rate per unit]]*Table1[[#This Row],[Quantity]],2)</f>
        <v>4687.9399999999996</v>
      </c>
      <c r="AA83" s="107">
        <f t="shared" si="14"/>
        <v>18845.75</v>
      </c>
      <c r="AB83" s="126">
        <v>18845.75</v>
      </c>
      <c r="AC83" s="126">
        <f>Table1[[#This Row],[Total Amount]]-Table1[[#This Row],[Previous Amount]]</f>
        <v>0</v>
      </c>
      <c r="AD83" s="108" t="s">
        <v>194</v>
      </c>
    </row>
    <row r="84" spans="1:30" ht="30" customHeight="1" x14ac:dyDescent="0.3">
      <c r="A84" s="101" t="s">
        <v>91</v>
      </c>
      <c r="B84" s="92" t="s">
        <v>97</v>
      </c>
      <c r="C84" s="102">
        <v>5</v>
      </c>
      <c r="D84" s="102">
        <v>74675</v>
      </c>
      <c r="E84" s="102">
        <v>76768</v>
      </c>
      <c r="F84" s="103" t="s">
        <v>191</v>
      </c>
      <c r="G84" s="17" t="s">
        <v>159</v>
      </c>
      <c r="H84" s="102" t="s">
        <v>192</v>
      </c>
      <c r="I84" s="102">
        <v>1</v>
      </c>
      <c r="J84" s="102"/>
      <c r="K84" s="102"/>
      <c r="L84" s="102"/>
      <c r="M84" s="102"/>
      <c r="N84" s="104" t="s">
        <v>56</v>
      </c>
      <c r="O84" s="104">
        <f t="shared" si="12"/>
        <v>1</v>
      </c>
      <c r="P84" s="118">
        <v>44837</v>
      </c>
      <c r="Q84" s="118">
        <v>44856</v>
      </c>
      <c r="R84" s="105">
        <v>1</v>
      </c>
      <c r="S84" s="105">
        <v>1</v>
      </c>
      <c r="T84" s="105">
        <v>1</v>
      </c>
      <c r="U84" s="106">
        <f>IF(ISBLANK(Table1[[#This Row],[OHC Date]]),$B$7-Table1[[#This Row],[HOC Date]]+1,Table1[[#This Row],[OHC Date]]-Table1[[#This Row],[HOC Date]]+1)/7</f>
        <v>2.8571428571428572</v>
      </c>
      <c r="V84" s="107">
        <v>5727.13</v>
      </c>
      <c r="W84" s="107">
        <v>317.70999999999998</v>
      </c>
      <c r="X84" s="107">
        <f>ROUND(0.7*Table1[[#This Row],[E&amp;D Rate per unit]]*R84*Table1[[#This Row],[Quantity]],2)</f>
        <v>4008.99</v>
      </c>
      <c r="Y84" s="107">
        <f t="shared" si="13"/>
        <v>907.74</v>
      </c>
      <c r="Z84" s="107">
        <f>ROUND(0.3*T84*Table1[[#This Row],[E&amp;D Rate per unit]]*Table1[[#This Row],[Quantity]],2)</f>
        <v>1718.14</v>
      </c>
      <c r="AA84" s="107">
        <f t="shared" si="14"/>
        <v>6634.87</v>
      </c>
      <c r="AB84" s="126">
        <v>6634.87</v>
      </c>
      <c r="AC84" s="126">
        <f>Table1[[#This Row],[Total Amount]]-Table1[[#This Row],[Previous Amount]]</f>
        <v>0</v>
      </c>
      <c r="AD84" s="108" t="s">
        <v>193</v>
      </c>
    </row>
    <row r="85" spans="1:30" ht="30" customHeight="1" x14ac:dyDescent="0.3">
      <c r="A85" s="101" t="s">
        <v>89</v>
      </c>
      <c r="B85" s="92" t="s">
        <v>97</v>
      </c>
      <c r="C85" s="102" t="s">
        <v>195</v>
      </c>
      <c r="D85" s="102">
        <v>74676</v>
      </c>
      <c r="E85" s="102">
        <v>76755</v>
      </c>
      <c r="F85" s="103" t="s">
        <v>196</v>
      </c>
      <c r="G85" s="17" t="s">
        <v>159</v>
      </c>
      <c r="H85" s="102" t="s">
        <v>176</v>
      </c>
      <c r="I85" s="102">
        <v>1</v>
      </c>
      <c r="J85" s="102">
        <v>3.6</v>
      </c>
      <c r="K85" s="102">
        <v>1.8</v>
      </c>
      <c r="L85" s="102">
        <v>1</v>
      </c>
      <c r="M85" s="102">
        <v>1</v>
      </c>
      <c r="N85" s="104" t="s">
        <v>160</v>
      </c>
      <c r="O85" s="104">
        <f t="shared" si="12"/>
        <v>6.48</v>
      </c>
      <c r="P85" s="118">
        <v>44838</v>
      </c>
      <c r="Q85" s="118">
        <v>44841</v>
      </c>
      <c r="R85" s="105">
        <v>1</v>
      </c>
      <c r="S85" s="105">
        <v>1</v>
      </c>
      <c r="T85" s="105">
        <v>1</v>
      </c>
      <c r="U85" s="106">
        <f>IF(ISBLANK(Table1[[#This Row],[OHC Date]]),$B$7-Table1[[#This Row],[HOC Date]]+1,Table1[[#This Row],[OHC Date]]-Table1[[#This Row],[HOC Date]]+1)/7</f>
        <v>0.5714285714285714</v>
      </c>
      <c r="V85" s="107">
        <v>6.63</v>
      </c>
      <c r="W85" s="107">
        <v>0.7</v>
      </c>
      <c r="X85" s="107">
        <f>ROUND(0.7*Table1[[#This Row],[E&amp;D Rate per unit]]*R85*Table1[[#This Row],[Quantity]],2)</f>
        <v>30.07</v>
      </c>
      <c r="Y85" s="107">
        <f t="shared" si="13"/>
        <v>2.59</v>
      </c>
      <c r="Z85" s="107">
        <f>ROUND(0.3*T85*Table1[[#This Row],[E&amp;D Rate per unit]]*Table1[[#This Row],[Quantity]],2)</f>
        <v>12.89</v>
      </c>
      <c r="AA85" s="107">
        <f t="shared" si="14"/>
        <v>45.55</v>
      </c>
      <c r="AB85" s="126">
        <v>45.55</v>
      </c>
      <c r="AC85" s="126">
        <f>Table1[[#This Row],[Total Amount]]-Table1[[#This Row],[Previous Amount]]</f>
        <v>0</v>
      </c>
      <c r="AD85" s="108"/>
    </row>
    <row r="86" spans="1:30" ht="30" customHeight="1" x14ac:dyDescent="0.3">
      <c r="A86" s="101" t="s">
        <v>197</v>
      </c>
      <c r="B86" s="92" t="s">
        <v>97</v>
      </c>
      <c r="C86" s="102">
        <v>6</v>
      </c>
      <c r="D86" s="102">
        <v>74677</v>
      </c>
      <c r="E86" s="195">
        <v>80851</v>
      </c>
      <c r="F86" s="103" t="s">
        <v>199</v>
      </c>
      <c r="G86" s="17" t="s">
        <v>200</v>
      </c>
      <c r="H86" s="102" t="s">
        <v>201</v>
      </c>
      <c r="I86" s="102">
        <v>1</v>
      </c>
      <c r="J86" s="102"/>
      <c r="K86" s="102"/>
      <c r="L86" s="102"/>
      <c r="M86" s="102"/>
      <c r="N86" s="104" t="s">
        <v>56</v>
      </c>
      <c r="O86" s="104">
        <f t="shared" si="12"/>
        <v>1</v>
      </c>
      <c r="P86" s="186">
        <v>44844</v>
      </c>
      <c r="Q86" s="186">
        <v>44928</v>
      </c>
      <c r="R86" s="105">
        <v>1</v>
      </c>
      <c r="S86" s="105">
        <v>1</v>
      </c>
      <c r="T86" s="105">
        <v>1</v>
      </c>
      <c r="U86" s="106">
        <f>IF(ISBLANK(Table1[[#This Row],[OHC Date]]),$B$7-Table1[[#This Row],[HOC Date]]+1,Table1[[#This Row],[OHC Date]]-Table1[[#This Row],[HOC Date]]+1)/7</f>
        <v>12.142857142857142</v>
      </c>
      <c r="V86" s="107">
        <v>4959.7700000000004</v>
      </c>
      <c r="W86" s="107">
        <v>123.48</v>
      </c>
      <c r="X86" s="107">
        <f>ROUND(0.7*Table1[[#This Row],[E&amp;D Rate per unit]]*R86*Table1[[#This Row],[Quantity]],2)</f>
        <v>3471.84</v>
      </c>
      <c r="Y86" s="107">
        <f t="shared" si="13"/>
        <v>1499.4</v>
      </c>
      <c r="Z86" s="107">
        <f>ROUND(0.3*T86*Table1[[#This Row],[E&amp;D Rate per unit]]*Table1[[#This Row],[Quantity]],2)</f>
        <v>1487.93</v>
      </c>
      <c r="AA86" s="107">
        <f t="shared" si="14"/>
        <v>6459.17</v>
      </c>
      <c r="AB86" s="126">
        <v>4830.12</v>
      </c>
      <c r="AC86" s="126">
        <f>Table1[[#This Row],[Total Amount]]-Table1[[#This Row],[Previous Amount]]</f>
        <v>1629.0500000000002</v>
      </c>
      <c r="AD86" s="108" t="s">
        <v>202</v>
      </c>
    </row>
    <row r="87" spans="1:30" ht="30" customHeight="1" x14ac:dyDescent="0.3">
      <c r="A87" s="101" t="s">
        <v>89</v>
      </c>
      <c r="B87" s="92" t="s">
        <v>97</v>
      </c>
      <c r="C87" s="102">
        <v>7</v>
      </c>
      <c r="D87" s="102">
        <v>74678</v>
      </c>
      <c r="E87" s="102">
        <v>80573</v>
      </c>
      <c r="F87" s="103" t="s">
        <v>203</v>
      </c>
      <c r="G87" s="17" t="s">
        <v>204</v>
      </c>
      <c r="H87" s="102" t="s">
        <v>205</v>
      </c>
      <c r="I87" s="102">
        <v>1</v>
      </c>
      <c r="J87" s="102">
        <v>15</v>
      </c>
      <c r="K87" s="102">
        <v>1.5</v>
      </c>
      <c r="L87" s="102">
        <v>0.8</v>
      </c>
      <c r="M87" s="102">
        <v>1</v>
      </c>
      <c r="N87" s="104" t="s">
        <v>206</v>
      </c>
      <c r="O87" s="104">
        <f t="shared" ref="O87:O98" si="15">ROUND(IF(N87="m3",I87*J87*K87*L87,IF(N87="m2-LxH",I87*J87*L87,IF(N87="m2-LxW",I87*J87*K87,IF(N87="rm",I87*L87,IF(N87="lm",I87*J87,IF(N87="unit",I87,"NA")))))),2)</f>
        <v>12</v>
      </c>
      <c r="P87" s="118">
        <v>44844</v>
      </c>
      <c r="Q87" s="118">
        <v>44911</v>
      </c>
      <c r="R87" s="105">
        <v>1</v>
      </c>
      <c r="S87" s="105">
        <v>1</v>
      </c>
      <c r="T87" s="105">
        <v>1</v>
      </c>
      <c r="U87" s="106">
        <f>IF(ISBLANK(Table1[[#This Row],[OHC Date]]),$B$7-Table1[[#This Row],[HOC Date]]+1,Table1[[#This Row],[OHC Date]]-Table1[[#This Row],[HOC Date]]+1)/7</f>
        <v>9.7142857142857135</v>
      </c>
      <c r="V87" s="107">
        <v>12.01</v>
      </c>
      <c r="W87" s="107">
        <v>0.49</v>
      </c>
      <c r="X87" s="107">
        <f>ROUND(0.7*Table1[[#This Row],[E&amp;D Rate per unit]]*R87*Table1[[#This Row],[Quantity]],2)</f>
        <v>100.88</v>
      </c>
      <c r="Y87" s="107">
        <f t="shared" ref="Y87:Y98" si="16">ROUND(O87*U87*W87*S87,2)</f>
        <v>57.12</v>
      </c>
      <c r="Z87" s="107">
        <f>ROUND(0.3*T87*Table1[[#This Row],[E&amp;D Rate per unit]]*Table1[[#This Row],[Quantity]],2)</f>
        <v>43.24</v>
      </c>
      <c r="AA87" s="107">
        <f t="shared" ref="AA87:AA98" si="17">ROUND(X87+Z87+Y87,2)</f>
        <v>201.24</v>
      </c>
      <c r="AB87" s="129">
        <v>201.24</v>
      </c>
      <c r="AC87" s="126">
        <f>Table1[[#This Row],[Total Amount]]-Table1[[#This Row],[Previous Amount]]</f>
        <v>0</v>
      </c>
      <c r="AD87" s="108"/>
    </row>
    <row r="88" spans="1:30" ht="30" customHeight="1" x14ac:dyDescent="0.3">
      <c r="A88" s="101" t="s">
        <v>89</v>
      </c>
      <c r="B88" s="92" t="s">
        <v>97</v>
      </c>
      <c r="C88" s="102" t="s">
        <v>207</v>
      </c>
      <c r="D88" s="102">
        <v>74679</v>
      </c>
      <c r="E88" s="102">
        <v>76756</v>
      </c>
      <c r="F88" s="103" t="s">
        <v>208</v>
      </c>
      <c r="G88" s="17" t="s">
        <v>209</v>
      </c>
      <c r="H88" s="102" t="s">
        <v>176</v>
      </c>
      <c r="I88" s="102">
        <v>1</v>
      </c>
      <c r="J88" s="102">
        <v>4</v>
      </c>
      <c r="K88" s="102">
        <v>1</v>
      </c>
      <c r="L88" s="102">
        <v>1</v>
      </c>
      <c r="M88" s="102">
        <v>1</v>
      </c>
      <c r="N88" s="104" t="s">
        <v>160</v>
      </c>
      <c r="O88" s="104">
        <f t="shared" si="15"/>
        <v>4</v>
      </c>
      <c r="P88" s="118">
        <v>44844</v>
      </c>
      <c r="Q88" s="118">
        <v>44845</v>
      </c>
      <c r="R88" s="105">
        <v>1</v>
      </c>
      <c r="S88" s="105">
        <v>1</v>
      </c>
      <c r="T88" s="105">
        <v>1</v>
      </c>
      <c r="U88" s="106">
        <f>IF(ISBLANK(Table1[[#This Row],[OHC Date]]),$B$7-Table1[[#This Row],[HOC Date]]+1,Table1[[#This Row],[OHC Date]]-Table1[[#This Row],[HOC Date]]+1)/7</f>
        <v>0.2857142857142857</v>
      </c>
      <c r="V88" s="107">
        <v>6.63</v>
      </c>
      <c r="W88" s="107">
        <v>0.7</v>
      </c>
      <c r="X88" s="107">
        <f>ROUND(0.7*Table1[[#This Row],[E&amp;D Rate per unit]]*R88*Table1[[#This Row],[Quantity]],2)</f>
        <v>18.559999999999999</v>
      </c>
      <c r="Y88" s="107">
        <f t="shared" si="16"/>
        <v>0.8</v>
      </c>
      <c r="Z88" s="107">
        <f>ROUND(0.3*T88*Table1[[#This Row],[E&amp;D Rate per unit]]*Table1[[#This Row],[Quantity]],2)</f>
        <v>7.96</v>
      </c>
      <c r="AA88" s="107">
        <f t="shared" si="17"/>
        <v>27.32</v>
      </c>
      <c r="AB88" s="129">
        <v>27.32</v>
      </c>
      <c r="AC88" s="126">
        <f>Table1[[#This Row],[Total Amount]]-Table1[[#This Row],[Previous Amount]]</f>
        <v>0</v>
      </c>
      <c r="AD88" s="108"/>
    </row>
    <row r="89" spans="1:30" ht="30" customHeight="1" x14ac:dyDescent="0.3">
      <c r="A89" s="101" t="s">
        <v>89</v>
      </c>
      <c r="B89" s="92" t="s">
        <v>97</v>
      </c>
      <c r="C89" s="102" t="s">
        <v>210</v>
      </c>
      <c r="D89" s="102">
        <v>74682</v>
      </c>
      <c r="E89" s="102"/>
      <c r="F89" s="103" t="s">
        <v>211</v>
      </c>
      <c r="G89" s="17" t="s">
        <v>159</v>
      </c>
      <c r="H89" s="102" t="s">
        <v>127</v>
      </c>
      <c r="I89" s="102">
        <v>1</v>
      </c>
      <c r="J89" s="102">
        <v>19</v>
      </c>
      <c r="K89" s="102">
        <v>0.75</v>
      </c>
      <c r="L89" s="102">
        <v>1</v>
      </c>
      <c r="M89" s="102">
        <v>1</v>
      </c>
      <c r="N89" s="104" t="s">
        <v>160</v>
      </c>
      <c r="O89" s="104">
        <f t="shared" si="15"/>
        <v>14.25</v>
      </c>
      <c r="P89" s="118">
        <v>44846</v>
      </c>
      <c r="Q89" s="118"/>
      <c r="R89" s="105">
        <v>1</v>
      </c>
      <c r="S89" s="105">
        <v>1</v>
      </c>
      <c r="T89" s="105">
        <v>0</v>
      </c>
      <c r="U89" s="106">
        <f>IF(ISBLANK(Table1[[#This Row],[OHC Date]]),$B$7-Table1[[#This Row],[HOC Date]]+1,Table1[[#This Row],[OHC Date]]-Table1[[#This Row],[HOC Date]]+1)/7</f>
        <v>15.142857142857142</v>
      </c>
      <c r="V89" s="107">
        <v>36.520000000000003</v>
      </c>
      <c r="W89" s="107">
        <v>2.94</v>
      </c>
      <c r="X89" s="107">
        <f>ROUND(0.7*Table1[[#This Row],[E&amp;D Rate per unit]]*R89*Table1[[#This Row],[Quantity]],2)</f>
        <v>364.29</v>
      </c>
      <c r="Y89" s="107">
        <f t="shared" si="16"/>
        <v>634.41</v>
      </c>
      <c r="Z89" s="107">
        <f>ROUND(0.3*T89*Table1[[#This Row],[E&amp;D Rate per unit]]*Table1[[#This Row],[Quantity]],2)</f>
        <v>0</v>
      </c>
      <c r="AA89" s="107">
        <f t="shared" si="17"/>
        <v>998.7</v>
      </c>
      <c r="AB89" s="126">
        <v>813.17</v>
      </c>
      <c r="AC89" s="126">
        <f>Table1[[#This Row],[Total Amount]]-Table1[[#This Row],[Previous Amount]]</f>
        <v>185.53000000000009</v>
      </c>
      <c r="AD89" s="108"/>
    </row>
    <row r="90" spans="1:30" ht="30" customHeight="1" x14ac:dyDescent="0.3">
      <c r="A90" s="101" t="s">
        <v>89</v>
      </c>
      <c r="B90" s="92" t="s">
        <v>97</v>
      </c>
      <c r="C90" s="102" t="s">
        <v>213</v>
      </c>
      <c r="D90" s="102">
        <v>74683</v>
      </c>
      <c r="E90" s="102">
        <v>76764</v>
      </c>
      <c r="F90" s="103" t="s">
        <v>211</v>
      </c>
      <c r="G90" s="17" t="s">
        <v>159</v>
      </c>
      <c r="H90" s="102" t="s">
        <v>126</v>
      </c>
      <c r="I90" s="102">
        <v>1</v>
      </c>
      <c r="J90" s="102">
        <v>19.8</v>
      </c>
      <c r="K90" s="102">
        <v>0.5</v>
      </c>
      <c r="L90" s="102">
        <v>1</v>
      </c>
      <c r="M90" s="102">
        <v>1</v>
      </c>
      <c r="N90" s="104" t="s">
        <v>160</v>
      </c>
      <c r="O90" s="104">
        <f t="shared" si="15"/>
        <v>9.9</v>
      </c>
      <c r="P90" s="118">
        <v>44846</v>
      </c>
      <c r="Q90" s="118">
        <v>44855</v>
      </c>
      <c r="R90" s="105">
        <v>1</v>
      </c>
      <c r="S90" s="105">
        <v>1</v>
      </c>
      <c r="T90" s="105">
        <v>1</v>
      </c>
      <c r="U90" s="106">
        <f>IF(ISBLANK(Table1[[#This Row],[OHC Date]]),$B$7-Table1[[#This Row],[HOC Date]]+1,Table1[[#This Row],[OHC Date]]-Table1[[#This Row],[HOC Date]]+1)/7</f>
        <v>1.4285714285714286</v>
      </c>
      <c r="V90" s="107">
        <v>32.75</v>
      </c>
      <c r="W90" s="107">
        <v>1.05</v>
      </c>
      <c r="X90" s="107">
        <f>ROUND(0.7*Table1[[#This Row],[E&amp;D Rate per unit]]*R90*Table1[[#This Row],[Quantity]],2)</f>
        <v>226.96</v>
      </c>
      <c r="Y90" s="107">
        <f t="shared" si="16"/>
        <v>14.85</v>
      </c>
      <c r="Z90" s="107">
        <f>ROUND(0.3*T90*Table1[[#This Row],[E&amp;D Rate per unit]]*Table1[[#This Row],[Quantity]],2)</f>
        <v>97.27</v>
      </c>
      <c r="AA90" s="107">
        <f t="shared" si="17"/>
        <v>339.08</v>
      </c>
      <c r="AB90" s="126">
        <v>339.08</v>
      </c>
      <c r="AC90" s="126">
        <f>Table1[[#This Row],[Total Amount]]-Table1[[#This Row],[Previous Amount]]</f>
        <v>0</v>
      </c>
      <c r="AD90" s="108"/>
    </row>
    <row r="91" spans="1:30" ht="30" customHeight="1" x14ac:dyDescent="0.3">
      <c r="A91" s="101" t="s">
        <v>89</v>
      </c>
      <c r="B91" s="92" t="s">
        <v>97</v>
      </c>
      <c r="C91" s="102">
        <v>11</v>
      </c>
      <c r="D91" s="102">
        <v>74684</v>
      </c>
      <c r="E91" s="102">
        <v>76757</v>
      </c>
      <c r="F91" s="103" t="s">
        <v>214</v>
      </c>
      <c r="G91" s="17" t="s">
        <v>159</v>
      </c>
      <c r="H91" s="102" t="s">
        <v>205</v>
      </c>
      <c r="I91" s="102">
        <v>1</v>
      </c>
      <c r="J91" s="102">
        <v>3.6</v>
      </c>
      <c r="K91" s="102">
        <v>1.2</v>
      </c>
      <c r="L91" s="102">
        <v>2.5</v>
      </c>
      <c r="M91" s="102">
        <v>1</v>
      </c>
      <c r="N91" s="104" t="s">
        <v>206</v>
      </c>
      <c r="O91" s="104">
        <f t="shared" si="15"/>
        <v>9</v>
      </c>
      <c r="P91" s="118">
        <v>44847</v>
      </c>
      <c r="Q91" s="118">
        <v>44849</v>
      </c>
      <c r="R91" s="105">
        <v>1</v>
      </c>
      <c r="S91" s="105">
        <v>1</v>
      </c>
      <c r="T91" s="105">
        <v>1</v>
      </c>
      <c r="U91" s="106">
        <f>IF(ISBLANK(Table1[[#This Row],[OHC Date]]),$B$7-Table1[[#This Row],[HOC Date]]+1,Table1[[#This Row],[OHC Date]]-Table1[[#This Row],[HOC Date]]+1)/7</f>
        <v>0.42857142857142855</v>
      </c>
      <c r="V91" s="107">
        <v>12.01</v>
      </c>
      <c r="W91" s="107">
        <v>0.49</v>
      </c>
      <c r="X91" s="107">
        <f>ROUND(0.7*Table1[[#This Row],[E&amp;D Rate per unit]]*R91*Table1[[#This Row],[Quantity]],2)</f>
        <v>75.66</v>
      </c>
      <c r="Y91" s="107">
        <f t="shared" si="16"/>
        <v>1.89</v>
      </c>
      <c r="Z91" s="107">
        <f>ROUND(0.3*T91*Table1[[#This Row],[E&amp;D Rate per unit]]*Table1[[#This Row],[Quantity]],2)</f>
        <v>32.43</v>
      </c>
      <c r="AA91" s="107">
        <f t="shared" si="17"/>
        <v>109.98</v>
      </c>
      <c r="AB91" s="126">
        <v>109.98</v>
      </c>
      <c r="AC91" s="126">
        <f>Table1[[#This Row],[Total Amount]]-Table1[[#This Row],[Previous Amount]]</f>
        <v>0</v>
      </c>
      <c r="AD91" s="108"/>
    </row>
    <row r="92" spans="1:30" ht="30" customHeight="1" x14ac:dyDescent="0.3">
      <c r="A92" s="128" t="s">
        <v>197</v>
      </c>
      <c r="B92" s="92" t="s">
        <v>97</v>
      </c>
      <c r="C92" s="102">
        <v>12</v>
      </c>
      <c r="D92" s="102">
        <v>74685</v>
      </c>
      <c r="E92" s="195">
        <v>80889</v>
      </c>
      <c r="F92" s="17" t="s">
        <v>199</v>
      </c>
      <c r="G92" s="17" t="s">
        <v>200</v>
      </c>
      <c r="H92" s="102" t="s">
        <v>201</v>
      </c>
      <c r="I92" s="102">
        <v>1</v>
      </c>
      <c r="J92" s="102"/>
      <c r="K92" s="102"/>
      <c r="L92" s="102"/>
      <c r="M92" s="102"/>
      <c r="N92" s="104" t="s">
        <v>56</v>
      </c>
      <c r="O92" s="104">
        <f t="shared" si="15"/>
        <v>1</v>
      </c>
      <c r="P92" s="118">
        <v>44848</v>
      </c>
      <c r="Q92" s="186">
        <v>44943</v>
      </c>
      <c r="R92" s="105">
        <v>1</v>
      </c>
      <c r="S92" s="105">
        <v>1</v>
      </c>
      <c r="T92" s="105">
        <v>1</v>
      </c>
      <c r="U92" s="106">
        <f>IF(ISBLANK(Table1[[#This Row],[OHC Date]]),$B$7-Table1[[#This Row],[HOC Date]]+1,Table1[[#This Row],[OHC Date]]-Table1[[#This Row],[HOC Date]]+1)/7</f>
        <v>13.714285714285714</v>
      </c>
      <c r="V92" s="107">
        <v>4959.7700000000004</v>
      </c>
      <c r="W92" s="107">
        <v>123.48</v>
      </c>
      <c r="X92" s="107">
        <f>ROUND(0.7*Table1[[#This Row],[E&amp;D Rate per unit]]*R92*Table1[[#This Row],[Quantity]],2)</f>
        <v>3471.84</v>
      </c>
      <c r="Y92" s="107">
        <f t="shared" si="16"/>
        <v>1693.44</v>
      </c>
      <c r="Z92" s="107">
        <f>ROUND(0.3*T92*Table1[[#This Row],[E&amp;D Rate per unit]]*Table1[[#This Row],[Quantity]],2)</f>
        <v>1487.93</v>
      </c>
      <c r="AA92" s="107">
        <f t="shared" si="17"/>
        <v>6653.21</v>
      </c>
      <c r="AB92" s="126">
        <v>4759.5600000000004</v>
      </c>
      <c r="AC92" s="126">
        <f>Table1[[#This Row],[Total Amount]]-Table1[[#This Row],[Previous Amount]]</f>
        <v>1893.6499999999996</v>
      </c>
      <c r="AD92" s="127" t="s">
        <v>202</v>
      </c>
    </row>
    <row r="93" spans="1:30" ht="30" customHeight="1" x14ac:dyDescent="0.3">
      <c r="A93" s="101" t="s">
        <v>89</v>
      </c>
      <c r="B93" s="92" t="s">
        <v>97</v>
      </c>
      <c r="C93" s="102">
        <v>13</v>
      </c>
      <c r="D93" s="102">
        <v>74686</v>
      </c>
      <c r="E93" s="102">
        <v>80503</v>
      </c>
      <c r="F93" s="103" t="s">
        <v>215</v>
      </c>
      <c r="G93" s="17" t="s">
        <v>216</v>
      </c>
      <c r="H93" s="102" t="s">
        <v>205</v>
      </c>
      <c r="I93" s="102">
        <v>1</v>
      </c>
      <c r="J93" s="102">
        <v>7.3</v>
      </c>
      <c r="K93" s="102">
        <v>1.3</v>
      </c>
      <c r="L93" s="102">
        <v>1.7</v>
      </c>
      <c r="M93" s="102">
        <v>1</v>
      </c>
      <c r="N93" s="104" t="s">
        <v>206</v>
      </c>
      <c r="O93" s="104">
        <f t="shared" si="15"/>
        <v>12.41</v>
      </c>
      <c r="P93" s="118">
        <v>44848</v>
      </c>
      <c r="Q93" s="118">
        <v>44875</v>
      </c>
      <c r="R93" s="105">
        <v>1</v>
      </c>
      <c r="S93" s="105">
        <v>1</v>
      </c>
      <c r="T93" s="105">
        <v>1</v>
      </c>
      <c r="U93" s="106">
        <f>IF(ISBLANK(Table1[[#This Row],[OHC Date]]),$B$7-Table1[[#This Row],[HOC Date]]+1,Table1[[#This Row],[OHC Date]]-Table1[[#This Row],[HOC Date]]+1)/7</f>
        <v>4</v>
      </c>
      <c r="V93" s="107">
        <v>12.01</v>
      </c>
      <c r="W93" s="107">
        <v>0.49</v>
      </c>
      <c r="X93" s="107">
        <f>ROUND(0.7*Table1[[#This Row],[E&amp;D Rate per unit]]*R93*Table1[[#This Row],[Quantity]],2)</f>
        <v>104.33</v>
      </c>
      <c r="Y93" s="107">
        <f t="shared" si="16"/>
        <v>24.32</v>
      </c>
      <c r="Z93" s="107">
        <f>ROUND(0.3*T93*Table1[[#This Row],[E&amp;D Rate per unit]]*Table1[[#This Row],[Quantity]],2)</f>
        <v>44.71</v>
      </c>
      <c r="AA93" s="107">
        <f t="shared" si="17"/>
        <v>173.36</v>
      </c>
      <c r="AB93" s="126">
        <v>173.36</v>
      </c>
      <c r="AC93" s="126">
        <f>Table1[[#This Row],[Total Amount]]-Table1[[#This Row],[Previous Amount]]</f>
        <v>0</v>
      </c>
      <c r="AD93" s="108" t="s">
        <v>218</v>
      </c>
    </row>
    <row r="94" spans="1:30" ht="30" customHeight="1" x14ac:dyDescent="0.3">
      <c r="A94" s="101" t="s">
        <v>89</v>
      </c>
      <c r="B94" s="92" t="s">
        <v>97</v>
      </c>
      <c r="C94" s="102">
        <v>14</v>
      </c>
      <c r="D94" s="102">
        <v>74687</v>
      </c>
      <c r="E94" s="102">
        <v>76763</v>
      </c>
      <c r="F94" s="103" t="s">
        <v>217</v>
      </c>
      <c r="G94" s="17" t="s">
        <v>216</v>
      </c>
      <c r="H94" s="102" t="s">
        <v>205</v>
      </c>
      <c r="I94" s="102">
        <v>1</v>
      </c>
      <c r="J94" s="102">
        <v>5.0999999999999996</v>
      </c>
      <c r="K94" s="102">
        <v>1.3</v>
      </c>
      <c r="L94" s="102">
        <v>1.6</v>
      </c>
      <c r="M94" s="102">
        <v>1</v>
      </c>
      <c r="N94" s="104" t="s">
        <v>206</v>
      </c>
      <c r="O94" s="104">
        <f t="shared" si="15"/>
        <v>8.16</v>
      </c>
      <c r="P94" s="118">
        <v>44849</v>
      </c>
      <c r="Q94" s="118">
        <v>44851</v>
      </c>
      <c r="R94" s="105">
        <v>1</v>
      </c>
      <c r="S94" s="105">
        <v>1</v>
      </c>
      <c r="T94" s="105">
        <v>1</v>
      </c>
      <c r="U94" s="106">
        <f>IF(ISBLANK(Table1[[#This Row],[OHC Date]]),$B$7-Table1[[#This Row],[HOC Date]]+1,Table1[[#This Row],[OHC Date]]-Table1[[#This Row],[HOC Date]]+1)/7</f>
        <v>0.42857142857142855</v>
      </c>
      <c r="V94" s="107">
        <v>12.01</v>
      </c>
      <c r="W94" s="107">
        <v>0.49</v>
      </c>
      <c r="X94" s="107">
        <f>ROUND(0.7*Table1[[#This Row],[E&amp;D Rate per unit]]*R94*Table1[[#This Row],[Quantity]],2)</f>
        <v>68.599999999999994</v>
      </c>
      <c r="Y94" s="107">
        <f t="shared" si="16"/>
        <v>1.71</v>
      </c>
      <c r="Z94" s="107">
        <f>ROUND(0.3*T94*Table1[[#This Row],[E&amp;D Rate per unit]]*Table1[[#This Row],[Quantity]],2)</f>
        <v>29.4</v>
      </c>
      <c r="AA94" s="107">
        <f>ROUND(X94+Z94+Y94,2)</f>
        <v>99.71</v>
      </c>
      <c r="AB94" s="126">
        <v>99.71</v>
      </c>
      <c r="AC94" s="126">
        <f>Table1[[#This Row],[Total Amount]]-Table1[[#This Row],[Previous Amount]]</f>
        <v>0</v>
      </c>
      <c r="AD94" s="108"/>
    </row>
    <row r="95" spans="1:30" ht="30" customHeight="1" x14ac:dyDescent="0.3">
      <c r="A95" s="101" t="s">
        <v>89</v>
      </c>
      <c r="B95" s="92" t="s">
        <v>97</v>
      </c>
      <c r="C95" s="102">
        <v>15</v>
      </c>
      <c r="D95" s="102">
        <v>74688</v>
      </c>
      <c r="E95" s="102">
        <v>80504</v>
      </c>
      <c r="F95" s="103" t="s">
        <v>215</v>
      </c>
      <c r="G95" s="17" t="s">
        <v>216</v>
      </c>
      <c r="H95" s="102" t="s">
        <v>205</v>
      </c>
      <c r="I95" s="102">
        <v>1</v>
      </c>
      <c r="J95" s="102">
        <v>5</v>
      </c>
      <c r="K95" s="102">
        <v>1.2</v>
      </c>
      <c r="L95" s="102">
        <v>2</v>
      </c>
      <c r="M95" s="102">
        <v>1</v>
      </c>
      <c r="N95" s="104" t="s">
        <v>206</v>
      </c>
      <c r="O95" s="104">
        <f t="shared" si="15"/>
        <v>10</v>
      </c>
      <c r="P95" s="118">
        <v>44851</v>
      </c>
      <c r="Q95" s="118">
        <v>44875</v>
      </c>
      <c r="R95" s="105">
        <v>1</v>
      </c>
      <c r="S95" s="105">
        <v>1</v>
      </c>
      <c r="T95" s="105">
        <v>1</v>
      </c>
      <c r="U95" s="106">
        <f>IF(ISBLANK(Table1[[#This Row],[OHC Date]]),$B$7-Table1[[#This Row],[HOC Date]]+1,Table1[[#This Row],[OHC Date]]-Table1[[#This Row],[HOC Date]]+1)/7</f>
        <v>3.5714285714285716</v>
      </c>
      <c r="V95" s="107">
        <v>12.01</v>
      </c>
      <c r="W95" s="107">
        <v>0.49</v>
      </c>
      <c r="X95" s="107">
        <f>ROUND(0.7*Table1[[#This Row],[E&amp;D Rate per unit]]*R95*Table1[[#This Row],[Quantity]],2)</f>
        <v>84.07</v>
      </c>
      <c r="Y95" s="107">
        <f t="shared" si="16"/>
        <v>17.5</v>
      </c>
      <c r="Z95" s="107">
        <f>ROUND(0.3*T95*Table1[[#This Row],[E&amp;D Rate per unit]]*Table1[[#This Row],[Quantity]],2)</f>
        <v>36.03</v>
      </c>
      <c r="AA95" s="107">
        <f t="shared" si="17"/>
        <v>137.6</v>
      </c>
      <c r="AB95" s="126">
        <v>137.6</v>
      </c>
      <c r="AC95" s="126">
        <f>Table1[[#This Row],[Total Amount]]-Table1[[#This Row],[Previous Amount]]</f>
        <v>0</v>
      </c>
      <c r="AD95" s="108" t="s">
        <v>218</v>
      </c>
    </row>
    <row r="96" spans="1:30" ht="30" customHeight="1" x14ac:dyDescent="0.3">
      <c r="A96" s="101" t="s">
        <v>89</v>
      </c>
      <c r="B96" s="92" t="s">
        <v>97</v>
      </c>
      <c r="C96" s="102">
        <v>16</v>
      </c>
      <c r="D96" s="102">
        <v>74689</v>
      </c>
      <c r="E96" s="102">
        <v>76766</v>
      </c>
      <c r="F96" s="103" t="s">
        <v>219</v>
      </c>
      <c r="G96" s="17" t="s">
        <v>190</v>
      </c>
      <c r="H96" s="102" t="s">
        <v>220</v>
      </c>
      <c r="I96" s="102">
        <v>1</v>
      </c>
      <c r="J96" s="102">
        <v>2.5</v>
      </c>
      <c r="K96" s="102">
        <v>1.8</v>
      </c>
      <c r="L96" s="102">
        <v>2.2999999999999998</v>
      </c>
      <c r="M96" s="102">
        <v>1</v>
      </c>
      <c r="N96" s="104" t="s">
        <v>221</v>
      </c>
      <c r="O96" s="104">
        <f t="shared" si="15"/>
        <v>2.2999999999999998</v>
      </c>
      <c r="P96" s="118">
        <v>44851</v>
      </c>
      <c r="Q96" s="118">
        <v>44856</v>
      </c>
      <c r="R96" s="105">
        <v>1</v>
      </c>
      <c r="S96" s="105">
        <v>1</v>
      </c>
      <c r="T96" s="105">
        <v>1</v>
      </c>
      <c r="U96" s="106">
        <f>IF(ISBLANK(Table1[[#This Row],[OHC Date]]),$B$7-Table1[[#This Row],[HOC Date]]+1,Table1[[#This Row],[OHC Date]]-Table1[[#This Row],[HOC Date]]+1)/7</f>
        <v>0.8571428571428571</v>
      </c>
      <c r="V96" s="107">
        <v>63.34</v>
      </c>
      <c r="W96" s="107">
        <v>7.28</v>
      </c>
      <c r="X96" s="107">
        <f>ROUND(0.7*Table1[[#This Row],[E&amp;D Rate per unit]]*R96*Table1[[#This Row],[Quantity]],2)</f>
        <v>101.98</v>
      </c>
      <c r="Y96" s="107">
        <f t="shared" si="16"/>
        <v>14.35</v>
      </c>
      <c r="Z96" s="107">
        <f>ROUND(0.3*T96*Table1[[#This Row],[E&amp;D Rate per unit]]*Table1[[#This Row],[Quantity]],2)</f>
        <v>43.7</v>
      </c>
      <c r="AA96" s="107">
        <f t="shared" si="17"/>
        <v>160.03</v>
      </c>
      <c r="AB96" s="126">
        <v>160.03</v>
      </c>
      <c r="AC96" s="126">
        <f>Table1[[#This Row],[Total Amount]]-Table1[[#This Row],[Previous Amount]]</f>
        <v>0</v>
      </c>
      <c r="AD96" s="108" t="s">
        <v>218</v>
      </c>
    </row>
    <row r="97" spans="1:30" ht="30" customHeight="1" x14ac:dyDescent="0.3">
      <c r="A97" s="101" t="s">
        <v>89</v>
      </c>
      <c r="B97" s="92" t="s">
        <v>97</v>
      </c>
      <c r="C97" s="102">
        <v>16</v>
      </c>
      <c r="D97" s="102">
        <v>74689</v>
      </c>
      <c r="E97" s="102">
        <v>76766</v>
      </c>
      <c r="F97" s="103" t="s">
        <v>219</v>
      </c>
      <c r="G97" s="17" t="s">
        <v>190</v>
      </c>
      <c r="H97" s="102" t="s">
        <v>176</v>
      </c>
      <c r="I97" s="102">
        <v>1</v>
      </c>
      <c r="J97" s="102">
        <v>2.5</v>
      </c>
      <c r="K97" s="102">
        <v>1.8</v>
      </c>
      <c r="L97" s="102">
        <v>1</v>
      </c>
      <c r="M97" s="102">
        <v>1</v>
      </c>
      <c r="N97" s="104" t="s">
        <v>160</v>
      </c>
      <c r="O97" s="104">
        <f>ROUND(IF(N97="m3",I97*J97*K97*L97,IF(N97="m2-LxH",I97*J97*L97,IF(N97="m2-LxW",I97*J97*K97,IF(N97="rm",I97*L97,IF(N97="lm",I97*J97,IF(N97="unit",I97,"NA")))))),2)</f>
        <v>4.5</v>
      </c>
      <c r="P97" s="118">
        <v>44851</v>
      </c>
      <c r="Q97" s="118">
        <v>44856</v>
      </c>
      <c r="R97" s="105">
        <v>1</v>
      </c>
      <c r="S97" s="105">
        <v>1</v>
      </c>
      <c r="T97" s="105">
        <v>1</v>
      </c>
      <c r="U97" s="106">
        <f>IF(ISBLANK(Table1[[#This Row],[OHC Date]]),$B$7-Table1[[#This Row],[HOC Date]]+1,Table1[[#This Row],[OHC Date]]-Table1[[#This Row],[HOC Date]]+1)/7</f>
        <v>0.8571428571428571</v>
      </c>
      <c r="V97" s="107">
        <v>6.63</v>
      </c>
      <c r="W97" s="107">
        <v>0.7</v>
      </c>
      <c r="X97" s="107">
        <f>ROUND(0.7*Table1[[#This Row],[E&amp;D Rate per unit]]*R97*Table1[[#This Row],[Quantity]],2)</f>
        <v>20.88</v>
      </c>
      <c r="Y97" s="107">
        <f>ROUND(O97*U97*W97*S97,2)</f>
        <v>2.7</v>
      </c>
      <c r="Z97" s="107">
        <f>ROUND(0.3*T97*Table1[[#This Row],[E&amp;D Rate per unit]]*Table1[[#This Row],[Quantity]],2)</f>
        <v>8.9499999999999993</v>
      </c>
      <c r="AA97" s="107">
        <f>ROUND(X97+Z97+Y97,2)</f>
        <v>32.53</v>
      </c>
      <c r="AB97" s="126">
        <v>32.53</v>
      </c>
      <c r="AC97" s="126">
        <f>Table1[[#This Row],[Total Amount]]-Table1[[#This Row],[Previous Amount]]</f>
        <v>0</v>
      </c>
      <c r="AD97" s="108" t="s">
        <v>218</v>
      </c>
    </row>
    <row r="98" spans="1:30" ht="30" customHeight="1" x14ac:dyDescent="0.3">
      <c r="A98" s="101" t="s">
        <v>89</v>
      </c>
      <c r="B98" s="92" t="s">
        <v>97</v>
      </c>
      <c r="C98" s="102">
        <v>17</v>
      </c>
      <c r="D98" s="102">
        <v>74690</v>
      </c>
      <c r="E98" s="102">
        <v>76769</v>
      </c>
      <c r="F98" s="103" t="s">
        <v>222</v>
      </c>
      <c r="G98" s="17" t="s">
        <v>223</v>
      </c>
      <c r="H98" s="102" t="s">
        <v>119</v>
      </c>
      <c r="I98" s="102">
        <v>1</v>
      </c>
      <c r="J98" s="102">
        <v>17.5</v>
      </c>
      <c r="K98" s="102">
        <v>10</v>
      </c>
      <c r="L98" s="102">
        <v>6.2</v>
      </c>
      <c r="M98" s="102">
        <v>1</v>
      </c>
      <c r="N98" s="104" t="s">
        <v>224</v>
      </c>
      <c r="O98" s="104">
        <f t="shared" si="15"/>
        <v>1085</v>
      </c>
      <c r="P98" s="118">
        <v>44852</v>
      </c>
      <c r="Q98" s="118">
        <v>44860</v>
      </c>
      <c r="R98" s="105">
        <v>1</v>
      </c>
      <c r="S98" s="105">
        <v>1</v>
      </c>
      <c r="T98" s="105">
        <v>1</v>
      </c>
      <c r="U98" s="106">
        <f>IF(ISBLANK(Table1[[#This Row],[OHC Date]]),$B$7-Table1[[#This Row],[HOC Date]]+1,Table1[[#This Row],[OHC Date]]-Table1[[#This Row],[HOC Date]]+1)/7</f>
        <v>1.2857142857142858</v>
      </c>
      <c r="V98" s="107">
        <v>7.08</v>
      </c>
      <c r="W98" s="107">
        <v>0.49</v>
      </c>
      <c r="X98" s="107">
        <f>ROUND(0.7*Table1[[#This Row],[E&amp;D Rate per unit]]*R98*Table1[[#This Row],[Quantity]],2)</f>
        <v>5377.26</v>
      </c>
      <c r="Y98" s="107">
        <f t="shared" si="16"/>
        <v>683.55</v>
      </c>
      <c r="Z98" s="107">
        <f>ROUND(0.3*T98*Table1[[#This Row],[E&amp;D Rate per unit]]*Table1[[#This Row],[Quantity]],2)</f>
        <v>2304.54</v>
      </c>
      <c r="AA98" s="107">
        <f t="shared" si="17"/>
        <v>8365.35</v>
      </c>
      <c r="AB98" s="126">
        <v>8365.35</v>
      </c>
      <c r="AC98" s="126">
        <f>Table1[[#This Row],[Total Amount]]-Table1[[#This Row],[Previous Amount]]</f>
        <v>0</v>
      </c>
      <c r="AD98" s="108" t="s">
        <v>218</v>
      </c>
    </row>
    <row r="99" spans="1:30" ht="30" customHeight="1" x14ac:dyDescent="0.3">
      <c r="A99" s="101" t="s">
        <v>89</v>
      </c>
      <c r="B99" s="92" t="s">
        <v>97</v>
      </c>
      <c r="C99" s="102">
        <v>18</v>
      </c>
      <c r="D99" s="102">
        <v>74691</v>
      </c>
      <c r="E99" s="102">
        <v>80506</v>
      </c>
      <c r="F99" s="103" t="s">
        <v>225</v>
      </c>
      <c r="G99" s="17" t="s">
        <v>226</v>
      </c>
      <c r="H99" s="102" t="s">
        <v>220</v>
      </c>
      <c r="I99" s="102">
        <v>1</v>
      </c>
      <c r="J99" s="102">
        <v>1.8</v>
      </c>
      <c r="K99" s="102">
        <v>1.3</v>
      </c>
      <c r="L99" s="102">
        <v>2.5</v>
      </c>
      <c r="M99" s="102">
        <v>1</v>
      </c>
      <c r="N99" s="104" t="s">
        <v>221</v>
      </c>
      <c r="O99" s="104">
        <f t="shared" ref="O99:O131" si="18">ROUND(IF(N99="m3",I99*J99*K99*L99,IF(N99="m2-LxH",I99*J99*L99,IF(N99="m2-LxW",I99*J99*K99,IF(N99="rm",I99*L99,IF(N99="lm",I99*J99,IF(N99="unit",I99,"NA")))))),2)</f>
        <v>2.5</v>
      </c>
      <c r="P99" s="118">
        <v>44852</v>
      </c>
      <c r="Q99" s="118">
        <v>44877</v>
      </c>
      <c r="R99" s="105">
        <v>1</v>
      </c>
      <c r="S99" s="105">
        <v>1</v>
      </c>
      <c r="T99" s="105">
        <v>1</v>
      </c>
      <c r="U99" s="106">
        <f>IF(ISBLANK(Table1[[#This Row],[OHC Date]]),$B$7-Table1[[#This Row],[HOC Date]]+1,Table1[[#This Row],[OHC Date]]-Table1[[#This Row],[HOC Date]]+1)/7</f>
        <v>3.7142857142857144</v>
      </c>
      <c r="V99" s="107">
        <v>63.34</v>
      </c>
      <c r="W99" s="107">
        <v>7.28</v>
      </c>
      <c r="X99" s="107">
        <f>ROUND(0.7*Table1[[#This Row],[E&amp;D Rate per unit]]*R99*Table1[[#This Row],[Quantity]],2)</f>
        <v>110.85</v>
      </c>
      <c r="Y99" s="107">
        <f t="shared" ref="Y99:Y131" si="19">ROUND(O99*U99*W99*S99,2)</f>
        <v>67.599999999999994</v>
      </c>
      <c r="Z99" s="107">
        <f>ROUND(0.3*T99*Table1[[#This Row],[E&amp;D Rate per unit]]*Table1[[#This Row],[Quantity]],2)</f>
        <v>47.51</v>
      </c>
      <c r="AA99" s="107">
        <f t="shared" ref="AA99:AA131" si="20">ROUND(X99+Z99+Y99,2)</f>
        <v>225.96</v>
      </c>
      <c r="AB99" s="126">
        <v>225.96</v>
      </c>
      <c r="AC99" s="126">
        <f>Table1[[#This Row],[Total Amount]]-Table1[[#This Row],[Previous Amount]]</f>
        <v>0</v>
      </c>
      <c r="AD99" s="108" t="s">
        <v>218</v>
      </c>
    </row>
    <row r="100" spans="1:30" ht="30" customHeight="1" x14ac:dyDescent="0.3">
      <c r="A100" s="101" t="s">
        <v>89</v>
      </c>
      <c r="B100" s="92" t="s">
        <v>97</v>
      </c>
      <c r="C100" s="102">
        <v>19</v>
      </c>
      <c r="D100" s="102">
        <v>74692</v>
      </c>
      <c r="E100" s="102">
        <v>80535</v>
      </c>
      <c r="F100" s="103" t="s">
        <v>227</v>
      </c>
      <c r="G100" s="17" t="s">
        <v>190</v>
      </c>
      <c r="H100" s="102" t="s">
        <v>205</v>
      </c>
      <c r="I100" s="102">
        <v>1</v>
      </c>
      <c r="J100" s="102">
        <v>4</v>
      </c>
      <c r="K100" s="102">
        <v>1.3</v>
      </c>
      <c r="L100" s="102">
        <v>6.3</v>
      </c>
      <c r="M100" s="102">
        <v>1</v>
      </c>
      <c r="N100" s="104" t="s">
        <v>206</v>
      </c>
      <c r="O100" s="104">
        <f t="shared" si="18"/>
        <v>25.2</v>
      </c>
      <c r="P100" s="118">
        <v>44852</v>
      </c>
      <c r="Q100" s="118">
        <v>44893</v>
      </c>
      <c r="R100" s="105">
        <v>1</v>
      </c>
      <c r="S100" s="105">
        <v>1</v>
      </c>
      <c r="T100" s="105">
        <v>1</v>
      </c>
      <c r="U100" s="106">
        <f>IF(ISBLANK(Table1[[#This Row],[OHC Date]]),$B$7-Table1[[#This Row],[HOC Date]]+1,Table1[[#This Row],[OHC Date]]-Table1[[#This Row],[HOC Date]]+1)/7</f>
        <v>6</v>
      </c>
      <c r="V100" s="107">
        <v>12.01</v>
      </c>
      <c r="W100" s="107">
        <v>0.49</v>
      </c>
      <c r="X100" s="107">
        <f>ROUND(0.7*Table1[[#This Row],[E&amp;D Rate per unit]]*R100*Table1[[#This Row],[Quantity]],2)</f>
        <v>211.86</v>
      </c>
      <c r="Y100" s="107">
        <f t="shared" si="19"/>
        <v>74.09</v>
      </c>
      <c r="Z100" s="107">
        <f>ROUND(0.3*T100*Table1[[#This Row],[E&amp;D Rate per unit]]*Table1[[#This Row],[Quantity]],2)</f>
        <v>90.8</v>
      </c>
      <c r="AA100" s="107">
        <f t="shared" si="20"/>
        <v>376.75</v>
      </c>
      <c r="AB100" s="126">
        <v>376.75</v>
      </c>
      <c r="AC100" s="126">
        <f>Table1[[#This Row],[Total Amount]]-Table1[[#This Row],[Previous Amount]]</f>
        <v>0</v>
      </c>
      <c r="AD100" s="108"/>
    </row>
    <row r="101" spans="1:30" ht="30" customHeight="1" x14ac:dyDescent="0.3">
      <c r="A101" s="101" t="s">
        <v>89</v>
      </c>
      <c r="B101" s="92" t="s">
        <v>97</v>
      </c>
      <c r="C101" s="102" t="s">
        <v>228</v>
      </c>
      <c r="D101" s="102">
        <v>74700</v>
      </c>
      <c r="E101" s="102">
        <v>76793</v>
      </c>
      <c r="F101" s="103" t="s">
        <v>227</v>
      </c>
      <c r="G101" s="17" t="s">
        <v>190</v>
      </c>
      <c r="H101" s="102" t="s">
        <v>205</v>
      </c>
      <c r="I101" s="102">
        <v>1</v>
      </c>
      <c r="J101" s="102">
        <v>4</v>
      </c>
      <c r="K101" s="102">
        <v>1.3</v>
      </c>
      <c r="L101" s="102">
        <v>2</v>
      </c>
      <c r="M101" s="102">
        <v>1</v>
      </c>
      <c r="N101" s="104" t="s">
        <v>206</v>
      </c>
      <c r="O101" s="104">
        <f t="shared" si="18"/>
        <v>8</v>
      </c>
      <c r="P101" s="118">
        <v>44853</v>
      </c>
      <c r="Q101" s="118">
        <v>44870</v>
      </c>
      <c r="R101" s="105">
        <v>1</v>
      </c>
      <c r="S101" s="105">
        <v>1</v>
      </c>
      <c r="T101" s="105">
        <v>1</v>
      </c>
      <c r="U101" s="106">
        <f>IF(ISBLANK(Table1[[#This Row],[OHC Date]]),$B$7-Table1[[#This Row],[HOC Date]]+1,Table1[[#This Row],[OHC Date]]-Table1[[#This Row],[HOC Date]]+1)/7</f>
        <v>2.5714285714285716</v>
      </c>
      <c r="V101" s="107">
        <v>12.01</v>
      </c>
      <c r="W101" s="107">
        <v>0.49</v>
      </c>
      <c r="X101" s="107">
        <f>ROUND(0.7*Table1[[#This Row],[E&amp;D Rate per unit]]*R101*Table1[[#This Row],[Quantity]],2)</f>
        <v>67.260000000000005</v>
      </c>
      <c r="Y101" s="107">
        <f t="shared" si="19"/>
        <v>10.08</v>
      </c>
      <c r="Z101" s="107">
        <f>ROUND(0.3*T101*Table1[[#This Row],[E&amp;D Rate per unit]]*Table1[[#This Row],[Quantity]],2)</f>
        <v>28.82</v>
      </c>
      <c r="AA101" s="107">
        <f t="shared" si="20"/>
        <v>106.16</v>
      </c>
      <c r="AB101" s="126">
        <v>106.16</v>
      </c>
      <c r="AC101" s="126">
        <f>Table1[[#This Row],[Total Amount]]-Table1[[#This Row],[Previous Amount]]</f>
        <v>0</v>
      </c>
      <c r="AD101" s="108"/>
    </row>
    <row r="102" spans="1:30" ht="30" customHeight="1" x14ac:dyDescent="0.3">
      <c r="A102" s="101" t="s">
        <v>89</v>
      </c>
      <c r="B102" s="92" t="s">
        <v>97</v>
      </c>
      <c r="C102" s="102">
        <v>20</v>
      </c>
      <c r="D102" s="102">
        <v>74693</v>
      </c>
      <c r="E102" s="102">
        <v>80515</v>
      </c>
      <c r="F102" s="103" t="s">
        <v>225</v>
      </c>
      <c r="G102" s="17" t="s">
        <v>226</v>
      </c>
      <c r="H102" s="102" t="s">
        <v>220</v>
      </c>
      <c r="I102" s="102">
        <v>1</v>
      </c>
      <c r="J102" s="102">
        <v>2.5</v>
      </c>
      <c r="K102" s="102">
        <v>2.5</v>
      </c>
      <c r="L102" s="102">
        <v>3</v>
      </c>
      <c r="M102" s="102">
        <v>1</v>
      </c>
      <c r="N102" s="104" t="s">
        <v>221</v>
      </c>
      <c r="O102" s="104">
        <f t="shared" si="18"/>
        <v>3</v>
      </c>
      <c r="P102" s="118">
        <v>44852</v>
      </c>
      <c r="Q102" s="118">
        <v>44880</v>
      </c>
      <c r="R102" s="105">
        <v>1</v>
      </c>
      <c r="S102" s="105">
        <v>1</v>
      </c>
      <c r="T102" s="105">
        <v>1</v>
      </c>
      <c r="U102" s="106">
        <f>IF(ISBLANK(Table1[[#This Row],[OHC Date]]),$B$7-Table1[[#This Row],[HOC Date]]+1,Table1[[#This Row],[OHC Date]]-Table1[[#This Row],[HOC Date]]+1)/7</f>
        <v>4.1428571428571432</v>
      </c>
      <c r="V102" s="107">
        <v>63.34</v>
      </c>
      <c r="W102" s="107">
        <v>7.28</v>
      </c>
      <c r="X102" s="107">
        <f>ROUND(0.7*Table1[[#This Row],[E&amp;D Rate per unit]]*R102*Table1[[#This Row],[Quantity]],2)</f>
        <v>133.01</v>
      </c>
      <c r="Y102" s="107">
        <f t="shared" si="19"/>
        <v>90.48</v>
      </c>
      <c r="Z102" s="107">
        <f>ROUND(0.3*T102*Table1[[#This Row],[E&amp;D Rate per unit]]*Table1[[#This Row],[Quantity]],2)</f>
        <v>57.01</v>
      </c>
      <c r="AA102" s="107">
        <f t="shared" si="20"/>
        <v>280.5</v>
      </c>
      <c r="AB102" s="126">
        <v>280.5</v>
      </c>
      <c r="AC102" s="126">
        <f>Table1[[#This Row],[Total Amount]]-Table1[[#This Row],[Previous Amount]]</f>
        <v>0</v>
      </c>
      <c r="AD102" s="108"/>
    </row>
    <row r="103" spans="1:30" ht="30" customHeight="1" x14ac:dyDescent="0.3">
      <c r="A103" s="101" t="s">
        <v>89</v>
      </c>
      <c r="B103" s="92" t="s">
        <v>97</v>
      </c>
      <c r="C103" s="102" t="s">
        <v>229</v>
      </c>
      <c r="D103" s="102">
        <v>74694</v>
      </c>
      <c r="E103" s="102">
        <v>76767</v>
      </c>
      <c r="F103" s="103" t="s">
        <v>230</v>
      </c>
      <c r="G103" s="17" t="s">
        <v>190</v>
      </c>
      <c r="H103" s="102" t="s">
        <v>220</v>
      </c>
      <c r="I103" s="102">
        <v>1</v>
      </c>
      <c r="J103" s="102">
        <v>2.5</v>
      </c>
      <c r="K103" s="102">
        <v>1.8</v>
      </c>
      <c r="L103" s="102">
        <v>2</v>
      </c>
      <c r="M103" s="102">
        <v>1</v>
      </c>
      <c r="N103" s="104" t="s">
        <v>221</v>
      </c>
      <c r="O103" s="104">
        <f t="shared" si="18"/>
        <v>2</v>
      </c>
      <c r="P103" s="118">
        <v>44853</v>
      </c>
      <c r="Q103" s="118">
        <v>44856</v>
      </c>
      <c r="R103" s="105">
        <v>1</v>
      </c>
      <c r="S103" s="105">
        <v>1</v>
      </c>
      <c r="T103" s="105">
        <v>1</v>
      </c>
      <c r="U103" s="106">
        <f>IF(ISBLANK(Table1[[#This Row],[OHC Date]]),$B$7-Table1[[#This Row],[HOC Date]]+1,Table1[[#This Row],[OHC Date]]-Table1[[#This Row],[HOC Date]]+1)/7</f>
        <v>0.5714285714285714</v>
      </c>
      <c r="V103" s="107">
        <v>63.34</v>
      </c>
      <c r="W103" s="107">
        <v>7.28</v>
      </c>
      <c r="X103" s="107">
        <f>ROUND(0.7*Table1[[#This Row],[E&amp;D Rate per unit]]*R103*Table1[[#This Row],[Quantity]],2)</f>
        <v>88.68</v>
      </c>
      <c r="Y103" s="107">
        <f t="shared" si="19"/>
        <v>8.32</v>
      </c>
      <c r="Z103" s="107">
        <f>ROUND(0.3*T103*Table1[[#This Row],[E&amp;D Rate per unit]]*Table1[[#This Row],[Quantity]],2)</f>
        <v>38</v>
      </c>
      <c r="AA103" s="107">
        <f t="shared" si="20"/>
        <v>135</v>
      </c>
      <c r="AB103" s="126">
        <v>135</v>
      </c>
      <c r="AC103" s="126">
        <f>Table1[[#This Row],[Total Amount]]-Table1[[#This Row],[Previous Amount]]</f>
        <v>0</v>
      </c>
      <c r="AD103" s="108"/>
    </row>
    <row r="104" spans="1:30" ht="30" customHeight="1" x14ac:dyDescent="0.3">
      <c r="A104" s="101" t="s">
        <v>89</v>
      </c>
      <c r="B104" s="92" t="s">
        <v>97</v>
      </c>
      <c r="C104" s="102" t="s">
        <v>231</v>
      </c>
      <c r="D104" s="102">
        <v>74695</v>
      </c>
      <c r="E104" s="102">
        <v>76771</v>
      </c>
      <c r="F104" s="103" t="s">
        <v>232</v>
      </c>
      <c r="G104" s="17" t="s">
        <v>190</v>
      </c>
      <c r="H104" s="102" t="s">
        <v>176</v>
      </c>
      <c r="I104" s="102">
        <v>1</v>
      </c>
      <c r="J104" s="102">
        <v>11.5</v>
      </c>
      <c r="K104" s="102">
        <v>1.8</v>
      </c>
      <c r="L104" s="102">
        <v>1</v>
      </c>
      <c r="M104" s="102">
        <v>1</v>
      </c>
      <c r="N104" s="104" t="s">
        <v>160</v>
      </c>
      <c r="O104" s="104">
        <f t="shared" si="18"/>
        <v>20.7</v>
      </c>
      <c r="P104" s="118">
        <v>44853</v>
      </c>
      <c r="Q104" s="118">
        <v>44860</v>
      </c>
      <c r="R104" s="105">
        <v>1</v>
      </c>
      <c r="S104" s="105">
        <v>1</v>
      </c>
      <c r="T104" s="105">
        <v>1</v>
      </c>
      <c r="U104" s="106">
        <f>IF(ISBLANK(Table1[[#This Row],[OHC Date]]),$B$7-Table1[[#This Row],[HOC Date]]+1,Table1[[#This Row],[OHC Date]]-Table1[[#This Row],[HOC Date]]+1)/7</f>
        <v>1.1428571428571428</v>
      </c>
      <c r="V104" s="107">
        <v>6.63</v>
      </c>
      <c r="W104" s="107">
        <v>0.7</v>
      </c>
      <c r="X104" s="107">
        <f>ROUND(0.7*Table1[[#This Row],[E&amp;D Rate per unit]]*R104*Table1[[#This Row],[Quantity]],2)</f>
        <v>96.07</v>
      </c>
      <c r="Y104" s="107">
        <f t="shared" si="19"/>
        <v>16.559999999999999</v>
      </c>
      <c r="Z104" s="107">
        <f>ROUND(0.3*T104*Table1[[#This Row],[E&amp;D Rate per unit]]*Table1[[#This Row],[Quantity]],2)</f>
        <v>41.17</v>
      </c>
      <c r="AA104" s="107">
        <f t="shared" si="20"/>
        <v>153.80000000000001</v>
      </c>
      <c r="AB104" s="126">
        <v>153.80000000000001</v>
      </c>
      <c r="AC104" s="126">
        <f>Table1[[#This Row],[Total Amount]]-Table1[[#This Row],[Previous Amount]]</f>
        <v>0</v>
      </c>
      <c r="AD104" s="108"/>
    </row>
    <row r="105" spans="1:30" ht="30" customHeight="1" x14ac:dyDescent="0.3">
      <c r="A105" s="101" t="s">
        <v>89</v>
      </c>
      <c r="B105" s="92" t="s">
        <v>97</v>
      </c>
      <c r="C105" s="102">
        <v>21</v>
      </c>
      <c r="D105" s="102">
        <v>74696</v>
      </c>
      <c r="E105" s="102">
        <v>76792</v>
      </c>
      <c r="F105" s="103" t="s">
        <v>225</v>
      </c>
      <c r="G105" s="17" t="s">
        <v>226</v>
      </c>
      <c r="H105" s="102" t="s">
        <v>220</v>
      </c>
      <c r="I105" s="102">
        <v>1</v>
      </c>
      <c r="J105" s="102">
        <v>2.5</v>
      </c>
      <c r="K105" s="102">
        <v>1.8</v>
      </c>
      <c r="L105" s="102">
        <v>3</v>
      </c>
      <c r="M105" s="102">
        <v>1</v>
      </c>
      <c r="N105" s="104" t="s">
        <v>221</v>
      </c>
      <c r="O105" s="104">
        <f t="shared" si="18"/>
        <v>3</v>
      </c>
      <c r="P105" s="118">
        <v>44853</v>
      </c>
      <c r="Q105" s="118">
        <v>44872</v>
      </c>
      <c r="R105" s="105">
        <v>1</v>
      </c>
      <c r="S105" s="105">
        <v>1</v>
      </c>
      <c r="T105" s="105">
        <v>1</v>
      </c>
      <c r="U105" s="106">
        <f>IF(ISBLANK(Table1[[#This Row],[OHC Date]]),$B$7-Table1[[#This Row],[HOC Date]]+1,Table1[[#This Row],[OHC Date]]-Table1[[#This Row],[HOC Date]]+1)/7</f>
        <v>2.8571428571428572</v>
      </c>
      <c r="V105" s="107">
        <v>63.34</v>
      </c>
      <c r="W105" s="107">
        <v>7.28</v>
      </c>
      <c r="X105" s="107">
        <f>ROUND(0.7*Table1[[#This Row],[E&amp;D Rate per unit]]*R105*Table1[[#This Row],[Quantity]],2)</f>
        <v>133.01</v>
      </c>
      <c r="Y105" s="107">
        <f t="shared" si="19"/>
        <v>62.4</v>
      </c>
      <c r="Z105" s="107">
        <f>ROUND(0.3*T105*Table1[[#This Row],[E&amp;D Rate per unit]]*Table1[[#This Row],[Quantity]],2)</f>
        <v>57.01</v>
      </c>
      <c r="AA105" s="107">
        <f t="shared" si="20"/>
        <v>252.42</v>
      </c>
      <c r="AB105" s="126">
        <v>252.42</v>
      </c>
      <c r="AC105" s="126">
        <f>Table1[[#This Row],[Total Amount]]-Table1[[#This Row],[Previous Amount]]</f>
        <v>0</v>
      </c>
      <c r="AD105" s="108" t="s">
        <v>218</v>
      </c>
    </row>
    <row r="106" spans="1:30" ht="30" customHeight="1" x14ac:dyDescent="0.3">
      <c r="A106" s="101" t="s">
        <v>89</v>
      </c>
      <c r="B106" s="92" t="s">
        <v>97</v>
      </c>
      <c r="C106" s="102">
        <v>22</v>
      </c>
      <c r="D106" s="102">
        <v>74697</v>
      </c>
      <c r="E106" s="102">
        <v>76776</v>
      </c>
      <c r="F106" s="103" t="s">
        <v>225</v>
      </c>
      <c r="G106" s="17" t="s">
        <v>226</v>
      </c>
      <c r="H106" s="102" t="s">
        <v>205</v>
      </c>
      <c r="I106" s="102">
        <v>1</v>
      </c>
      <c r="J106" s="102">
        <v>3.1</v>
      </c>
      <c r="K106" s="102">
        <v>1.3</v>
      </c>
      <c r="L106" s="102">
        <v>3</v>
      </c>
      <c r="M106" s="102">
        <v>1</v>
      </c>
      <c r="N106" s="104" t="s">
        <v>206</v>
      </c>
      <c r="O106" s="104">
        <f t="shared" si="18"/>
        <v>9.3000000000000007</v>
      </c>
      <c r="P106" s="118">
        <v>44853</v>
      </c>
      <c r="Q106" s="118">
        <v>44867</v>
      </c>
      <c r="R106" s="105">
        <v>1</v>
      </c>
      <c r="S106" s="105">
        <v>1</v>
      </c>
      <c r="T106" s="105">
        <v>1</v>
      </c>
      <c r="U106" s="106">
        <f>IF(ISBLANK(Table1[[#This Row],[OHC Date]]),$B$7-Table1[[#This Row],[HOC Date]]+1,Table1[[#This Row],[OHC Date]]-Table1[[#This Row],[HOC Date]]+1)/7</f>
        <v>2.1428571428571428</v>
      </c>
      <c r="V106" s="107">
        <v>12.01</v>
      </c>
      <c r="W106" s="107">
        <v>0.49</v>
      </c>
      <c r="X106" s="107">
        <f>ROUND(0.7*Table1[[#This Row],[E&amp;D Rate per unit]]*R106*Table1[[#This Row],[Quantity]],2)</f>
        <v>78.19</v>
      </c>
      <c r="Y106" s="107">
        <f t="shared" si="19"/>
        <v>9.77</v>
      </c>
      <c r="Z106" s="107">
        <f>ROUND(0.3*T106*Table1[[#This Row],[E&amp;D Rate per unit]]*Table1[[#This Row],[Quantity]],2)</f>
        <v>33.51</v>
      </c>
      <c r="AA106" s="107">
        <f t="shared" si="20"/>
        <v>121.47</v>
      </c>
      <c r="AB106" s="126">
        <v>121.47</v>
      </c>
      <c r="AC106" s="126">
        <f>Table1[[#This Row],[Total Amount]]-Table1[[#This Row],[Previous Amount]]</f>
        <v>0</v>
      </c>
      <c r="AD106" s="108" t="s">
        <v>218</v>
      </c>
    </row>
    <row r="107" spans="1:30" ht="30" customHeight="1" x14ac:dyDescent="0.3">
      <c r="A107" s="101" t="s">
        <v>89</v>
      </c>
      <c r="B107" s="92" t="s">
        <v>97</v>
      </c>
      <c r="C107" s="102">
        <v>23</v>
      </c>
      <c r="D107" s="102">
        <v>74698</v>
      </c>
      <c r="E107" s="102">
        <v>80538</v>
      </c>
      <c r="F107" s="103" t="s">
        <v>225</v>
      </c>
      <c r="G107" s="17" t="s">
        <v>226</v>
      </c>
      <c r="H107" s="102" t="s">
        <v>118</v>
      </c>
      <c r="I107" s="102">
        <v>1</v>
      </c>
      <c r="J107" s="102">
        <v>3.1</v>
      </c>
      <c r="K107" s="102">
        <v>1.8</v>
      </c>
      <c r="L107" s="102">
        <v>4.5</v>
      </c>
      <c r="M107" s="102">
        <v>1</v>
      </c>
      <c r="N107" s="104" t="s">
        <v>206</v>
      </c>
      <c r="O107" s="104">
        <f t="shared" si="18"/>
        <v>13.95</v>
      </c>
      <c r="P107" s="118">
        <v>44853</v>
      </c>
      <c r="Q107" s="118">
        <v>44891</v>
      </c>
      <c r="R107" s="105">
        <v>1</v>
      </c>
      <c r="S107" s="105">
        <v>1</v>
      </c>
      <c r="T107" s="105">
        <v>1</v>
      </c>
      <c r="U107" s="106">
        <f>IF(ISBLANK(Table1[[#This Row],[OHC Date]]),$B$7-Table1[[#This Row],[HOC Date]]+1,Table1[[#This Row],[OHC Date]]-Table1[[#This Row],[HOC Date]]+1)/7</f>
        <v>5.5714285714285712</v>
      </c>
      <c r="V107" s="107">
        <v>12.01</v>
      </c>
      <c r="W107" s="107">
        <v>0.77</v>
      </c>
      <c r="X107" s="107">
        <f>ROUND(0.7*Table1[[#This Row],[E&amp;D Rate per unit]]*R107*Table1[[#This Row],[Quantity]],2)</f>
        <v>117.28</v>
      </c>
      <c r="Y107" s="107">
        <f t="shared" si="19"/>
        <v>59.85</v>
      </c>
      <c r="Z107" s="107">
        <f>ROUND(0.3*T107*Table1[[#This Row],[E&amp;D Rate per unit]]*Table1[[#This Row],[Quantity]],2)</f>
        <v>50.26</v>
      </c>
      <c r="AA107" s="107">
        <f t="shared" si="20"/>
        <v>227.39</v>
      </c>
      <c r="AB107" s="126">
        <v>227.39</v>
      </c>
      <c r="AC107" s="126">
        <f>Table1[[#This Row],[Total Amount]]-Table1[[#This Row],[Previous Amount]]</f>
        <v>0</v>
      </c>
      <c r="AD107" s="108" t="s">
        <v>218</v>
      </c>
    </row>
    <row r="108" spans="1:30" ht="30" customHeight="1" x14ac:dyDescent="0.3">
      <c r="A108" s="101" t="s">
        <v>89</v>
      </c>
      <c r="B108" s="92" t="s">
        <v>97</v>
      </c>
      <c r="C108" s="102">
        <v>24</v>
      </c>
      <c r="D108" s="102">
        <v>74699</v>
      </c>
      <c r="E108" s="102">
        <v>80516</v>
      </c>
      <c r="F108" s="103" t="s">
        <v>225</v>
      </c>
      <c r="G108" s="17" t="s">
        <v>226</v>
      </c>
      <c r="H108" s="102" t="s">
        <v>220</v>
      </c>
      <c r="I108" s="102">
        <v>1</v>
      </c>
      <c r="J108" s="102">
        <v>2.5</v>
      </c>
      <c r="K108" s="102">
        <v>2.5</v>
      </c>
      <c r="L108" s="102">
        <v>4.5</v>
      </c>
      <c r="M108" s="102">
        <v>1</v>
      </c>
      <c r="N108" s="104" t="s">
        <v>221</v>
      </c>
      <c r="O108" s="104">
        <f t="shared" si="18"/>
        <v>4.5</v>
      </c>
      <c r="P108" s="118">
        <v>44853</v>
      </c>
      <c r="Q108" s="118">
        <v>44880</v>
      </c>
      <c r="R108" s="105">
        <v>1</v>
      </c>
      <c r="S108" s="105">
        <v>1</v>
      </c>
      <c r="T108" s="105">
        <v>1</v>
      </c>
      <c r="U108" s="106">
        <f>IF(ISBLANK(Table1[[#This Row],[OHC Date]]),$B$7-Table1[[#This Row],[HOC Date]]+1,Table1[[#This Row],[OHC Date]]-Table1[[#This Row],[HOC Date]]+1)/7</f>
        <v>4</v>
      </c>
      <c r="V108" s="107">
        <v>63.34</v>
      </c>
      <c r="W108" s="107">
        <v>7.28</v>
      </c>
      <c r="X108" s="107">
        <f>ROUND(0.7*Table1[[#This Row],[E&amp;D Rate per unit]]*R108*Table1[[#This Row],[Quantity]],2)</f>
        <v>199.52</v>
      </c>
      <c r="Y108" s="107">
        <f t="shared" si="19"/>
        <v>131.04</v>
      </c>
      <c r="Z108" s="107">
        <f>ROUND(0.3*T108*Table1[[#This Row],[E&amp;D Rate per unit]]*Table1[[#This Row],[Quantity]],2)</f>
        <v>85.51</v>
      </c>
      <c r="AA108" s="107">
        <f t="shared" si="20"/>
        <v>416.07</v>
      </c>
      <c r="AB108" s="126">
        <v>416.07</v>
      </c>
      <c r="AC108" s="126">
        <f>Table1[[#This Row],[Total Amount]]-Table1[[#This Row],[Previous Amount]]</f>
        <v>0</v>
      </c>
      <c r="AD108" s="108" t="s">
        <v>218</v>
      </c>
    </row>
    <row r="109" spans="1:30" ht="30" customHeight="1" x14ac:dyDescent="0.3">
      <c r="A109" s="101" t="s">
        <v>89</v>
      </c>
      <c r="B109" s="92" t="s">
        <v>97</v>
      </c>
      <c r="C109" s="102">
        <v>25</v>
      </c>
      <c r="D109" s="102">
        <v>77652</v>
      </c>
      <c r="E109" s="102">
        <v>76777</v>
      </c>
      <c r="F109" s="103" t="s">
        <v>225</v>
      </c>
      <c r="G109" s="17" t="s">
        <v>226</v>
      </c>
      <c r="H109" s="102" t="s">
        <v>118</v>
      </c>
      <c r="I109" s="102">
        <v>1</v>
      </c>
      <c r="J109" s="102">
        <v>3.8</v>
      </c>
      <c r="K109" s="102">
        <v>2.5</v>
      </c>
      <c r="L109" s="102">
        <v>4.5</v>
      </c>
      <c r="M109" s="102">
        <v>1</v>
      </c>
      <c r="N109" s="104" t="s">
        <v>206</v>
      </c>
      <c r="O109" s="104">
        <f t="shared" si="18"/>
        <v>17.100000000000001</v>
      </c>
      <c r="P109" s="118">
        <v>44853</v>
      </c>
      <c r="Q109" s="118">
        <v>44867</v>
      </c>
      <c r="R109" s="105">
        <v>1</v>
      </c>
      <c r="S109" s="105">
        <v>1</v>
      </c>
      <c r="T109" s="105">
        <v>1</v>
      </c>
      <c r="U109" s="106">
        <f>IF(ISBLANK(Table1[[#This Row],[OHC Date]]),$B$7-Table1[[#This Row],[HOC Date]]+1,Table1[[#This Row],[OHC Date]]-Table1[[#This Row],[HOC Date]]+1)/7</f>
        <v>2.1428571428571428</v>
      </c>
      <c r="V109" s="107">
        <v>16.760000000000002</v>
      </c>
      <c r="W109" s="107">
        <v>0.77</v>
      </c>
      <c r="X109" s="107">
        <f>ROUND(0.7*Table1[[#This Row],[E&amp;D Rate per unit]]*R109*Table1[[#This Row],[Quantity]],2)</f>
        <v>200.62</v>
      </c>
      <c r="Y109" s="107">
        <f t="shared" si="19"/>
        <v>28.22</v>
      </c>
      <c r="Z109" s="107">
        <f>ROUND(0.3*T109*Table1[[#This Row],[E&amp;D Rate per unit]]*Table1[[#This Row],[Quantity]],2)</f>
        <v>85.98</v>
      </c>
      <c r="AA109" s="107">
        <f t="shared" si="20"/>
        <v>314.82</v>
      </c>
      <c r="AB109" s="126">
        <v>314.82</v>
      </c>
      <c r="AC109" s="126">
        <f>Table1[[#This Row],[Total Amount]]-Table1[[#This Row],[Previous Amount]]</f>
        <v>0</v>
      </c>
      <c r="AD109" s="108" t="s">
        <v>218</v>
      </c>
    </row>
    <row r="110" spans="1:30" ht="30" customHeight="1" x14ac:dyDescent="0.3">
      <c r="A110" s="101" t="s">
        <v>89</v>
      </c>
      <c r="B110" s="92" t="s">
        <v>97</v>
      </c>
      <c r="C110" s="102" t="s">
        <v>233</v>
      </c>
      <c r="D110" s="102">
        <v>77653</v>
      </c>
      <c r="E110" s="102">
        <v>76775</v>
      </c>
      <c r="F110" s="103" t="s">
        <v>162</v>
      </c>
      <c r="G110" s="17" t="s">
        <v>190</v>
      </c>
      <c r="H110" s="102" t="s">
        <v>126</v>
      </c>
      <c r="I110" s="102">
        <v>1</v>
      </c>
      <c r="J110" s="102">
        <v>18</v>
      </c>
      <c r="K110" s="102">
        <v>0.5</v>
      </c>
      <c r="L110" s="102">
        <v>1</v>
      </c>
      <c r="M110" s="102">
        <v>1</v>
      </c>
      <c r="N110" s="104" t="s">
        <v>160</v>
      </c>
      <c r="O110" s="104">
        <f t="shared" si="18"/>
        <v>9</v>
      </c>
      <c r="P110" s="118">
        <v>44853</v>
      </c>
      <c r="Q110" s="118">
        <v>44863</v>
      </c>
      <c r="R110" s="105">
        <v>1</v>
      </c>
      <c r="S110" s="105">
        <v>1</v>
      </c>
      <c r="T110" s="105">
        <v>1</v>
      </c>
      <c r="U110" s="106">
        <f>IF(ISBLANK(Table1[[#This Row],[OHC Date]]),$B$7-Table1[[#This Row],[HOC Date]]+1,Table1[[#This Row],[OHC Date]]-Table1[[#This Row],[HOC Date]]+1)/7</f>
        <v>1.5714285714285714</v>
      </c>
      <c r="V110" s="107">
        <v>32.75</v>
      </c>
      <c r="W110" s="107">
        <v>1.05</v>
      </c>
      <c r="X110" s="107">
        <f>ROUND(0.7*Table1[[#This Row],[E&amp;D Rate per unit]]*R110*Table1[[#This Row],[Quantity]],2)</f>
        <v>206.33</v>
      </c>
      <c r="Y110" s="107">
        <f t="shared" si="19"/>
        <v>14.85</v>
      </c>
      <c r="Z110" s="107">
        <f>ROUND(0.3*T110*Table1[[#This Row],[E&amp;D Rate per unit]]*Table1[[#This Row],[Quantity]],2)</f>
        <v>88.43</v>
      </c>
      <c r="AA110" s="107">
        <f t="shared" si="20"/>
        <v>309.61</v>
      </c>
      <c r="AB110" s="126">
        <v>309.61</v>
      </c>
      <c r="AC110" s="126">
        <f>Table1[[#This Row],[Total Amount]]-Table1[[#This Row],[Previous Amount]]</f>
        <v>0</v>
      </c>
      <c r="AD110" s="108"/>
    </row>
    <row r="111" spans="1:30" ht="30" customHeight="1" x14ac:dyDescent="0.3">
      <c r="A111" s="101" t="s">
        <v>89</v>
      </c>
      <c r="B111" s="92" t="s">
        <v>97</v>
      </c>
      <c r="C111" s="102">
        <v>26</v>
      </c>
      <c r="D111" s="102">
        <v>77654</v>
      </c>
      <c r="E111" s="102">
        <v>80501</v>
      </c>
      <c r="F111" s="103" t="s">
        <v>234</v>
      </c>
      <c r="G111" s="17" t="s">
        <v>235</v>
      </c>
      <c r="H111" s="102" t="s">
        <v>220</v>
      </c>
      <c r="I111" s="102">
        <v>1</v>
      </c>
      <c r="J111" s="102">
        <v>1.8</v>
      </c>
      <c r="K111" s="102">
        <v>1</v>
      </c>
      <c r="L111" s="102">
        <v>2</v>
      </c>
      <c r="M111" s="102">
        <v>1</v>
      </c>
      <c r="N111" s="104" t="s">
        <v>221</v>
      </c>
      <c r="O111" s="104">
        <f t="shared" si="18"/>
        <v>2</v>
      </c>
      <c r="P111" s="118">
        <v>44853</v>
      </c>
      <c r="Q111" s="118">
        <v>44869</v>
      </c>
      <c r="R111" s="105">
        <v>1</v>
      </c>
      <c r="S111" s="105">
        <v>1</v>
      </c>
      <c r="T111" s="105">
        <v>1</v>
      </c>
      <c r="U111" s="106">
        <f>IF(ISBLANK(Table1[[#This Row],[OHC Date]]),$B$7-Table1[[#This Row],[HOC Date]]+1,Table1[[#This Row],[OHC Date]]-Table1[[#This Row],[HOC Date]]+1)/7</f>
        <v>2.4285714285714284</v>
      </c>
      <c r="V111" s="107">
        <v>63.34</v>
      </c>
      <c r="W111" s="107">
        <v>7.28</v>
      </c>
      <c r="X111" s="107">
        <f>ROUND(0.7*Table1[[#This Row],[E&amp;D Rate per unit]]*R111*Table1[[#This Row],[Quantity]],2)</f>
        <v>88.68</v>
      </c>
      <c r="Y111" s="107">
        <f t="shared" si="19"/>
        <v>35.36</v>
      </c>
      <c r="Z111" s="107">
        <f>ROUND(0.3*T111*Table1[[#This Row],[E&amp;D Rate per unit]]*Table1[[#This Row],[Quantity]],2)</f>
        <v>38</v>
      </c>
      <c r="AA111" s="107">
        <f t="shared" si="20"/>
        <v>162.04</v>
      </c>
      <c r="AB111" s="126">
        <v>162.04</v>
      </c>
      <c r="AC111" s="126">
        <f>Table1[[#This Row],[Total Amount]]-Table1[[#This Row],[Previous Amount]]</f>
        <v>0</v>
      </c>
      <c r="AD111" s="108"/>
    </row>
    <row r="112" spans="1:30" ht="30" customHeight="1" x14ac:dyDescent="0.3">
      <c r="A112" s="101" t="s">
        <v>89</v>
      </c>
      <c r="B112" s="92" t="s">
        <v>97</v>
      </c>
      <c r="C112" s="102">
        <v>27</v>
      </c>
      <c r="D112" s="102">
        <v>77655</v>
      </c>
      <c r="E112" s="102">
        <v>80525</v>
      </c>
      <c r="F112" s="103" t="s">
        <v>225</v>
      </c>
      <c r="G112" s="17" t="s">
        <v>226</v>
      </c>
      <c r="H112" s="102" t="s">
        <v>205</v>
      </c>
      <c r="I112" s="102">
        <v>1</v>
      </c>
      <c r="J112" s="102">
        <v>5</v>
      </c>
      <c r="K112" s="102">
        <v>1.3</v>
      </c>
      <c r="L112" s="102">
        <v>4.5</v>
      </c>
      <c r="M112" s="102">
        <v>1</v>
      </c>
      <c r="N112" s="104" t="s">
        <v>206</v>
      </c>
      <c r="O112" s="104">
        <f t="shared" si="18"/>
        <v>22.5</v>
      </c>
      <c r="P112" s="118">
        <v>44853</v>
      </c>
      <c r="Q112" s="118">
        <v>44881</v>
      </c>
      <c r="R112" s="105">
        <v>1</v>
      </c>
      <c r="S112" s="105">
        <v>1</v>
      </c>
      <c r="T112" s="105">
        <v>1</v>
      </c>
      <c r="U112" s="106">
        <f>IF(ISBLANK(Table1[[#This Row],[OHC Date]]),$B$7-Table1[[#This Row],[HOC Date]]+1,Table1[[#This Row],[OHC Date]]-Table1[[#This Row],[HOC Date]]+1)/7</f>
        <v>4.1428571428571432</v>
      </c>
      <c r="V112" s="107">
        <v>12.01</v>
      </c>
      <c r="W112" s="107">
        <v>0.49</v>
      </c>
      <c r="X112" s="107">
        <f>ROUND(0.7*Table1[[#This Row],[E&amp;D Rate per unit]]*R112*Table1[[#This Row],[Quantity]],2)</f>
        <v>189.16</v>
      </c>
      <c r="Y112" s="107">
        <f t="shared" si="19"/>
        <v>45.68</v>
      </c>
      <c r="Z112" s="107">
        <f>ROUND(0.3*T112*Table1[[#This Row],[E&amp;D Rate per unit]]*Table1[[#This Row],[Quantity]],2)</f>
        <v>81.069999999999993</v>
      </c>
      <c r="AA112" s="107">
        <f t="shared" si="20"/>
        <v>315.91000000000003</v>
      </c>
      <c r="AB112" s="126">
        <v>315.91000000000003</v>
      </c>
      <c r="AC112" s="126">
        <f>Table1[[#This Row],[Total Amount]]-Table1[[#This Row],[Previous Amount]]</f>
        <v>0</v>
      </c>
      <c r="AD112" s="108" t="s">
        <v>218</v>
      </c>
    </row>
    <row r="113" spans="1:30" ht="30" customHeight="1" x14ac:dyDescent="0.3">
      <c r="A113" s="101" t="s">
        <v>89</v>
      </c>
      <c r="B113" s="92" t="s">
        <v>97</v>
      </c>
      <c r="C113" s="102">
        <v>28</v>
      </c>
      <c r="D113" s="102">
        <v>77656</v>
      </c>
      <c r="E113" s="102">
        <v>80507</v>
      </c>
      <c r="F113" s="103" t="s">
        <v>225</v>
      </c>
      <c r="G113" s="17" t="s">
        <v>226</v>
      </c>
      <c r="H113" s="102" t="s">
        <v>220</v>
      </c>
      <c r="I113" s="102">
        <v>1</v>
      </c>
      <c r="J113" s="102">
        <v>2.5</v>
      </c>
      <c r="K113" s="102">
        <v>1.8</v>
      </c>
      <c r="L113" s="102">
        <v>4.5</v>
      </c>
      <c r="M113" s="102">
        <v>1</v>
      </c>
      <c r="N113" s="104" t="s">
        <v>221</v>
      </c>
      <c r="O113" s="104">
        <f t="shared" si="18"/>
        <v>4.5</v>
      </c>
      <c r="P113" s="118">
        <v>44854</v>
      </c>
      <c r="Q113" s="118">
        <v>44876</v>
      </c>
      <c r="R113" s="105">
        <v>1</v>
      </c>
      <c r="S113" s="105">
        <v>1</v>
      </c>
      <c r="T113" s="105">
        <v>1</v>
      </c>
      <c r="U113" s="106">
        <f>IF(ISBLANK(Table1[[#This Row],[OHC Date]]),$B$7-Table1[[#This Row],[HOC Date]]+1,Table1[[#This Row],[OHC Date]]-Table1[[#This Row],[HOC Date]]+1)/7</f>
        <v>3.2857142857142856</v>
      </c>
      <c r="V113" s="107">
        <v>63.34</v>
      </c>
      <c r="W113" s="107">
        <v>7.28</v>
      </c>
      <c r="X113" s="107">
        <f>ROUND(0.7*Table1[[#This Row],[E&amp;D Rate per unit]]*R113*Table1[[#This Row],[Quantity]],2)</f>
        <v>199.52</v>
      </c>
      <c r="Y113" s="107">
        <f t="shared" si="19"/>
        <v>107.64</v>
      </c>
      <c r="Z113" s="107">
        <f>ROUND(0.3*T113*Table1[[#This Row],[E&amp;D Rate per unit]]*Table1[[#This Row],[Quantity]],2)</f>
        <v>85.51</v>
      </c>
      <c r="AA113" s="107">
        <f t="shared" si="20"/>
        <v>392.67</v>
      </c>
      <c r="AB113" s="126">
        <v>392.67</v>
      </c>
      <c r="AC113" s="126">
        <f>Table1[[#This Row],[Total Amount]]-Table1[[#This Row],[Previous Amount]]</f>
        <v>0</v>
      </c>
      <c r="AD113" s="108" t="s">
        <v>218</v>
      </c>
    </row>
    <row r="114" spans="1:30" ht="30" customHeight="1" x14ac:dyDescent="0.3">
      <c r="A114" s="101" t="s">
        <v>89</v>
      </c>
      <c r="B114" s="92" t="s">
        <v>97</v>
      </c>
      <c r="C114" s="102">
        <v>28</v>
      </c>
      <c r="D114" s="102">
        <v>77656</v>
      </c>
      <c r="E114" s="102">
        <v>80507</v>
      </c>
      <c r="F114" s="103" t="s">
        <v>225</v>
      </c>
      <c r="G114" s="17" t="s">
        <v>226</v>
      </c>
      <c r="H114" s="102" t="s">
        <v>176</v>
      </c>
      <c r="I114" s="102">
        <v>1</v>
      </c>
      <c r="J114" s="102">
        <v>2.5</v>
      </c>
      <c r="K114" s="102">
        <v>1.8</v>
      </c>
      <c r="L114" s="102"/>
      <c r="M114" s="102">
        <v>1</v>
      </c>
      <c r="N114" s="104" t="s">
        <v>160</v>
      </c>
      <c r="O114" s="104">
        <f t="shared" si="18"/>
        <v>4.5</v>
      </c>
      <c r="P114" s="118">
        <v>44854</v>
      </c>
      <c r="Q114" s="118">
        <v>44876</v>
      </c>
      <c r="R114" s="105">
        <v>1</v>
      </c>
      <c r="S114" s="105">
        <v>1</v>
      </c>
      <c r="T114" s="105">
        <v>1</v>
      </c>
      <c r="U114" s="106">
        <f>IF(ISBLANK(Table1[[#This Row],[OHC Date]]),$B$7-Table1[[#This Row],[HOC Date]]+1,Table1[[#This Row],[OHC Date]]-Table1[[#This Row],[HOC Date]]+1)/7</f>
        <v>3.2857142857142856</v>
      </c>
      <c r="V114" s="107">
        <v>6.63</v>
      </c>
      <c r="W114" s="107">
        <v>0.7</v>
      </c>
      <c r="X114" s="107">
        <f>ROUND(0.7*Table1[[#This Row],[E&amp;D Rate per unit]]*R114*Table1[[#This Row],[Quantity]],2)</f>
        <v>20.88</v>
      </c>
      <c r="Y114" s="107">
        <f t="shared" si="19"/>
        <v>10.35</v>
      </c>
      <c r="Z114" s="107">
        <f>ROUND(0.3*T114*Table1[[#This Row],[E&amp;D Rate per unit]]*Table1[[#This Row],[Quantity]],2)</f>
        <v>8.9499999999999993</v>
      </c>
      <c r="AA114" s="107">
        <f t="shared" si="20"/>
        <v>40.18</v>
      </c>
      <c r="AB114" s="126">
        <v>40.18</v>
      </c>
      <c r="AC114" s="126">
        <f>Table1[[#This Row],[Total Amount]]-Table1[[#This Row],[Previous Amount]]</f>
        <v>0</v>
      </c>
      <c r="AD114" s="108" t="s">
        <v>218</v>
      </c>
    </row>
    <row r="115" spans="1:30" ht="30" customHeight="1" x14ac:dyDescent="0.3">
      <c r="A115" s="101" t="s">
        <v>89</v>
      </c>
      <c r="B115" s="92" t="s">
        <v>97</v>
      </c>
      <c r="C115" s="102">
        <v>29</v>
      </c>
      <c r="D115" s="102">
        <v>77657</v>
      </c>
      <c r="E115" s="102">
        <v>80557</v>
      </c>
      <c r="F115" s="103" t="s">
        <v>225</v>
      </c>
      <c r="G115" s="17" t="s">
        <v>226</v>
      </c>
      <c r="H115" s="102" t="s">
        <v>220</v>
      </c>
      <c r="I115" s="102">
        <v>1</v>
      </c>
      <c r="J115" s="102">
        <v>2.5</v>
      </c>
      <c r="K115" s="102">
        <v>1.8</v>
      </c>
      <c r="L115" s="102">
        <v>4.5</v>
      </c>
      <c r="M115" s="102">
        <v>1</v>
      </c>
      <c r="N115" s="104" t="s">
        <v>221</v>
      </c>
      <c r="O115" s="104">
        <f t="shared" si="18"/>
        <v>4.5</v>
      </c>
      <c r="P115" s="118">
        <v>44854</v>
      </c>
      <c r="Q115" s="118">
        <v>44905</v>
      </c>
      <c r="R115" s="105">
        <v>1</v>
      </c>
      <c r="S115" s="105">
        <v>1</v>
      </c>
      <c r="T115" s="105">
        <v>1</v>
      </c>
      <c r="U115" s="106">
        <f>IF(ISBLANK(Table1[[#This Row],[OHC Date]]),$B$7-Table1[[#This Row],[HOC Date]]+1,Table1[[#This Row],[OHC Date]]-Table1[[#This Row],[HOC Date]]+1)/7</f>
        <v>7.4285714285714288</v>
      </c>
      <c r="V115" s="107">
        <v>63.34</v>
      </c>
      <c r="W115" s="107">
        <v>7.28</v>
      </c>
      <c r="X115" s="107">
        <f>ROUND(0.7*Table1[[#This Row],[E&amp;D Rate per unit]]*R115*Table1[[#This Row],[Quantity]],2)</f>
        <v>199.52</v>
      </c>
      <c r="Y115" s="107">
        <f t="shared" si="19"/>
        <v>243.36</v>
      </c>
      <c r="Z115" s="107">
        <f>ROUND(0.3*T115*Table1[[#This Row],[E&amp;D Rate per unit]]*Table1[[#This Row],[Quantity]],2)</f>
        <v>85.51</v>
      </c>
      <c r="AA115" s="107">
        <f t="shared" si="20"/>
        <v>528.39</v>
      </c>
      <c r="AB115" s="126">
        <v>528.39</v>
      </c>
      <c r="AC115" s="126">
        <f>Table1[[#This Row],[Total Amount]]-Table1[[#This Row],[Previous Amount]]</f>
        <v>0</v>
      </c>
      <c r="AD115" s="108" t="s">
        <v>218</v>
      </c>
    </row>
    <row r="116" spans="1:30" ht="30" customHeight="1" x14ac:dyDescent="0.3">
      <c r="A116" s="101" t="s">
        <v>89</v>
      </c>
      <c r="B116" s="92" t="s">
        <v>97</v>
      </c>
      <c r="C116" s="102" t="s">
        <v>236</v>
      </c>
      <c r="D116" s="102">
        <v>77661</v>
      </c>
      <c r="E116" s="102">
        <v>76774</v>
      </c>
      <c r="F116" s="103" t="s">
        <v>238</v>
      </c>
      <c r="G116" s="17" t="s">
        <v>159</v>
      </c>
      <c r="H116" s="102" t="s">
        <v>126</v>
      </c>
      <c r="I116" s="102">
        <v>1</v>
      </c>
      <c r="J116" s="102">
        <v>10.8</v>
      </c>
      <c r="K116" s="102">
        <v>0.5</v>
      </c>
      <c r="L116" s="102">
        <v>1</v>
      </c>
      <c r="M116" s="102">
        <v>1</v>
      </c>
      <c r="N116" s="104" t="s">
        <v>160</v>
      </c>
      <c r="O116" s="104">
        <f t="shared" si="18"/>
        <v>5.4</v>
      </c>
      <c r="P116" s="118">
        <v>44855</v>
      </c>
      <c r="Q116" s="118">
        <v>44863</v>
      </c>
      <c r="R116" s="105">
        <v>1</v>
      </c>
      <c r="S116" s="105">
        <v>1</v>
      </c>
      <c r="T116" s="105">
        <v>1</v>
      </c>
      <c r="U116" s="106">
        <f>IF(ISBLANK(Table1[[#This Row],[OHC Date]]),$B$7-Table1[[#This Row],[HOC Date]]+1,Table1[[#This Row],[OHC Date]]-Table1[[#This Row],[HOC Date]]+1)/7</f>
        <v>1.2857142857142858</v>
      </c>
      <c r="V116" s="107">
        <v>32.75</v>
      </c>
      <c r="W116" s="107">
        <v>1.05</v>
      </c>
      <c r="X116" s="107">
        <f>ROUND(0.7*Table1[[#This Row],[E&amp;D Rate per unit]]*R116*Table1[[#This Row],[Quantity]],2)</f>
        <v>123.8</v>
      </c>
      <c r="Y116" s="107">
        <f t="shared" si="19"/>
        <v>7.29</v>
      </c>
      <c r="Z116" s="107">
        <f>ROUND(0.3*T116*Table1[[#This Row],[E&amp;D Rate per unit]]*Table1[[#This Row],[Quantity]],2)</f>
        <v>53.06</v>
      </c>
      <c r="AA116" s="107">
        <f t="shared" si="20"/>
        <v>184.15</v>
      </c>
      <c r="AB116" s="126">
        <v>184.15</v>
      </c>
      <c r="AC116" s="126">
        <f>Table1[[#This Row],[Total Amount]]-Table1[[#This Row],[Previous Amount]]</f>
        <v>0</v>
      </c>
      <c r="AD116" s="108"/>
    </row>
    <row r="117" spans="1:30" ht="30" customHeight="1" x14ac:dyDescent="0.3">
      <c r="A117" s="101" t="s">
        <v>89</v>
      </c>
      <c r="B117" s="92" t="s">
        <v>97</v>
      </c>
      <c r="C117" s="102" t="s">
        <v>237</v>
      </c>
      <c r="D117" s="102">
        <v>77662</v>
      </c>
      <c r="E117" s="102"/>
      <c r="F117" s="103" t="s">
        <v>238</v>
      </c>
      <c r="G117" s="17" t="s">
        <v>190</v>
      </c>
      <c r="H117" s="102" t="s">
        <v>127</v>
      </c>
      <c r="I117" s="102">
        <v>1</v>
      </c>
      <c r="J117" s="102">
        <v>3.6</v>
      </c>
      <c r="K117" s="102">
        <v>0.75</v>
      </c>
      <c r="L117" s="102">
        <v>1</v>
      </c>
      <c r="M117" s="102">
        <v>1</v>
      </c>
      <c r="N117" s="104" t="s">
        <v>160</v>
      </c>
      <c r="O117" s="104">
        <f t="shared" si="18"/>
        <v>2.7</v>
      </c>
      <c r="P117" s="118">
        <v>44855</v>
      </c>
      <c r="Q117" s="118"/>
      <c r="R117" s="105">
        <v>1</v>
      </c>
      <c r="S117" s="105">
        <v>1</v>
      </c>
      <c r="T117" s="105">
        <v>0</v>
      </c>
      <c r="U117" s="106">
        <f>IF(ISBLANK(Table1[[#This Row],[OHC Date]]),$B$7-Table1[[#This Row],[HOC Date]]+1,Table1[[#This Row],[OHC Date]]-Table1[[#This Row],[HOC Date]]+1)/7</f>
        <v>13.857142857142858</v>
      </c>
      <c r="V117" s="107">
        <v>36.520000000000003</v>
      </c>
      <c r="W117" s="107">
        <v>2.94</v>
      </c>
      <c r="X117" s="107">
        <f>ROUND(0.7*Table1[[#This Row],[E&amp;D Rate per unit]]*R117*Table1[[#This Row],[Quantity]],2)</f>
        <v>69.02</v>
      </c>
      <c r="Y117" s="107">
        <f t="shared" si="19"/>
        <v>110</v>
      </c>
      <c r="Z117" s="107">
        <f>ROUND(0.3*T117*Table1[[#This Row],[E&amp;D Rate per unit]]*Table1[[#This Row],[Quantity]],2)</f>
        <v>0</v>
      </c>
      <c r="AA117" s="107">
        <f t="shared" si="20"/>
        <v>179.02</v>
      </c>
      <c r="AB117" s="126">
        <v>143.86000000000001</v>
      </c>
      <c r="AC117" s="126">
        <f>Table1[[#This Row],[Total Amount]]-Table1[[#This Row],[Previous Amount]]</f>
        <v>35.159999999999997</v>
      </c>
      <c r="AD117" s="108"/>
    </row>
    <row r="118" spans="1:30" ht="30" customHeight="1" x14ac:dyDescent="0.3">
      <c r="A118" s="101" t="s">
        <v>239</v>
      </c>
      <c r="B118" s="92" t="s">
        <v>97</v>
      </c>
      <c r="C118" s="102">
        <v>30</v>
      </c>
      <c r="D118" s="102">
        <v>77667</v>
      </c>
      <c r="E118" s="195">
        <v>80865</v>
      </c>
      <c r="F118" s="103" t="s">
        <v>240</v>
      </c>
      <c r="G118" s="17" t="s">
        <v>241</v>
      </c>
      <c r="H118" s="102" t="s">
        <v>205</v>
      </c>
      <c r="I118" s="102">
        <v>1</v>
      </c>
      <c r="J118" s="102">
        <v>4</v>
      </c>
      <c r="K118" s="102">
        <v>1.3</v>
      </c>
      <c r="L118" s="102">
        <v>2</v>
      </c>
      <c r="M118" s="102">
        <v>1</v>
      </c>
      <c r="N118" s="104" t="s">
        <v>56</v>
      </c>
      <c r="O118" s="104">
        <f t="shared" si="18"/>
        <v>1</v>
      </c>
      <c r="P118" s="186">
        <v>44855</v>
      </c>
      <c r="Q118" s="186">
        <v>44930</v>
      </c>
      <c r="R118" s="105">
        <v>1</v>
      </c>
      <c r="S118" s="105">
        <v>1</v>
      </c>
      <c r="T118" s="105">
        <v>1</v>
      </c>
      <c r="U118" s="106">
        <f>IF(ISBLANK(Table1[[#This Row],[OHC Date]]),$B$7-Table1[[#This Row],[HOC Date]]+1,Table1[[#This Row],[OHC Date]]-Table1[[#This Row],[HOC Date]]+1)/7</f>
        <v>10.857142857142858</v>
      </c>
      <c r="V118" s="107">
        <v>916.08</v>
      </c>
      <c r="W118" s="107">
        <v>3.92</v>
      </c>
      <c r="X118" s="107">
        <f>ROUND(0.7*Table1[[#This Row],[E&amp;D Rate per unit]]*R118*Table1[[#This Row],[Quantity]],2)</f>
        <v>641.26</v>
      </c>
      <c r="Y118" s="107">
        <f t="shared" si="19"/>
        <v>42.56</v>
      </c>
      <c r="Z118" s="107">
        <f>ROUND(0.3*T118*Table1[[#This Row],[E&amp;D Rate per unit]]*Table1[[#This Row],[Quantity]],2)</f>
        <v>274.82</v>
      </c>
      <c r="AA118" s="107">
        <f t="shared" si="20"/>
        <v>958.64</v>
      </c>
      <c r="AB118" s="126">
        <v>678.22</v>
      </c>
      <c r="AC118" s="126">
        <f>Table1[[#This Row],[Total Amount]]-Table1[[#This Row],[Previous Amount]]</f>
        <v>280.41999999999996</v>
      </c>
      <c r="AD118" s="130" t="s">
        <v>243</v>
      </c>
    </row>
    <row r="119" spans="1:30" ht="30" customHeight="1" x14ac:dyDescent="0.3">
      <c r="A119" s="101" t="s">
        <v>239</v>
      </c>
      <c r="B119" s="92" t="s">
        <v>97</v>
      </c>
      <c r="C119" s="102" t="s">
        <v>242</v>
      </c>
      <c r="D119" s="102">
        <v>77668</v>
      </c>
      <c r="E119" s="195">
        <v>80867</v>
      </c>
      <c r="F119" s="103" t="s">
        <v>240</v>
      </c>
      <c r="G119" s="17" t="s">
        <v>241</v>
      </c>
      <c r="H119" s="102" t="s">
        <v>205</v>
      </c>
      <c r="I119" s="102">
        <v>1</v>
      </c>
      <c r="J119" s="102">
        <v>8</v>
      </c>
      <c r="K119" s="102">
        <v>1.3</v>
      </c>
      <c r="L119" s="102">
        <v>3</v>
      </c>
      <c r="M119" s="102">
        <v>2</v>
      </c>
      <c r="N119" s="104" t="s">
        <v>56</v>
      </c>
      <c r="O119" s="104">
        <f t="shared" si="18"/>
        <v>1</v>
      </c>
      <c r="P119" s="186">
        <v>44855</v>
      </c>
      <c r="Q119" s="186">
        <v>44930</v>
      </c>
      <c r="R119" s="105">
        <v>1</v>
      </c>
      <c r="S119" s="105">
        <v>1</v>
      </c>
      <c r="T119" s="105">
        <v>1</v>
      </c>
      <c r="U119" s="106">
        <f>IF(ISBLANK(Table1[[#This Row],[OHC Date]]),$B$7-Table1[[#This Row],[HOC Date]]+1,Table1[[#This Row],[OHC Date]]-Table1[[#This Row],[HOC Date]]+1)/7</f>
        <v>10.857142857142858</v>
      </c>
      <c r="V119" s="107">
        <v>2093.27</v>
      </c>
      <c r="W119" s="107">
        <v>22.96</v>
      </c>
      <c r="X119" s="107">
        <f>ROUND(0.7*Table1[[#This Row],[E&amp;D Rate per unit]]*R119*Table1[[#This Row],[Quantity]],2)</f>
        <v>1465.29</v>
      </c>
      <c r="Y119" s="107">
        <f t="shared" si="19"/>
        <v>249.28</v>
      </c>
      <c r="Z119" s="107">
        <f>ROUND(0.3*T119*Table1[[#This Row],[E&amp;D Rate per unit]]*Table1[[#This Row],[Quantity]],2)</f>
        <v>627.98</v>
      </c>
      <c r="AA119" s="107">
        <f t="shared" si="20"/>
        <v>2342.5500000000002</v>
      </c>
      <c r="AB119" s="126">
        <v>1681.77</v>
      </c>
      <c r="AC119" s="126">
        <f>Table1[[#This Row],[Total Amount]]-Table1[[#This Row],[Previous Amount]]</f>
        <v>660.7800000000002</v>
      </c>
      <c r="AD119" s="130" t="s">
        <v>244</v>
      </c>
    </row>
    <row r="120" spans="1:30" ht="30" customHeight="1" x14ac:dyDescent="0.3">
      <c r="A120" s="131" t="s">
        <v>245</v>
      </c>
      <c r="B120" s="92" t="s">
        <v>97</v>
      </c>
      <c r="C120" s="102">
        <v>31</v>
      </c>
      <c r="D120" s="102">
        <v>77669</v>
      </c>
      <c r="E120" s="102"/>
      <c r="F120" s="17" t="s">
        <v>247</v>
      </c>
      <c r="G120" s="17" t="s">
        <v>200</v>
      </c>
      <c r="H120" s="102" t="s">
        <v>248</v>
      </c>
      <c r="I120" s="102">
        <v>1</v>
      </c>
      <c r="J120" s="102">
        <v>22.5</v>
      </c>
      <c r="K120" s="102">
        <v>3.6</v>
      </c>
      <c r="L120" s="102"/>
      <c r="M120" s="102">
        <v>1</v>
      </c>
      <c r="N120" s="104" t="s">
        <v>56</v>
      </c>
      <c r="O120" s="104">
        <f t="shared" si="18"/>
        <v>1</v>
      </c>
      <c r="P120" s="186">
        <v>44855</v>
      </c>
      <c r="Q120" s="118"/>
      <c r="R120" s="105">
        <v>1</v>
      </c>
      <c r="S120" s="105">
        <v>1</v>
      </c>
      <c r="T120" s="105">
        <v>0</v>
      </c>
      <c r="U120" s="106">
        <f>IF(ISBLANK(Table1[[#This Row],[OHC Date]]),$B$7-Table1[[#This Row],[HOC Date]]+1,Table1[[#This Row],[OHC Date]]-Table1[[#This Row],[HOC Date]]+1)/7</f>
        <v>13.857142857142858</v>
      </c>
      <c r="V120" s="107">
        <v>13343.06</v>
      </c>
      <c r="W120" s="107">
        <v>660.1</v>
      </c>
      <c r="X120" s="107">
        <f>ROUND(0.7*Table1[[#This Row],[E&amp;D Rate per unit]]*R120*Table1[[#This Row],[Quantity]],2)</f>
        <v>9340.14</v>
      </c>
      <c r="Y120" s="107">
        <f t="shared" si="19"/>
        <v>9147.1</v>
      </c>
      <c r="Z120" s="107">
        <f>ROUND(0.3*T120*Table1[[#This Row],[E&amp;D Rate per unit]]*Table1[[#This Row],[Quantity]],2)</f>
        <v>0</v>
      </c>
      <c r="AA120" s="107">
        <f t="shared" si="20"/>
        <v>18487.240000000002</v>
      </c>
      <c r="AB120" s="126">
        <v>15563.94</v>
      </c>
      <c r="AC120" s="126">
        <f>Table1[[#This Row],[Total Amount]]-Table1[[#This Row],[Previous Amount]]</f>
        <v>2923.3000000000011</v>
      </c>
      <c r="AD120" s="127" t="s">
        <v>249</v>
      </c>
    </row>
    <row r="121" spans="1:30" ht="30" customHeight="1" x14ac:dyDescent="0.3">
      <c r="A121" s="101" t="s">
        <v>89</v>
      </c>
      <c r="B121" s="92" t="s">
        <v>97</v>
      </c>
      <c r="C121" s="102">
        <v>32</v>
      </c>
      <c r="D121" s="102">
        <v>77663</v>
      </c>
      <c r="E121" s="102">
        <v>76779</v>
      </c>
      <c r="F121" s="17" t="s">
        <v>250</v>
      </c>
      <c r="G121" s="17" t="s">
        <v>190</v>
      </c>
      <c r="H121" s="102" t="s">
        <v>205</v>
      </c>
      <c r="I121" s="102">
        <v>1</v>
      </c>
      <c r="J121" s="102">
        <v>3.6</v>
      </c>
      <c r="K121" s="102">
        <v>1.3</v>
      </c>
      <c r="L121" s="102">
        <v>4</v>
      </c>
      <c r="M121" s="102">
        <v>1</v>
      </c>
      <c r="N121" s="104" t="s">
        <v>206</v>
      </c>
      <c r="O121" s="104">
        <f t="shared" si="18"/>
        <v>14.4</v>
      </c>
      <c r="P121" s="118">
        <v>44856</v>
      </c>
      <c r="Q121" s="118">
        <v>44868</v>
      </c>
      <c r="R121" s="105">
        <v>1</v>
      </c>
      <c r="S121" s="105">
        <v>1</v>
      </c>
      <c r="T121" s="105">
        <v>1</v>
      </c>
      <c r="U121" s="106">
        <f>IF(ISBLANK(Table1[[#This Row],[OHC Date]]),$B$7-Table1[[#This Row],[HOC Date]]+1,Table1[[#This Row],[OHC Date]]-Table1[[#This Row],[HOC Date]]+1)/7</f>
        <v>1.8571428571428572</v>
      </c>
      <c r="V121" s="107">
        <v>12.01</v>
      </c>
      <c r="W121" s="107">
        <v>0.49</v>
      </c>
      <c r="X121" s="107">
        <f>ROUND(0.7*Table1[[#This Row],[E&amp;D Rate per unit]]*R121*Table1[[#This Row],[Quantity]],2)</f>
        <v>121.06</v>
      </c>
      <c r="Y121" s="107">
        <f t="shared" si="19"/>
        <v>13.1</v>
      </c>
      <c r="Z121" s="107">
        <f>ROUND(0.3*T121*Table1[[#This Row],[E&amp;D Rate per unit]]*Table1[[#This Row],[Quantity]],2)</f>
        <v>51.88</v>
      </c>
      <c r="AA121" s="107">
        <f t="shared" si="20"/>
        <v>186.04</v>
      </c>
      <c r="AB121" s="126">
        <v>186.04</v>
      </c>
      <c r="AC121" s="126">
        <f>Table1[[#This Row],[Total Amount]]-Table1[[#This Row],[Previous Amount]]</f>
        <v>0</v>
      </c>
      <c r="AD121" s="108"/>
    </row>
    <row r="122" spans="1:30" ht="30" customHeight="1" x14ac:dyDescent="0.3">
      <c r="A122" s="101" t="s">
        <v>89</v>
      </c>
      <c r="B122" s="92" t="s">
        <v>97</v>
      </c>
      <c r="C122" s="102">
        <v>32</v>
      </c>
      <c r="D122" s="102">
        <v>77663</v>
      </c>
      <c r="E122" s="102">
        <v>76779</v>
      </c>
      <c r="F122" s="17" t="s">
        <v>250</v>
      </c>
      <c r="G122" s="17" t="s">
        <v>190</v>
      </c>
      <c r="H122" s="102" t="s">
        <v>176</v>
      </c>
      <c r="I122" s="16">
        <v>1</v>
      </c>
      <c r="J122" s="16">
        <v>3.6</v>
      </c>
      <c r="K122" s="16">
        <v>1.3</v>
      </c>
      <c r="L122" s="16">
        <v>1</v>
      </c>
      <c r="M122" s="16">
        <v>1</v>
      </c>
      <c r="N122" s="93" t="s">
        <v>160</v>
      </c>
      <c r="O122" s="93">
        <f t="shared" si="18"/>
        <v>4.68</v>
      </c>
      <c r="P122" s="18">
        <v>44856</v>
      </c>
      <c r="Q122" s="118">
        <v>44868</v>
      </c>
      <c r="R122" s="19">
        <v>1</v>
      </c>
      <c r="S122" s="19">
        <v>1</v>
      </c>
      <c r="T122" s="105">
        <v>1</v>
      </c>
      <c r="U122" s="20">
        <f>IF(ISBLANK(Table1[[#This Row],[OHC Date]]),$B$7-Table1[[#This Row],[HOC Date]]+1,Table1[[#This Row],[OHC Date]]-Table1[[#This Row],[HOC Date]]+1)/7</f>
        <v>1.8571428571428572</v>
      </c>
      <c r="V122" s="21">
        <v>6.63</v>
      </c>
      <c r="W122" s="21">
        <v>0.7</v>
      </c>
      <c r="X122" s="21">
        <f>ROUND(0.7*Table1[[#This Row],[E&amp;D Rate per unit]]*R122*Table1[[#This Row],[Quantity]],2)</f>
        <v>21.72</v>
      </c>
      <c r="Y122" s="21">
        <f t="shared" si="19"/>
        <v>6.08</v>
      </c>
      <c r="Z122" s="21">
        <f>ROUND(0.3*T122*Table1[[#This Row],[E&amp;D Rate per unit]]*Table1[[#This Row],[Quantity]],2)</f>
        <v>9.31</v>
      </c>
      <c r="AA122" s="21">
        <f t="shared" si="20"/>
        <v>37.11</v>
      </c>
      <c r="AB122" s="126">
        <v>37.11</v>
      </c>
      <c r="AC122" s="129">
        <f>Table1[[#This Row],[Total Amount]]-Table1[[#This Row],[Previous Amount]]</f>
        <v>0</v>
      </c>
      <c r="AD122" s="127"/>
    </row>
    <row r="123" spans="1:30" ht="30" customHeight="1" x14ac:dyDescent="0.3">
      <c r="A123" s="101" t="s">
        <v>89</v>
      </c>
      <c r="B123" s="92" t="s">
        <v>97</v>
      </c>
      <c r="C123" s="16">
        <v>33</v>
      </c>
      <c r="D123" s="16">
        <v>77664</v>
      </c>
      <c r="E123" s="16">
        <v>76772</v>
      </c>
      <c r="F123" s="17" t="s">
        <v>252</v>
      </c>
      <c r="G123" s="17" t="s">
        <v>251</v>
      </c>
      <c r="H123" s="102" t="s">
        <v>220</v>
      </c>
      <c r="I123" s="16">
        <v>1</v>
      </c>
      <c r="J123" s="16">
        <v>1.8</v>
      </c>
      <c r="K123" s="16">
        <v>1.3</v>
      </c>
      <c r="L123" s="16">
        <v>1</v>
      </c>
      <c r="M123" s="16">
        <v>1</v>
      </c>
      <c r="N123" s="93" t="s">
        <v>221</v>
      </c>
      <c r="O123" s="93">
        <f t="shared" si="18"/>
        <v>1</v>
      </c>
      <c r="P123" s="18">
        <v>44856</v>
      </c>
      <c r="Q123" s="18">
        <v>44861</v>
      </c>
      <c r="R123" s="19">
        <v>1</v>
      </c>
      <c r="S123" s="19">
        <v>1</v>
      </c>
      <c r="T123" s="19">
        <v>1</v>
      </c>
      <c r="U123" s="20">
        <f>IF(ISBLANK(Table1[[#This Row],[OHC Date]]),$B$7-Table1[[#This Row],[HOC Date]]+1,Table1[[#This Row],[OHC Date]]-Table1[[#This Row],[HOC Date]]+1)/7</f>
        <v>0.8571428571428571</v>
      </c>
      <c r="V123" s="21">
        <v>63.34</v>
      </c>
      <c r="W123" s="21">
        <v>7.28</v>
      </c>
      <c r="X123" s="21">
        <f>ROUND(0.7*Table1[[#This Row],[E&amp;D Rate per unit]]*R123*Table1[[#This Row],[Quantity]],2)</f>
        <v>44.34</v>
      </c>
      <c r="Y123" s="21">
        <f t="shared" si="19"/>
        <v>6.24</v>
      </c>
      <c r="Z123" s="21">
        <f>ROUND(0.3*T123*Table1[[#This Row],[E&amp;D Rate per unit]]*Table1[[#This Row],[Quantity]],2)</f>
        <v>19</v>
      </c>
      <c r="AA123" s="21">
        <f t="shared" si="20"/>
        <v>69.58</v>
      </c>
      <c r="AB123" s="126">
        <v>69.58</v>
      </c>
      <c r="AC123" s="129">
        <f>Table1[[#This Row],[Total Amount]]-Table1[[#This Row],[Previous Amount]]</f>
        <v>0</v>
      </c>
      <c r="AD123" s="127"/>
    </row>
    <row r="124" spans="1:30" ht="30" customHeight="1" x14ac:dyDescent="0.3">
      <c r="A124" s="101" t="s">
        <v>89</v>
      </c>
      <c r="B124" s="92" t="s">
        <v>97</v>
      </c>
      <c r="C124" s="16">
        <v>34</v>
      </c>
      <c r="D124" s="16">
        <v>77665</v>
      </c>
      <c r="E124" s="187">
        <v>80871</v>
      </c>
      <c r="F124" s="17" t="s">
        <v>252</v>
      </c>
      <c r="G124" s="17" t="s">
        <v>251</v>
      </c>
      <c r="H124" s="102" t="s">
        <v>220</v>
      </c>
      <c r="I124" s="16">
        <v>1</v>
      </c>
      <c r="J124" s="16">
        <v>1.8</v>
      </c>
      <c r="K124" s="16">
        <v>1.3</v>
      </c>
      <c r="L124" s="16">
        <v>1</v>
      </c>
      <c r="M124" s="16">
        <v>1</v>
      </c>
      <c r="N124" s="93" t="s">
        <v>221</v>
      </c>
      <c r="O124" s="93">
        <f t="shared" si="18"/>
        <v>1</v>
      </c>
      <c r="P124" s="188">
        <v>44856</v>
      </c>
      <c r="Q124" s="188">
        <v>44932</v>
      </c>
      <c r="R124" s="19">
        <v>1</v>
      </c>
      <c r="S124" s="19">
        <v>1</v>
      </c>
      <c r="T124" s="19">
        <v>1</v>
      </c>
      <c r="U124" s="20">
        <f>IF(ISBLANK(Table1[[#This Row],[OHC Date]]),$B$7-Table1[[#This Row],[HOC Date]]+1,Table1[[#This Row],[OHC Date]]-Table1[[#This Row],[HOC Date]]+1)/7</f>
        <v>11</v>
      </c>
      <c r="V124" s="21">
        <v>63.34</v>
      </c>
      <c r="W124" s="21">
        <v>7.28</v>
      </c>
      <c r="X124" s="21">
        <f>ROUND(0.7*Table1[[#This Row],[E&amp;D Rate per unit]]*R124*Table1[[#This Row],[Quantity]],2)</f>
        <v>44.34</v>
      </c>
      <c r="Y124" s="21">
        <f t="shared" si="19"/>
        <v>80.08</v>
      </c>
      <c r="Z124" s="21">
        <f>ROUND(0.3*T124*Table1[[#This Row],[E&amp;D Rate per unit]]*Table1[[#This Row],[Quantity]],2)</f>
        <v>19</v>
      </c>
      <c r="AA124" s="21">
        <f t="shared" si="20"/>
        <v>143.41999999999999</v>
      </c>
      <c r="AB124" s="126">
        <v>111.94</v>
      </c>
      <c r="AC124" s="129">
        <f>Table1[[#This Row],[Total Amount]]-Table1[[#This Row],[Previous Amount]]</f>
        <v>31.47999999999999</v>
      </c>
      <c r="AD124" s="127"/>
    </row>
    <row r="125" spans="1:30" ht="30" customHeight="1" x14ac:dyDescent="0.3">
      <c r="A125" s="101" t="s">
        <v>89</v>
      </c>
      <c r="B125" s="92" t="s">
        <v>97</v>
      </c>
      <c r="C125" s="16" t="s">
        <v>292</v>
      </c>
      <c r="D125" s="16">
        <v>77670</v>
      </c>
      <c r="E125" s="16">
        <v>76786</v>
      </c>
      <c r="F125" s="17" t="s">
        <v>293</v>
      </c>
      <c r="G125" s="17" t="s">
        <v>294</v>
      </c>
      <c r="H125" s="102" t="s">
        <v>176</v>
      </c>
      <c r="I125" s="16">
        <v>3</v>
      </c>
      <c r="J125" s="16">
        <v>1.8</v>
      </c>
      <c r="K125" s="16">
        <v>1.8</v>
      </c>
      <c r="L125" s="16">
        <v>1</v>
      </c>
      <c r="M125" s="16">
        <v>3</v>
      </c>
      <c r="N125" s="93" t="s">
        <v>160</v>
      </c>
      <c r="O125" s="93">
        <f>ROUND(IF(N125="m3",I125*J125*K125*L125,IF(N125="m2-LxH",I125*J125*L125,IF(N125="m2-LxW",I125*J125*K125,IF(N125="rm",I125*L125,IF(N125="lm",I125*J125,IF(N125="unit",I125,"NA")))))),2)</f>
        <v>9.7200000000000006</v>
      </c>
      <c r="P125" s="18">
        <v>44859</v>
      </c>
      <c r="Q125" s="18">
        <v>44870</v>
      </c>
      <c r="R125" s="19">
        <v>1</v>
      </c>
      <c r="S125" s="19">
        <v>1</v>
      </c>
      <c r="T125" s="19">
        <v>1</v>
      </c>
      <c r="U125" s="20">
        <f>IF(ISBLANK(Table1[[#This Row],[OHC Date]]),$B$7-Table1[[#This Row],[HOC Date]]+1,Table1[[#This Row],[OHC Date]]-Table1[[#This Row],[HOC Date]]+1)/7</f>
        <v>1.7142857142857142</v>
      </c>
      <c r="V125" s="21">
        <v>6.63</v>
      </c>
      <c r="W125" s="21">
        <v>0.7</v>
      </c>
      <c r="X125" s="21">
        <f>ROUND(0.7*Table1[[#This Row],[E&amp;D Rate per unit]]*R125*Table1[[#This Row],[Quantity]],2)</f>
        <v>45.11</v>
      </c>
      <c r="Y125" s="21">
        <f>ROUND(O125*U125*W125*S125,2)</f>
        <v>11.66</v>
      </c>
      <c r="Z125" s="21">
        <f>ROUND(0.3*T125*Table1[[#This Row],[E&amp;D Rate per unit]]*Table1[[#This Row],[Quantity]],2)</f>
        <v>19.329999999999998</v>
      </c>
      <c r="AA125" s="21">
        <f>ROUND(X125+Z125+Y125,2)</f>
        <v>76.099999999999994</v>
      </c>
      <c r="AB125" s="126">
        <v>76.099999999999994</v>
      </c>
      <c r="AC125" s="129">
        <f>Table1[[#This Row],[Total Amount]]-Table1[[#This Row],[Previous Amount]]</f>
        <v>0</v>
      </c>
      <c r="AD125" s="127"/>
    </row>
    <row r="126" spans="1:30" ht="30" customHeight="1" x14ac:dyDescent="0.3">
      <c r="A126" s="101" t="s">
        <v>89</v>
      </c>
      <c r="B126" s="92" t="s">
        <v>96</v>
      </c>
      <c r="C126" s="16">
        <v>2</v>
      </c>
      <c r="D126" s="16">
        <v>74603</v>
      </c>
      <c r="E126" s="16">
        <v>76828</v>
      </c>
      <c r="F126" s="17" t="s">
        <v>253</v>
      </c>
      <c r="G126" s="17" t="s">
        <v>254</v>
      </c>
      <c r="H126" s="102" t="s">
        <v>118</v>
      </c>
      <c r="I126" s="16">
        <v>1</v>
      </c>
      <c r="J126" s="16">
        <v>4.9000000000000004</v>
      </c>
      <c r="K126" s="16">
        <v>1.8</v>
      </c>
      <c r="L126" s="16">
        <v>4.2</v>
      </c>
      <c r="M126" s="16">
        <v>1</v>
      </c>
      <c r="N126" s="93" t="s">
        <v>206</v>
      </c>
      <c r="O126" s="93">
        <f t="shared" si="18"/>
        <v>20.58</v>
      </c>
      <c r="P126" s="18">
        <v>44838</v>
      </c>
      <c r="Q126" s="18">
        <v>44886</v>
      </c>
      <c r="R126" s="19">
        <v>1</v>
      </c>
      <c r="S126" s="19">
        <v>1</v>
      </c>
      <c r="T126" s="19">
        <v>1</v>
      </c>
      <c r="U126" s="20">
        <f>IF(ISBLANK(Table1[[#This Row],[OHC Date]]),$B$7-Table1[[#This Row],[HOC Date]]+1,Table1[[#This Row],[OHC Date]]-Table1[[#This Row],[HOC Date]]+1)/7</f>
        <v>7</v>
      </c>
      <c r="V126" s="21">
        <v>16.760000000000002</v>
      </c>
      <c r="W126" s="21">
        <v>0.77</v>
      </c>
      <c r="X126" s="21">
        <f>ROUND(0.7*Table1[[#This Row],[E&amp;D Rate per unit]]*R126*Table1[[#This Row],[Quantity]],2)</f>
        <v>241.44</v>
      </c>
      <c r="Y126" s="21">
        <f t="shared" si="19"/>
        <v>110.93</v>
      </c>
      <c r="Z126" s="21">
        <f>ROUND(0.3*T126*Table1[[#This Row],[E&amp;D Rate per unit]]*Table1[[#This Row],[Quantity]],2)</f>
        <v>103.48</v>
      </c>
      <c r="AA126" s="21">
        <f t="shared" si="20"/>
        <v>455.85</v>
      </c>
      <c r="AB126" s="126">
        <v>455.85</v>
      </c>
      <c r="AC126" s="129">
        <f>Table1[[#This Row],[Total Amount]]-Table1[[#This Row],[Previous Amount]]</f>
        <v>0</v>
      </c>
      <c r="AD126" s="127"/>
    </row>
    <row r="127" spans="1:30" ht="30" customHeight="1" x14ac:dyDescent="0.3">
      <c r="A127" s="101" t="s">
        <v>89</v>
      </c>
      <c r="B127" s="92" t="s">
        <v>96</v>
      </c>
      <c r="C127" s="16" t="s">
        <v>175</v>
      </c>
      <c r="D127" s="16">
        <v>74604</v>
      </c>
      <c r="E127" s="16"/>
      <c r="F127" s="17" t="s">
        <v>253</v>
      </c>
      <c r="G127" s="17" t="s">
        <v>254</v>
      </c>
      <c r="H127" s="102" t="s">
        <v>118</v>
      </c>
      <c r="I127" s="16">
        <v>1</v>
      </c>
      <c r="J127" s="16">
        <v>15.1</v>
      </c>
      <c r="K127" s="16">
        <v>1.8</v>
      </c>
      <c r="L127" s="16">
        <v>4.2</v>
      </c>
      <c r="M127" s="16">
        <v>1</v>
      </c>
      <c r="N127" s="93" t="s">
        <v>206</v>
      </c>
      <c r="O127" s="93">
        <f t="shared" si="18"/>
        <v>63.42</v>
      </c>
      <c r="P127" s="188">
        <v>44839</v>
      </c>
      <c r="Q127" s="18"/>
      <c r="R127" s="19">
        <v>1</v>
      </c>
      <c r="S127" s="19">
        <v>1</v>
      </c>
      <c r="T127" s="19">
        <v>0</v>
      </c>
      <c r="U127" s="20">
        <f>IF(ISBLANK(Table1[[#This Row],[OHC Date]]),$B$7-Table1[[#This Row],[HOC Date]]+1,Table1[[#This Row],[OHC Date]]-Table1[[#This Row],[HOC Date]]+1)/7</f>
        <v>16.142857142857142</v>
      </c>
      <c r="V127" s="21">
        <v>16.760000000000002</v>
      </c>
      <c r="W127" s="21">
        <v>0.77</v>
      </c>
      <c r="X127" s="21">
        <f>ROUND(0.7*Table1[[#This Row],[E&amp;D Rate per unit]]*R127*Table1[[#This Row],[Quantity]],2)</f>
        <v>744.04</v>
      </c>
      <c r="Y127" s="21">
        <f t="shared" si="19"/>
        <v>788.31</v>
      </c>
      <c r="Z127" s="21">
        <f>ROUND(0.3*T127*Table1[[#This Row],[E&amp;D Rate per unit]]*Table1[[#This Row],[Quantity]],2)</f>
        <v>0</v>
      </c>
      <c r="AA127" s="21">
        <f t="shared" si="20"/>
        <v>1532.35</v>
      </c>
      <c r="AB127" s="126">
        <v>1316.09</v>
      </c>
      <c r="AC127" s="129">
        <f>Table1[[#This Row],[Total Amount]]-Table1[[#This Row],[Previous Amount]]</f>
        <v>216.26</v>
      </c>
      <c r="AD127" s="127"/>
    </row>
    <row r="128" spans="1:30" ht="30" customHeight="1" x14ac:dyDescent="0.3">
      <c r="A128" s="101" t="s">
        <v>89</v>
      </c>
      <c r="B128" s="92" t="s">
        <v>96</v>
      </c>
      <c r="C128" s="16" t="s">
        <v>177</v>
      </c>
      <c r="D128" s="16">
        <v>74605</v>
      </c>
      <c r="E128" s="16">
        <v>80819</v>
      </c>
      <c r="F128" s="17" t="s">
        <v>255</v>
      </c>
      <c r="G128" s="17" t="s">
        <v>254</v>
      </c>
      <c r="H128" s="102" t="s">
        <v>176</v>
      </c>
      <c r="I128" s="16">
        <v>1</v>
      </c>
      <c r="J128" s="16">
        <v>6.8</v>
      </c>
      <c r="K128" s="16">
        <v>1.8</v>
      </c>
      <c r="L128" s="16">
        <v>1</v>
      </c>
      <c r="M128" s="16">
        <v>1</v>
      </c>
      <c r="N128" s="93" t="s">
        <v>160</v>
      </c>
      <c r="O128" s="93">
        <f t="shared" si="18"/>
        <v>12.24</v>
      </c>
      <c r="P128" s="18">
        <v>44839</v>
      </c>
      <c r="Q128" s="18">
        <v>44915</v>
      </c>
      <c r="R128" s="19">
        <v>1</v>
      </c>
      <c r="S128" s="19">
        <v>1</v>
      </c>
      <c r="T128" s="19">
        <v>1</v>
      </c>
      <c r="U128" s="20">
        <f>IF(ISBLANK(Table1[[#This Row],[OHC Date]]),$B$7-Table1[[#This Row],[HOC Date]]+1,Table1[[#This Row],[OHC Date]]-Table1[[#This Row],[HOC Date]]+1)/7</f>
        <v>11</v>
      </c>
      <c r="V128" s="21">
        <v>6.63</v>
      </c>
      <c r="W128" s="21">
        <v>0.7</v>
      </c>
      <c r="X128" s="21">
        <f>ROUND(0.7*Table1[[#This Row],[E&amp;D Rate per unit]]*R128*Table1[[#This Row],[Quantity]],2)</f>
        <v>56.81</v>
      </c>
      <c r="Y128" s="21">
        <f t="shared" si="19"/>
        <v>94.25</v>
      </c>
      <c r="Z128" s="21">
        <f>ROUND(0.3*T128*Table1[[#This Row],[E&amp;D Rate per unit]]*Table1[[#This Row],[Quantity]],2)</f>
        <v>24.35</v>
      </c>
      <c r="AA128" s="21">
        <f t="shared" si="20"/>
        <v>175.41</v>
      </c>
      <c r="AB128" s="126">
        <v>175.41</v>
      </c>
      <c r="AC128" s="129">
        <f>Table1[[#This Row],[Total Amount]]-Table1[[#This Row],[Previous Amount]]</f>
        <v>0</v>
      </c>
      <c r="AD128" s="127"/>
    </row>
    <row r="129" spans="1:30" ht="30" customHeight="1" x14ac:dyDescent="0.3">
      <c r="A129" s="101" t="s">
        <v>89</v>
      </c>
      <c r="B129" s="92" t="s">
        <v>96</v>
      </c>
      <c r="C129" s="16" t="s">
        <v>179</v>
      </c>
      <c r="D129" s="16">
        <v>74606</v>
      </c>
      <c r="E129" s="16">
        <v>80818</v>
      </c>
      <c r="F129" s="17" t="s">
        <v>253</v>
      </c>
      <c r="G129" s="17" t="s">
        <v>254</v>
      </c>
      <c r="H129" s="102" t="s">
        <v>127</v>
      </c>
      <c r="I129" s="16">
        <v>1</v>
      </c>
      <c r="J129" s="16">
        <v>1</v>
      </c>
      <c r="K129" s="16">
        <v>0.75</v>
      </c>
      <c r="L129" s="16">
        <v>1</v>
      </c>
      <c r="M129" s="16">
        <v>1</v>
      </c>
      <c r="N129" s="93" t="s">
        <v>160</v>
      </c>
      <c r="O129" s="93">
        <f t="shared" si="18"/>
        <v>0.75</v>
      </c>
      <c r="P129" s="18">
        <v>44839</v>
      </c>
      <c r="Q129" s="18">
        <v>44915</v>
      </c>
      <c r="R129" s="19">
        <v>1</v>
      </c>
      <c r="S129" s="19">
        <v>1</v>
      </c>
      <c r="T129" s="19">
        <v>1</v>
      </c>
      <c r="U129" s="20">
        <f>IF(ISBLANK(Table1[[#This Row],[OHC Date]]),$B$7-Table1[[#This Row],[HOC Date]]+1,Table1[[#This Row],[OHC Date]]-Table1[[#This Row],[HOC Date]]+1)/7</f>
        <v>11</v>
      </c>
      <c r="V129" s="21">
        <v>36.520000000000003</v>
      </c>
      <c r="W129" s="21">
        <v>2.94</v>
      </c>
      <c r="X129" s="21">
        <f>ROUND(0.7*Table1[[#This Row],[E&amp;D Rate per unit]]*R129*Table1[[#This Row],[Quantity]],2)</f>
        <v>19.170000000000002</v>
      </c>
      <c r="Y129" s="21">
        <f t="shared" si="19"/>
        <v>24.26</v>
      </c>
      <c r="Z129" s="21">
        <f>ROUND(0.3*T129*Table1[[#This Row],[E&amp;D Rate per unit]]*Table1[[#This Row],[Quantity]],2)</f>
        <v>8.2200000000000006</v>
      </c>
      <c r="AA129" s="21">
        <f t="shared" si="20"/>
        <v>51.65</v>
      </c>
      <c r="AB129" s="126">
        <v>51.65</v>
      </c>
      <c r="AC129" s="129">
        <f>Table1[[#This Row],[Total Amount]]-Table1[[#This Row],[Previous Amount]]</f>
        <v>0</v>
      </c>
      <c r="AD129" s="127"/>
    </row>
    <row r="130" spans="1:30" ht="30" customHeight="1" x14ac:dyDescent="0.3">
      <c r="A130" s="101" t="s">
        <v>89</v>
      </c>
      <c r="B130" s="92" t="s">
        <v>96</v>
      </c>
      <c r="C130" s="16">
        <v>3</v>
      </c>
      <c r="D130" s="16">
        <v>74607</v>
      </c>
      <c r="E130" s="16">
        <v>80820</v>
      </c>
      <c r="F130" s="17" t="s">
        <v>253</v>
      </c>
      <c r="G130" s="17" t="s">
        <v>254</v>
      </c>
      <c r="H130" s="102" t="s">
        <v>118</v>
      </c>
      <c r="I130" s="16">
        <v>1</v>
      </c>
      <c r="J130" s="16">
        <v>7.5</v>
      </c>
      <c r="K130" s="16">
        <v>1.8</v>
      </c>
      <c r="L130" s="16">
        <v>4.2</v>
      </c>
      <c r="M130" s="16">
        <v>1</v>
      </c>
      <c r="N130" s="93" t="s">
        <v>206</v>
      </c>
      <c r="O130" s="93">
        <f t="shared" si="18"/>
        <v>31.5</v>
      </c>
      <c r="P130" s="18">
        <v>44839</v>
      </c>
      <c r="Q130" s="18">
        <v>44915</v>
      </c>
      <c r="R130" s="19">
        <v>1</v>
      </c>
      <c r="S130" s="19">
        <v>1</v>
      </c>
      <c r="T130" s="19">
        <v>1</v>
      </c>
      <c r="U130" s="20">
        <f>IF(ISBLANK(Table1[[#This Row],[OHC Date]]),$B$7-Table1[[#This Row],[HOC Date]]+1,Table1[[#This Row],[OHC Date]]-Table1[[#This Row],[HOC Date]]+1)/7</f>
        <v>11</v>
      </c>
      <c r="V130" s="21">
        <v>16.760000000000002</v>
      </c>
      <c r="W130" s="21">
        <v>0.77</v>
      </c>
      <c r="X130" s="21">
        <f>ROUND(0.7*Table1[[#This Row],[E&amp;D Rate per unit]]*R130*Table1[[#This Row],[Quantity]],2)</f>
        <v>369.56</v>
      </c>
      <c r="Y130" s="21">
        <f t="shared" si="19"/>
        <v>266.81</v>
      </c>
      <c r="Z130" s="21">
        <f>ROUND(0.3*T130*Table1[[#This Row],[E&amp;D Rate per unit]]*Table1[[#This Row],[Quantity]],2)</f>
        <v>158.38</v>
      </c>
      <c r="AA130" s="21">
        <f t="shared" si="20"/>
        <v>794.75</v>
      </c>
      <c r="AB130" s="126">
        <v>794.75</v>
      </c>
      <c r="AC130" s="129">
        <f>Table1[[#This Row],[Total Amount]]-Table1[[#This Row],[Previous Amount]]</f>
        <v>0</v>
      </c>
      <c r="AD130" s="127"/>
    </row>
    <row r="131" spans="1:30" ht="30" customHeight="1" x14ac:dyDescent="0.3">
      <c r="A131" s="101" t="s">
        <v>89</v>
      </c>
      <c r="B131" s="92" t="s">
        <v>96</v>
      </c>
      <c r="C131" s="16" t="s">
        <v>183</v>
      </c>
      <c r="D131" s="16">
        <v>74608</v>
      </c>
      <c r="E131" s="16">
        <v>80821</v>
      </c>
      <c r="F131" s="17" t="s">
        <v>253</v>
      </c>
      <c r="G131" s="17" t="s">
        <v>254</v>
      </c>
      <c r="H131" s="102" t="s">
        <v>126</v>
      </c>
      <c r="I131" s="16">
        <v>1</v>
      </c>
      <c r="J131" s="16">
        <v>5</v>
      </c>
      <c r="K131" s="16">
        <v>0.25</v>
      </c>
      <c r="L131" s="16">
        <v>1</v>
      </c>
      <c r="M131" s="16">
        <v>1</v>
      </c>
      <c r="N131" s="93" t="s">
        <v>160</v>
      </c>
      <c r="O131" s="93">
        <f t="shared" si="18"/>
        <v>1.25</v>
      </c>
      <c r="P131" s="18">
        <v>44839</v>
      </c>
      <c r="Q131" s="18">
        <v>44915</v>
      </c>
      <c r="R131" s="19">
        <v>1</v>
      </c>
      <c r="S131" s="19">
        <v>1</v>
      </c>
      <c r="T131" s="19">
        <v>1</v>
      </c>
      <c r="U131" s="20">
        <f>IF(ISBLANK(Table1[[#This Row],[OHC Date]]),$B$7-Table1[[#This Row],[HOC Date]]+1,Table1[[#This Row],[OHC Date]]-Table1[[#This Row],[HOC Date]]+1)/7</f>
        <v>11</v>
      </c>
      <c r="V131" s="21">
        <v>32.75</v>
      </c>
      <c r="W131" s="21">
        <v>1.05</v>
      </c>
      <c r="X131" s="21">
        <f>ROUND(0.7*Table1[[#This Row],[E&amp;D Rate per unit]]*R131*Table1[[#This Row],[Quantity]],2)</f>
        <v>28.66</v>
      </c>
      <c r="Y131" s="21">
        <f t="shared" si="19"/>
        <v>14.44</v>
      </c>
      <c r="Z131" s="21">
        <f>ROUND(0.3*T131*Table1[[#This Row],[E&amp;D Rate per unit]]*Table1[[#This Row],[Quantity]],2)</f>
        <v>12.28</v>
      </c>
      <c r="AA131" s="21">
        <f t="shared" si="20"/>
        <v>55.38</v>
      </c>
      <c r="AB131" s="126">
        <v>55.38</v>
      </c>
      <c r="AC131" s="129">
        <f>Table1[[#This Row],[Total Amount]]-Table1[[#This Row],[Previous Amount]]</f>
        <v>0</v>
      </c>
      <c r="AD131" s="127"/>
    </row>
    <row r="132" spans="1:30" ht="30" customHeight="1" x14ac:dyDescent="0.3">
      <c r="A132" s="101" t="s">
        <v>89</v>
      </c>
      <c r="B132" s="92" t="s">
        <v>96</v>
      </c>
      <c r="C132" s="16">
        <v>4</v>
      </c>
      <c r="D132" s="16">
        <v>74609</v>
      </c>
      <c r="E132" s="16">
        <v>76802</v>
      </c>
      <c r="F132" s="17" t="s">
        <v>256</v>
      </c>
      <c r="G132" s="17" t="s">
        <v>226</v>
      </c>
      <c r="H132" s="102" t="s">
        <v>205</v>
      </c>
      <c r="I132" s="16">
        <v>1</v>
      </c>
      <c r="J132" s="16">
        <v>9.3000000000000007</v>
      </c>
      <c r="K132" s="16">
        <v>1.3</v>
      </c>
      <c r="L132" s="16">
        <v>5.9</v>
      </c>
      <c r="M132" s="16">
        <v>1</v>
      </c>
      <c r="N132" s="93" t="s">
        <v>206</v>
      </c>
      <c r="O132" s="93">
        <f t="shared" ref="O132:O150" si="21">ROUND(IF(N132="m3",I132*J132*K132*L132,IF(N132="m2-LxH",I132*J132*L132,IF(N132="m2-LxW",I132*J132*K132,IF(N132="rm",I132*L132,IF(N132="lm",I132*J132,IF(N132="unit",I132,"NA")))))),2)</f>
        <v>54.87</v>
      </c>
      <c r="P132" s="18">
        <v>44841</v>
      </c>
      <c r="Q132" s="18">
        <v>44846</v>
      </c>
      <c r="R132" s="19">
        <v>1</v>
      </c>
      <c r="S132" s="19">
        <v>1</v>
      </c>
      <c r="T132" s="19">
        <v>1</v>
      </c>
      <c r="U132" s="20">
        <f>IF(ISBLANK(Table1[[#This Row],[OHC Date]]),$B$7-Table1[[#This Row],[HOC Date]]+1,Table1[[#This Row],[OHC Date]]-Table1[[#This Row],[HOC Date]]+1)/7</f>
        <v>0.8571428571428571</v>
      </c>
      <c r="V132" s="21">
        <v>12.01</v>
      </c>
      <c r="W132" s="21">
        <v>0.49</v>
      </c>
      <c r="X132" s="21">
        <f>ROUND(0.7*Table1[[#This Row],[E&amp;D Rate per unit]]*R132*Table1[[#This Row],[Quantity]],2)</f>
        <v>461.29</v>
      </c>
      <c r="Y132" s="21">
        <f t="shared" ref="Y132:Y150" si="22">ROUND(O132*U132*W132*S132,2)</f>
        <v>23.05</v>
      </c>
      <c r="Z132" s="21">
        <f>ROUND(0.3*T132*Table1[[#This Row],[E&amp;D Rate per unit]]*Table1[[#This Row],[Quantity]],2)</f>
        <v>197.7</v>
      </c>
      <c r="AA132" s="21">
        <f t="shared" ref="AA132:AA150" si="23">ROUND(X132+Z132+Y132,2)</f>
        <v>682.04</v>
      </c>
      <c r="AB132" s="126">
        <v>682.04</v>
      </c>
      <c r="AC132" s="129">
        <f>Table1[[#This Row],[Total Amount]]-Table1[[#This Row],[Previous Amount]]</f>
        <v>0</v>
      </c>
      <c r="AD132" s="127"/>
    </row>
    <row r="133" spans="1:30" ht="30" customHeight="1" x14ac:dyDescent="0.3">
      <c r="A133" s="101" t="s">
        <v>89</v>
      </c>
      <c r="B133" s="92" t="s">
        <v>96</v>
      </c>
      <c r="C133" s="16" t="s">
        <v>257</v>
      </c>
      <c r="D133" s="16">
        <v>74610</v>
      </c>
      <c r="E133" s="16">
        <v>76803</v>
      </c>
      <c r="F133" s="17" t="s">
        <v>256</v>
      </c>
      <c r="G133" s="17" t="s">
        <v>226</v>
      </c>
      <c r="H133" s="102" t="s">
        <v>126</v>
      </c>
      <c r="I133" s="16">
        <v>1</v>
      </c>
      <c r="J133" s="16">
        <v>9.8000000000000007</v>
      </c>
      <c r="K133" s="16">
        <v>0.5</v>
      </c>
      <c r="L133" s="16">
        <v>1</v>
      </c>
      <c r="M133" s="16">
        <v>1</v>
      </c>
      <c r="N133" s="93" t="s">
        <v>160</v>
      </c>
      <c r="O133" s="93">
        <f t="shared" si="21"/>
        <v>4.9000000000000004</v>
      </c>
      <c r="P133" s="18">
        <v>44841</v>
      </c>
      <c r="Q133" s="18">
        <v>44846</v>
      </c>
      <c r="R133" s="19">
        <v>1</v>
      </c>
      <c r="S133" s="19">
        <v>1</v>
      </c>
      <c r="T133" s="19">
        <v>1</v>
      </c>
      <c r="U133" s="20">
        <f>IF(ISBLANK(Table1[[#This Row],[OHC Date]]),$B$7-Table1[[#This Row],[HOC Date]]+1,Table1[[#This Row],[OHC Date]]-Table1[[#This Row],[HOC Date]]+1)/7</f>
        <v>0.8571428571428571</v>
      </c>
      <c r="V133" s="21">
        <v>32.75</v>
      </c>
      <c r="W133" s="21">
        <v>1.05</v>
      </c>
      <c r="X133" s="21">
        <f>ROUND(0.7*Table1[[#This Row],[E&amp;D Rate per unit]]*R133*Table1[[#This Row],[Quantity]],2)</f>
        <v>112.33</v>
      </c>
      <c r="Y133" s="21">
        <f t="shared" si="22"/>
        <v>4.41</v>
      </c>
      <c r="Z133" s="21">
        <f>ROUND(0.3*T133*Table1[[#This Row],[E&amp;D Rate per unit]]*Table1[[#This Row],[Quantity]],2)</f>
        <v>48.14</v>
      </c>
      <c r="AA133" s="21">
        <f t="shared" si="23"/>
        <v>164.88</v>
      </c>
      <c r="AB133" s="126">
        <v>164.88</v>
      </c>
      <c r="AC133" s="129">
        <f>Table1[[#This Row],[Total Amount]]-Table1[[#This Row],[Previous Amount]]</f>
        <v>0</v>
      </c>
      <c r="AD133" s="127"/>
    </row>
    <row r="134" spans="1:30" ht="30" customHeight="1" x14ac:dyDescent="0.3">
      <c r="A134" s="131" t="s">
        <v>258</v>
      </c>
      <c r="B134" s="92" t="s">
        <v>96</v>
      </c>
      <c r="C134" s="16">
        <v>5</v>
      </c>
      <c r="D134" s="16">
        <v>74611</v>
      </c>
      <c r="E134" s="16">
        <v>76801</v>
      </c>
      <c r="F134" s="17" t="s">
        <v>260</v>
      </c>
      <c r="G134" s="17" t="s">
        <v>261</v>
      </c>
      <c r="H134" s="102" t="s">
        <v>262</v>
      </c>
      <c r="I134" s="16">
        <v>1</v>
      </c>
      <c r="J134" s="16">
        <v>4</v>
      </c>
      <c r="K134" s="16">
        <v>2.5</v>
      </c>
      <c r="L134" s="16">
        <v>2</v>
      </c>
      <c r="M134" s="16">
        <v>1</v>
      </c>
      <c r="N134" s="93" t="s">
        <v>56</v>
      </c>
      <c r="O134" s="93">
        <f t="shared" si="21"/>
        <v>1</v>
      </c>
      <c r="P134" s="18">
        <v>44841</v>
      </c>
      <c r="Q134" s="18">
        <v>44844</v>
      </c>
      <c r="R134" s="19">
        <v>1</v>
      </c>
      <c r="S134" s="19">
        <v>1</v>
      </c>
      <c r="T134" s="19">
        <v>1</v>
      </c>
      <c r="U134" s="20">
        <f>IF(ISBLANK(Table1[[#This Row],[OHC Date]]),$B$7-Table1[[#This Row],[HOC Date]]+1,Table1[[#This Row],[OHC Date]]-Table1[[#This Row],[HOC Date]]+1)/7</f>
        <v>0.5714285714285714</v>
      </c>
      <c r="V134" s="21">
        <v>4033.1</v>
      </c>
      <c r="W134" s="21">
        <v>49.28</v>
      </c>
      <c r="X134" s="21">
        <f>ROUND(0.7*Table1[[#This Row],[E&amp;D Rate per unit]]*R134*Table1[[#This Row],[Quantity]],2)</f>
        <v>2823.17</v>
      </c>
      <c r="Y134" s="21">
        <f t="shared" si="22"/>
        <v>28.16</v>
      </c>
      <c r="Z134" s="21">
        <f>ROUND(0.3*T134*Table1[[#This Row],[E&amp;D Rate per unit]]*Table1[[#This Row],[Quantity]],2)</f>
        <v>1209.93</v>
      </c>
      <c r="AA134" s="21">
        <f t="shared" si="23"/>
        <v>4061.26</v>
      </c>
      <c r="AB134" s="129">
        <v>4061.26</v>
      </c>
      <c r="AC134" s="129">
        <f>Table1[[#This Row],[Total Amount]]-Table1[[#This Row],[Previous Amount]]</f>
        <v>0</v>
      </c>
      <c r="AD134" s="127" t="s">
        <v>263</v>
      </c>
    </row>
    <row r="135" spans="1:30" ht="30" customHeight="1" x14ac:dyDescent="0.3">
      <c r="A135" s="131" t="s">
        <v>258</v>
      </c>
      <c r="B135" s="92" t="s">
        <v>96</v>
      </c>
      <c r="C135" s="16">
        <v>6</v>
      </c>
      <c r="D135" s="16">
        <v>74612</v>
      </c>
      <c r="E135" s="16">
        <v>76804</v>
      </c>
      <c r="F135" s="17" t="s">
        <v>264</v>
      </c>
      <c r="G135" s="17" t="s">
        <v>261</v>
      </c>
      <c r="H135" s="102" t="s">
        <v>262</v>
      </c>
      <c r="I135" s="16">
        <v>1</v>
      </c>
      <c r="J135" s="16">
        <v>4</v>
      </c>
      <c r="K135" s="16">
        <v>2.5</v>
      </c>
      <c r="L135" s="16">
        <v>2</v>
      </c>
      <c r="M135" s="16">
        <v>1</v>
      </c>
      <c r="N135" s="93" t="s">
        <v>56</v>
      </c>
      <c r="O135" s="93">
        <f t="shared" si="21"/>
        <v>1</v>
      </c>
      <c r="P135" s="18">
        <v>44844</v>
      </c>
      <c r="Q135" s="18">
        <v>44860</v>
      </c>
      <c r="R135" s="19">
        <v>1</v>
      </c>
      <c r="S135" s="19">
        <v>1</v>
      </c>
      <c r="T135" s="19">
        <v>1</v>
      </c>
      <c r="U135" s="20">
        <f>IF(ISBLANK(Table1[[#This Row],[OHC Date]]),$B$7-Table1[[#This Row],[HOC Date]]+1,Table1[[#This Row],[OHC Date]]-Table1[[#This Row],[HOC Date]]+1)/7</f>
        <v>2.4285714285714284</v>
      </c>
      <c r="V135" s="21">
        <v>4033.1</v>
      </c>
      <c r="W135" s="21">
        <v>49.28</v>
      </c>
      <c r="X135" s="21">
        <f>ROUND(0.7*Table1[[#This Row],[E&amp;D Rate per unit]]*R135*Table1[[#This Row],[Quantity]],2)</f>
        <v>2823.17</v>
      </c>
      <c r="Y135" s="21">
        <f t="shared" si="22"/>
        <v>119.68</v>
      </c>
      <c r="Z135" s="21">
        <f>ROUND(0.3*T135*Table1[[#This Row],[E&amp;D Rate per unit]]*Table1[[#This Row],[Quantity]],2)</f>
        <v>1209.93</v>
      </c>
      <c r="AA135" s="21">
        <f t="shared" si="23"/>
        <v>4152.78</v>
      </c>
      <c r="AB135" s="129">
        <v>4152.78</v>
      </c>
      <c r="AC135" s="129">
        <f>Table1[[#This Row],[Total Amount]]-Table1[[#This Row],[Previous Amount]]</f>
        <v>0</v>
      </c>
      <c r="AD135" s="127" t="s">
        <v>263</v>
      </c>
    </row>
    <row r="136" spans="1:30" ht="30" customHeight="1" x14ac:dyDescent="0.3">
      <c r="A136" s="101" t="s">
        <v>89</v>
      </c>
      <c r="B136" s="92" t="s">
        <v>96</v>
      </c>
      <c r="C136" s="16">
        <v>7</v>
      </c>
      <c r="D136" s="16">
        <v>74613</v>
      </c>
      <c r="E136" s="16">
        <v>76807</v>
      </c>
      <c r="F136" s="17" t="s">
        <v>265</v>
      </c>
      <c r="G136" s="17" t="s">
        <v>226</v>
      </c>
      <c r="H136" s="102" t="s">
        <v>220</v>
      </c>
      <c r="I136" s="16">
        <v>1</v>
      </c>
      <c r="J136" s="16">
        <v>1.8</v>
      </c>
      <c r="K136" s="16">
        <v>1.3</v>
      </c>
      <c r="L136" s="16">
        <v>2.5</v>
      </c>
      <c r="M136" s="16">
        <v>1</v>
      </c>
      <c r="N136" s="93" t="s">
        <v>221</v>
      </c>
      <c r="O136" s="93">
        <f t="shared" si="21"/>
        <v>2.5</v>
      </c>
      <c r="P136" s="18">
        <v>44846</v>
      </c>
      <c r="Q136" s="18">
        <v>44868</v>
      </c>
      <c r="R136" s="19">
        <v>1</v>
      </c>
      <c r="S136" s="19">
        <v>1</v>
      </c>
      <c r="T136" s="19">
        <v>1</v>
      </c>
      <c r="U136" s="20">
        <f>IF(ISBLANK(Table1[[#This Row],[OHC Date]]),$B$7-Table1[[#This Row],[HOC Date]]+1,Table1[[#This Row],[OHC Date]]-Table1[[#This Row],[HOC Date]]+1)/7</f>
        <v>3.2857142857142856</v>
      </c>
      <c r="V136" s="21">
        <v>63.34</v>
      </c>
      <c r="W136" s="21">
        <v>7.28</v>
      </c>
      <c r="X136" s="21">
        <f>ROUND(0.7*Table1[[#This Row],[E&amp;D Rate per unit]]*R136*Table1[[#This Row],[Quantity]],2)</f>
        <v>110.85</v>
      </c>
      <c r="Y136" s="21">
        <f t="shared" si="22"/>
        <v>59.8</v>
      </c>
      <c r="Z136" s="21">
        <f>ROUND(0.3*T136*Table1[[#This Row],[E&amp;D Rate per unit]]*Table1[[#This Row],[Quantity]],2)</f>
        <v>47.51</v>
      </c>
      <c r="AA136" s="21">
        <f t="shared" si="23"/>
        <v>218.16</v>
      </c>
      <c r="AB136" s="129">
        <v>218.16</v>
      </c>
      <c r="AC136" s="129">
        <f>Table1[[#This Row],[Total Amount]]-Table1[[#This Row],[Previous Amount]]</f>
        <v>0</v>
      </c>
      <c r="AD136" s="127"/>
    </row>
    <row r="137" spans="1:30" ht="30" customHeight="1" x14ac:dyDescent="0.3">
      <c r="A137" s="101" t="s">
        <v>89</v>
      </c>
      <c r="B137" s="92" t="s">
        <v>96</v>
      </c>
      <c r="C137" s="16" t="s">
        <v>181</v>
      </c>
      <c r="D137" s="16">
        <v>74614</v>
      </c>
      <c r="E137" s="16">
        <v>80822</v>
      </c>
      <c r="F137" s="17" t="s">
        <v>266</v>
      </c>
      <c r="G137" s="17" t="s">
        <v>254</v>
      </c>
      <c r="H137" s="102" t="s">
        <v>176</v>
      </c>
      <c r="I137" s="16">
        <v>1</v>
      </c>
      <c r="J137" s="16">
        <v>4.3</v>
      </c>
      <c r="K137" s="16">
        <v>1.5</v>
      </c>
      <c r="L137" s="16">
        <v>1</v>
      </c>
      <c r="M137" s="16">
        <v>1</v>
      </c>
      <c r="N137" s="93" t="s">
        <v>160</v>
      </c>
      <c r="O137" s="93">
        <f t="shared" si="21"/>
        <v>6.45</v>
      </c>
      <c r="P137" s="18">
        <v>44846</v>
      </c>
      <c r="Q137" s="18">
        <v>44915</v>
      </c>
      <c r="R137" s="19">
        <v>1</v>
      </c>
      <c r="S137" s="19">
        <v>1</v>
      </c>
      <c r="T137" s="19">
        <v>1</v>
      </c>
      <c r="U137" s="20">
        <f>IF(ISBLANK(Table1[[#This Row],[OHC Date]]),$B$7-Table1[[#This Row],[HOC Date]]+1,Table1[[#This Row],[OHC Date]]-Table1[[#This Row],[HOC Date]]+1)/7</f>
        <v>10</v>
      </c>
      <c r="V137" s="21">
        <v>6.63</v>
      </c>
      <c r="W137" s="21">
        <v>0.7</v>
      </c>
      <c r="X137" s="21">
        <f>ROUND(0.7*Table1[[#This Row],[E&amp;D Rate per unit]]*R137*Table1[[#This Row],[Quantity]],2)</f>
        <v>29.93</v>
      </c>
      <c r="Y137" s="21">
        <f t="shared" si="22"/>
        <v>45.15</v>
      </c>
      <c r="Z137" s="21">
        <f>ROUND(0.3*T137*Table1[[#This Row],[E&amp;D Rate per unit]]*Table1[[#This Row],[Quantity]],2)</f>
        <v>12.83</v>
      </c>
      <c r="AA137" s="21">
        <f t="shared" si="23"/>
        <v>87.91</v>
      </c>
      <c r="AB137" s="129">
        <v>87.91</v>
      </c>
      <c r="AC137" s="129">
        <f>Table1[[#This Row],[Total Amount]]-Table1[[#This Row],[Previous Amount]]</f>
        <v>0</v>
      </c>
      <c r="AD137" s="127"/>
    </row>
    <row r="138" spans="1:30" ht="30" customHeight="1" x14ac:dyDescent="0.3">
      <c r="A138" s="101" t="s">
        <v>89</v>
      </c>
      <c r="B138" s="92" t="s">
        <v>96</v>
      </c>
      <c r="C138" s="16" t="s">
        <v>185</v>
      </c>
      <c r="D138" s="16">
        <v>74615</v>
      </c>
      <c r="E138" s="16">
        <v>80823</v>
      </c>
      <c r="F138" s="17" t="s">
        <v>266</v>
      </c>
      <c r="G138" s="17" t="s">
        <v>254</v>
      </c>
      <c r="H138" s="102" t="s">
        <v>118</v>
      </c>
      <c r="I138" s="16">
        <v>1</v>
      </c>
      <c r="J138" s="16">
        <v>3</v>
      </c>
      <c r="K138" s="16">
        <v>1.8</v>
      </c>
      <c r="L138" s="16">
        <v>4.2</v>
      </c>
      <c r="M138" s="16">
        <v>1</v>
      </c>
      <c r="N138" s="93" t="s">
        <v>206</v>
      </c>
      <c r="O138" s="93">
        <f t="shared" si="21"/>
        <v>12.6</v>
      </c>
      <c r="P138" s="18">
        <v>44846</v>
      </c>
      <c r="Q138" s="18">
        <v>44915</v>
      </c>
      <c r="R138" s="19">
        <v>1</v>
      </c>
      <c r="S138" s="19">
        <v>1</v>
      </c>
      <c r="T138" s="19">
        <v>1</v>
      </c>
      <c r="U138" s="20">
        <f>IF(ISBLANK(Table1[[#This Row],[OHC Date]]),$B$7-Table1[[#This Row],[HOC Date]]+1,Table1[[#This Row],[OHC Date]]-Table1[[#This Row],[HOC Date]]+1)/7</f>
        <v>10</v>
      </c>
      <c r="V138" s="21">
        <v>16.760000000000002</v>
      </c>
      <c r="W138" s="21">
        <v>0.77</v>
      </c>
      <c r="X138" s="21">
        <f>ROUND(0.7*Table1[[#This Row],[E&amp;D Rate per unit]]*R138*Table1[[#This Row],[Quantity]],2)</f>
        <v>147.82</v>
      </c>
      <c r="Y138" s="21">
        <f t="shared" si="22"/>
        <v>97.02</v>
      </c>
      <c r="Z138" s="21">
        <f>ROUND(0.3*T138*Table1[[#This Row],[E&amp;D Rate per unit]]*Table1[[#This Row],[Quantity]],2)</f>
        <v>63.35</v>
      </c>
      <c r="AA138" s="21">
        <f t="shared" si="23"/>
        <v>308.19</v>
      </c>
      <c r="AB138" s="129">
        <v>308.19</v>
      </c>
      <c r="AC138" s="129">
        <f>Table1[[#This Row],[Total Amount]]-Table1[[#This Row],[Previous Amount]]</f>
        <v>0</v>
      </c>
      <c r="AD138" s="127"/>
    </row>
    <row r="139" spans="1:30" ht="30" customHeight="1" x14ac:dyDescent="0.3">
      <c r="A139" s="101" t="s">
        <v>89</v>
      </c>
      <c r="B139" s="92" t="s">
        <v>96</v>
      </c>
      <c r="C139" s="16" t="s">
        <v>267</v>
      </c>
      <c r="D139" s="16">
        <v>74616</v>
      </c>
      <c r="E139" s="16">
        <v>80824</v>
      </c>
      <c r="F139" s="17" t="s">
        <v>266</v>
      </c>
      <c r="G139" s="17" t="s">
        <v>254</v>
      </c>
      <c r="H139" s="102" t="s">
        <v>205</v>
      </c>
      <c r="I139" s="16">
        <v>1</v>
      </c>
      <c r="J139" s="16">
        <v>5</v>
      </c>
      <c r="K139" s="16">
        <v>1.3</v>
      </c>
      <c r="L139" s="16">
        <v>4.2</v>
      </c>
      <c r="M139" s="16">
        <v>1</v>
      </c>
      <c r="N139" s="93" t="s">
        <v>206</v>
      </c>
      <c r="O139" s="93">
        <f t="shared" si="21"/>
        <v>21</v>
      </c>
      <c r="P139" s="18">
        <v>44846</v>
      </c>
      <c r="Q139" s="18">
        <v>44915</v>
      </c>
      <c r="R139" s="19">
        <v>1</v>
      </c>
      <c r="S139" s="19">
        <v>1</v>
      </c>
      <c r="T139" s="19">
        <v>1</v>
      </c>
      <c r="U139" s="20">
        <f>IF(ISBLANK(Table1[[#This Row],[OHC Date]]),$B$7-Table1[[#This Row],[HOC Date]]+1,Table1[[#This Row],[OHC Date]]-Table1[[#This Row],[HOC Date]]+1)/7</f>
        <v>10</v>
      </c>
      <c r="V139" s="21">
        <v>12.01</v>
      </c>
      <c r="W139" s="21">
        <v>0.49</v>
      </c>
      <c r="X139" s="21">
        <f>ROUND(0.7*Table1[[#This Row],[E&amp;D Rate per unit]]*R139*Table1[[#This Row],[Quantity]],2)</f>
        <v>176.55</v>
      </c>
      <c r="Y139" s="21">
        <f t="shared" si="22"/>
        <v>102.9</v>
      </c>
      <c r="Z139" s="21">
        <f>ROUND(0.3*T139*Table1[[#This Row],[E&amp;D Rate per unit]]*Table1[[#This Row],[Quantity]],2)</f>
        <v>75.66</v>
      </c>
      <c r="AA139" s="21">
        <f t="shared" si="23"/>
        <v>355.11</v>
      </c>
      <c r="AB139" s="129">
        <v>355.11</v>
      </c>
      <c r="AC139" s="129">
        <f>Table1[[#This Row],[Total Amount]]-Table1[[#This Row],[Previous Amount]]</f>
        <v>0</v>
      </c>
      <c r="AD139" s="127"/>
    </row>
    <row r="140" spans="1:30" ht="30" customHeight="1" x14ac:dyDescent="0.3">
      <c r="A140" s="101" t="s">
        <v>89</v>
      </c>
      <c r="B140" s="92" t="s">
        <v>96</v>
      </c>
      <c r="C140" s="16">
        <v>8</v>
      </c>
      <c r="D140" s="16">
        <v>74617</v>
      </c>
      <c r="E140" s="16">
        <v>80813</v>
      </c>
      <c r="F140" s="17" t="s">
        <v>266</v>
      </c>
      <c r="G140" s="17" t="s">
        <v>254</v>
      </c>
      <c r="H140" s="102" t="s">
        <v>118</v>
      </c>
      <c r="I140" s="16">
        <v>1</v>
      </c>
      <c r="J140" s="16">
        <v>10.8</v>
      </c>
      <c r="K140" s="16">
        <v>1.8</v>
      </c>
      <c r="L140" s="16">
        <v>3.8</v>
      </c>
      <c r="M140" s="16">
        <v>1</v>
      </c>
      <c r="N140" s="93" t="s">
        <v>206</v>
      </c>
      <c r="O140" s="93">
        <f t="shared" si="21"/>
        <v>41.04</v>
      </c>
      <c r="P140" s="18">
        <v>44847</v>
      </c>
      <c r="Q140" s="18">
        <v>44915</v>
      </c>
      <c r="R140" s="19">
        <v>1</v>
      </c>
      <c r="S140" s="19">
        <v>1</v>
      </c>
      <c r="T140" s="19">
        <v>1</v>
      </c>
      <c r="U140" s="20">
        <f>IF(ISBLANK(Table1[[#This Row],[OHC Date]]),$B$7-Table1[[#This Row],[HOC Date]]+1,Table1[[#This Row],[OHC Date]]-Table1[[#This Row],[HOC Date]]+1)/7</f>
        <v>9.8571428571428577</v>
      </c>
      <c r="V140" s="21">
        <v>16.760000000000002</v>
      </c>
      <c r="W140" s="21">
        <v>0.77</v>
      </c>
      <c r="X140" s="21">
        <f>ROUND(0.7*Table1[[#This Row],[E&amp;D Rate per unit]]*R140*Table1[[#This Row],[Quantity]],2)</f>
        <v>481.48</v>
      </c>
      <c r="Y140" s="21">
        <f t="shared" si="22"/>
        <v>311.49</v>
      </c>
      <c r="Z140" s="21">
        <f>ROUND(0.3*T140*Table1[[#This Row],[E&amp;D Rate per unit]]*Table1[[#This Row],[Quantity]],2)</f>
        <v>206.35</v>
      </c>
      <c r="AA140" s="21">
        <f t="shared" si="23"/>
        <v>999.32</v>
      </c>
      <c r="AB140" s="129">
        <v>999.32</v>
      </c>
      <c r="AC140" s="129">
        <f>Table1[[#This Row],[Total Amount]]-Table1[[#This Row],[Previous Amount]]</f>
        <v>0</v>
      </c>
      <c r="AD140" s="127"/>
    </row>
    <row r="141" spans="1:30" ht="30" customHeight="1" x14ac:dyDescent="0.3">
      <c r="A141" s="101" t="s">
        <v>89</v>
      </c>
      <c r="B141" s="92" t="s">
        <v>96</v>
      </c>
      <c r="C141" s="16" t="s">
        <v>268</v>
      </c>
      <c r="D141" s="16">
        <v>74618</v>
      </c>
      <c r="E141" s="16">
        <v>80814</v>
      </c>
      <c r="F141" s="17" t="s">
        <v>266</v>
      </c>
      <c r="G141" s="17" t="s">
        <v>254</v>
      </c>
      <c r="H141" s="102" t="s">
        <v>126</v>
      </c>
      <c r="I141" s="16">
        <v>1</v>
      </c>
      <c r="J141" s="16">
        <v>10.8</v>
      </c>
      <c r="K141" s="16">
        <v>0.5</v>
      </c>
      <c r="L141" s="16">
        <v>1</v>
      </c>
      <c r="M141" s="16">
        <v>1</v>
      </c>
      <c r="N141" s="93" t="s">
        <v>160</v>
      </c>
      <c r="O141" s="93">
        <f t="shared" si="21"/>
        <v>5.4</v>
      </c>
      <c r="P141" s="18">
        <v>44847</v>
      </c>
      <c r="Q141" s="18">
        <v>44915</v>
      </c>
      <c r="R141" s="19">
        <v>1</v>
      </c>
      <c r="S141" s="19">
        <v>1</v>
      </c>
      <c r="T141" s="19">
        <v>1</v>
      </c>
      <c r="U141" s="20">
        <f>IF(ISBLANK(Table1[[#This Row],[OHC Date]]),$B$7-Table1[[#This Row],[HOC Date]]+1,Table1[[#This Row],[OHC Date]]-Table1[[#This Row],[HOC Date]]+1)/7</f>
        <v>9.8571428571428577</v>
      </c>
      <c r="V141" s="21">
        <v>32.75</v>
      </c>
      <c r="W141" s="21">
        <v>1.05</v>
      </c>
      <c r="X141" s="21">
        <f>ROUND(0.7*Table1[[#This Row],[E&amp;D Rate per unit]]*R141*Table1[[#This Row],[Quantity]],2)</f>
        <v>123.8</v>
      </c>
      <c r="Y141" s="21">
        <f t="shared" si="22"/>
        <v>55.89</v>
      </c>
      <c r="Z141" s="21">
        <f>ROUND(0.3*T141*Table1[[#This Row],[E&amp;D Rate per unit]]*Table1[[#This Row],[Quantity]],2)</f>
        <v>53.06</v>
      </c>
      <c r="AA141" s="21">
        <f t="shared" si="23"/>
        <v>232.75</v>
      </c>
      <c r="AB141" s="129">
        <v>232.75</v>
      </c>
      <c r="AC141" s="129">
        <f>Table1[[#This Row],[Total Amount]]-Table1[[#This Row],[Previous Amount]]</f>
        <v>0</v>
      </c>
      <c r="AD141" s="127"/>
    </row>
    <row r="142" spans="1:30" ht="30" customHeight="1" x14ac:dyDescent="0.3">
      <c r="A142" s="101" t="s">
        <v>89</v>
      </c>
      <c r="B142" s="92" t="s">
        <v>96</v>
      </c>
      <c r="C142" s="16" t="s">
        <v>269</v>
      </c>
      <c r="D142" s="16">
        <v>74619</v>
      </c>
      <c r="E142" s="16">
        <v>80817</v>
      </c>
      <c r="F142" s="17" t="s">
        <v>270</v>
      </c>
      <c r="G142" s="17" t="s">
        <v>254</v>
      </c>
      <c r="H142" s="102" t="s">
        <v>127</v>
      </c>
      <c r="I142" s="16">
        <v>1</v>
      </c>
      <c r="J142" s="16">
        <v>1.5</v>
      </c>
      <c r="K142" s="16">
        <v>1</v>
      </c>
      <c r="L142" s="16">
        <v>1</v>
      </c>
      <c r="M142" s="16">
        <v>1</v>
      </c>
      <c r="N142" s="93" t="s">
        <v>160</v>
      </c>
      <c r="O142" s="93">
        <f t="shared" si="21"/>
        <v>1.5</v>
      </c>
      <c r="P142" s="18">
        <v>44849</v>
      </c>
      <c r="Q142" s="18">
        <v>44915</v>
      </c>
      <c r="R142" s="19">
        <v>1</v>
      </c>
      <c r="S142" s="19">
        <v>1</v>
      </c>
      <c r="T142" s="19">
        <v>1</v>
      </c>
      <c r="U142" s="20">
        <f>IF(ISBLANK(Table1[[#This Row],[OHC Date]]),$B$7-Table1[[#This Row],[HOC Date]]+1,Table1[[#This Row],[OHC Date]]-Table1[[#This Row],[HOC Date]]+1)/7</f>
        <v>9.5714285714285712</v>
      </c>
      <c r="V142" s="21">
        <v>36.520000000000003</v>
      </c>
      <c r="W142" s="21">
        <v>2.94</v>
      </c>
      <c r="X142" s="21">
        <f>ROUND(0.7*Table1[[#This Row],[E&amp;D Rate per unit]]*R142*Table1[[#This Row],[Quantity]],2)</f>
        <v>38.35</v>
      </c>
      <c r="Y142" s="21">
        <f t="shared" si="22"/>
        <v>42.21</v>
      </c>
      <c r="Z142" s="21">
        <f>ROUND(0.3*T142*Table1[[#This Row],[E&amp;D Rate per unit]]*Table1[[#This Row],[Quantity]],2)</f>
        <v>16.43</v>
      </c>
      <c r="AA142" s="21">
        <f t="shared" si="23"/>
        <v>96.99</v>
      </c>
      <c r="AB142" s="129">
        <v>96.99</v>
      </c>
      <c r="AC142" s="129">
        <f>Table1[[#This Row],[Total Amount]]-Table1[[#This Row],[Previous Amount]]</f>
        <v>0</v>
      </c>
      <c r="AD142" s="127" t="s">
        <v>218</v>
      </c>
    </row>
    <row r="143" spans="1:30" ht="30" customHeight="1" x14ac:dyDescent="0.3">
      <c r="A143" s="101" t="s">
        <v>89</v>
      </c>
      <c r="B143" s="92" t="s">
        <v>96</v>
      </c>
      <c r="C143" s="16" t="s">
        <v>271</v>
      </c>
      <c r="D143" s="16">
        <v>74620</v>
      </c>
      <c r="E143" s="16">
        <v>80815</v>
      </c>
      <c r="F143" s="17" t="s">
        <v>270</v>
      </c>
      <c r="G143" s="17" t="s">
        <v>254</v>
      </c>
      <c r="H143" s="102" t="s">
        <v>220</v>
      </c>
      <c r="I143" s="16">
        <v>1</v>
      </c>
      <c r="J143" s="16">
        <v>2.5</v>
      </c>
      <c r="K143" s="16">
        <v>1.8</v>
      </c>
      <c r="L143" s="16">
        <v>3.5</v>
      </c>
      <c r="M143" s="16">
        <v>1</v>
      </c>
      <c r="N143" s="93" t="s">
        <v>221</v>
      </c>
      <c r="O143" s="93">
        <f t="shared" si="21"/>
        <v>3.5</v>
      </c>
      <c r="P143" s="18">
        <v>44849</v>
      </c>
      <c r="Q143" s="18">
        <v>44915</v>
      </c>
      <c r="R143" s="19">
        <v>1</v>
      </c>
      <c r="S143" s="19">
        <v>1</v>
      </c>
      <c r="T143" s="19">
        <v>1</v>
      </c>
      <c r="U143" s="20">
        <f>IF(ISBLANK(Table1[[#This Row],[OHC Date]]),$B$7-Table1[[#This Row],[HOC Date]]+1,Table1[[#This Row],[OHC Date]]-Table1[[#This Row],[HOC Date]]+1)/7</f>
        <v>9.5714285714285712</v>
      </c>
      <c r="V143" s="21">
        <v>63.34</v>
      </c>
      <c r="W143" s="21">
        <v>7.28</v>
      </c>
      <c r="X143" s="21">
        <f>ROUND(0.7*Table1[[#This Row],[E&amp;D Rate per unit]]*R143*Table1[[#This Row],[Quantity]],2)</f>
        <v>155.18</v>
      </c>
      <c r="Y143" s="21">
        <f t="shared" si="22"/>
        <v>243.88</v>
      </c>
      <c r="Z143" s="21">
        <f>ROUND(0.3*T143*Table1[[#This Row],[E&amp;D Rate per unit]]*Table1[[#This Row],[Quantity]],2)</f>
        <v>66.510000000000005</v>
      </c>
      <c r="AA143" s="21">
        <f t="shared" si="23"/>
        <v>465.57</v>
      </c>
      <c r="AB143" s="129">
        <v>465.57</v>
      </c>
      <c r="AC143" s="129">
        <f>Table1[[#This Row],[Total Amount]]-Table1[[#This Row],[Previous Amount]]</f>
        <v>0</v>
      </c>
      <c r="AD143" s="127" t="s">
        <v>218</v>
      </c>
    </row>
    <row r="144" spans="1:30" ht="30" customHeight="1" x14ac:dyDescent="0.3">
      <c r="A144" s="101" t="s">
        <v>89</v>
      </c>
      <c r="B144" s="92" t="s">
        <v>96</v>
      </c>
      <c r="C144" s="16" t="s">
        <v>272</v>
      </c>
      <c r="D144" s="16">
        <v>74621</v>
      </c>
      <c r="E144" s="16">
        <v>80816</v>
      </c>
      <c r="F144" s="17" t="s">
        <v>270</v>
      </c>
      <c r="G144" s="17" t="s">
        <v>254</v>
      </c>
      <c r="H144" s="102" t="s">
        <v>126</v>
      </c>
      <c r="I144" s="16">
        <v>1</v>
      </c>
      <c r="J144" s="16">
        <v>4.8</v>
      </c>
      <c r="K144" s="16">
        <v>0.5</v>
      </c>
      <c r="L144" s="16">
        <v>1</v>
      </c>
      <c r="M144" s="16">
        <v>1</v>
      </c>
      <c r="N144" s="93" t="s">
        <v>160</v>
      </c>
      <c r="O144" s="93">
        <f t="shared" si="21"/>
        <v>2.4</v>
      </c>
      <c r="P144" s="18">
        <v>44849</v>
      </c>
      <c r="Q144" s="18">
        <v>44915</v>
      </c>
      <c r="R144" s="19">
        <v>1</v>
      </c>
      <c r="S144" s="19">
        <v>1</v>
      </c>
      <c r="T144" s="19">
        <v>1</v>
      </c>
      <c r="U144" s="20">
        <f>IF(ISBLANK(Table1[[#This Row],[OHC Date]]),$B$7-Table1[[#This Row],[HOC Date]]+1,Table1[[#This Row],[OHC Date]]-Table1[[#This Row],[HOC Date]]+1)/7</f>
        <v>9.5714285714285712</v>
      </c>
      <c r="V144" s="21">
        <v>32.75</v>
      </c>
      <c r="W144" s="21">
        <v>1.05</v>
      </c>
      <c r="X144" s="21">
        <f>ROUND(0.7*Table1[[#This Row],[E&amp;D Rate per unit]]*R144*Table1[[#This Row],[Quantity]],2)</f>
        <v>55.02</v>
      </c>
      <c r="Y144" s="21">
        <f t="shared" si="22"/>
        <v>24.12</v>
      </c>
      <c r="Z144" s="21">
        <f>ROUND(0.3*T144*Table1[[#This Row],[E&amp;D Rate per unit]]*Table1[[#This Row],[Quantity]],2)</f>
        <v>23.58</v>
      </c>
      <c r="AA144" s="21">
        <f t="shared" si="23"/>
        <v>102.72</v>
      </c>
      <c r="AB144" s="129">
        <v>102.72</v>
      </c>
      <c r="AC144" s="129">
        <f>Table1[[#This Row],[Total Amount]]-Table1[[#This Row],[Previous Amount]]</f>
        <v>0</v>
      </c>
      <c r="AD144" s="127" t="s">
        <v>218</v>
      </c>
    </row>
    <row r="145" spans="1:30" ht="30" customHeight="1" x14ac:dyDescent="0.3">
      <c r="A145" s="101" t="s">
        <v>89</v>
      </c>
      <c r="B145" s="92" t="s">
        <v>96</v>
      </c>
      <c r="C145" s="16">
        <v>9</v>
      </c>
      <c r="D145" s="16">
        <v>74622</v>
      </c>
      <c r="E145" s="16">
        <v>80825</v>
      </c>
      <c r="F145" s="17" t="s">
        <v>270</v>
      </c>
      <c r="G145" s="17" t="s">
        <v>254</v>
      </c>
      <c r="H145" s="102" t="s">
        <v>205</v>
      </c>
      <c r="I145" s="16">
        <v>1</v>
      </c>
      <c r="J145" s="16">
        <v>4.5</v>
      </c>
      <c r="K145" s="16">
        <v>1.5</v>
      </c>
      <c r="L145" s="16">
        <v>2.2999999999999998</v>
      </c>
      <c r="M145" s="16">
        <v>1</v>
      </c>
      <c r="N145" s="93" t="s">
        <v>206</v>
      </c>
      <c r="O145" s="93">
        <f t="shared" si="21"/>
        <v>10.35</v>
      </c>
      <c r="P145" s="18">
        <v>44849</v>
      </c>
      <c r="Q145" s="18">
        <v>44915</v>
      </c>
      <c r="R145" s="19">
        <v>1</v>
      </c>
      <c r="S145" s="19">
        <v>1</v>
      </c>
      <c r="T145" s="19">
        <v>1</v>
      </c>
      <c r="U145" s="20">
        <f>IF(ISBLANK(Table1[[#This Row],[OHC Date]]),$B$7-Table1[[#This Row],[HOC Date]]+1,Table1[[#This Row],[OHC Date]]-Table1[[#This Row],[HOC Date]]+1)/7</f>
        <v>9.5714285714285712</v>
      </c>
      <c r="V145" s="21">
        <v>12.01</v>
      </c>
      <c r="W145" s="21">
        <v>0.49</v>
      </c>
      <c r="X145" s="21">
        <f>ROUND(0.7*Table1[[#This Row],[E&amp;D Rate per unit]]*R145*Table1[[#This Row],[Quantity]],2)</f>
        <v>87.01</v>
      </c>
      <c r="Y145" s="21">
        <f t="shared" si="22"/>
        <v>48.54</v>
      </c>
      <c r="Z145" s="21">
        <f>ROUND(0.3*T145*Table1[[#This Row],[E&amp;D Rate per unit]]*Table1[[#This Row],[Quantity]],2)</f>
        <v>37.29</v>
      </c>
      <c r="AA145" s="21">
        <f t="shared" si="23"/>
        <v>172.84</v>
      </c>
      <c r="AB145" s="129">
        <v>172.84</v>
      </c>
      <c r="AC145" s="129">
        <f>Table1[[#This Row],[Total Amount]]-Table1[[#This Row],[Previous Amount]]</f>
        <v>0</v>
      </c>
      <c r="AD145" s="127" t="s">
        <v>218</v>
      </c>
    </row>
    <row r="146" spans="1:30" ht="30" customHeight="1" x14ac:dyDescent="0.3">
      <c r="A146" s="101" t="s">
        <v>95</v>
      </c>
      <c r="B146" s="92" t="s">
        <v>96</v>
      </c>
      <c r="C146" s="102">
        <v>10</v>
      </c>
      <c r="D146" s="102">
        <v>74633</v>
      </c>
      <c r="E146" s="102"/>
      <c r="F146" s="103" t="s">
        <v>281</v>
      </c>
      <c r="G146" s="17" t="s">
        <v>163</v>
      </c>
      <c r="H146" s="102" t="s">
        <v>298</v>
      </c>
      <c r="I146" s="102">
        <v>1</v>
      </c>
      <c r="J146" s="102">
        <v>50</v>
      </c>
      <c r="K146" s="102">
        <v>1.8</v>
      </c>
      <c r="L146" s="102">
        <v>4</v>
      </c>
      <c r="M146" s="102">
        <v>1</v>
      </c>
      <c r="N146" s="104" t="s">
        <v>283</v>
      </c>
      <c r="O146" s="104">
        <f>ROUND(IF(N146="m3",I146*J146*K146*L146,IF(N146="m2-LxH",I146*J146*L146,IF(N146="m2-LxW",I146*J146*K146,IF(N146="rm",I146*L146,IF(N146="lm",I146*J146,IF(N146="unit",I146,"NA")))))),2)</f>
        <v>50</v>
      </c>
      <c r="P146" s="186">
        <v>44854</v>
      </c>
      <c r="Q146" s="118"/>
      <c r="R146" s="105">
        <v>1</v>
      </c>
      <c r="S146" s="105">
        <v>1</v>
      </c>
      <c r="T146" s="105">
        <v>0</v>
      </c>
      <c r="U146" s="106">
        <f>IF(ISBLANK(Table1[[#This Row],[OHC Date]]),$B$7-Table1[[#This Row],[HOC Date]]+1,Table1[[#This Row],[OHC Date]]-Table1[[#This Row],[HOC Date]]+1)/7</f>
        <v>14</v>
      </c>
      <c r="V146" s="107">
        <v>1002.22</v>
      </c>
      <c r="W146" s="107">
        <v>98.12</v>
      </c>
      <c r="X146" s="107">
        <f>ROUND(0.7*Table1[[#This Row],[E&amp;D Rate per unit]]*R146*Table1[[#This Row],[Quantity]],2)</f>
        <v>35077.699999999997</v>
      </c>
      <c r="Y146" s="107">
        <f>ROUND(O146*U146*W146*S146,2)</f>
        <v>68684</v>
      </c>
      <c r="Z146" s="107">
        <f>ROUND(0.3*T146*Table1[[#This Row],[E&amp;D Rate per unit]]*Table1[[#This Row],[Quantity]],2)</f>
        <v>0</v>
      </c>
      <c r="AA146" s="107">
        <f>ROUND(X146+Z146+Y146,2)</f>
        <v>103761.7</v>
      </c>
      <c r="AB146" s="129">
        <v>82035.13</v>
      </c>
      <c r="AC146" s="126">
        <f>Table1[[#This Row],[Total Amount]]-Table1[[#This Row],[Previous Amount]]</f>
        <v>21726.569999999992</v>
      </c>
      <c r="AD146" s="108" t="s">
        <v>282</v>
      </c>
    </row>
    <row r="147" spans="1:30" ht="30" customHeight="1" x14ac:dyDescent="0.3">
      <c r="A147" s="131" t="s">
        <v>273</v>
      </c>
      <c r="B147" s="92" t="s">
        <v>96</v>
      </c>
      <c r="C147" s="16">
        <v>11</v>
      </c>
      <c r="D147" s="16">
        <v>74623</v>
      </c>
      <c r="E147" s="16">
        <v>80803</v>
      </c>
      <c r="F147" s="17" t="s">
        <v>275</v>
      </c>
      <c r="G147" s="17" t="s">
        <v>274</v>
      </c>
      <c r="H147" s="102" t="s">
        <v>205</v>
      </c>
      <c r="I147" s="16">
        <v>1</v>
      </c>
      <c r="J147" s="16">
        <v>5.7</v>
      </c>
      <c r="K147" s="16">
        <v>1.3</v>
      </c>
      <c r="L147" s="16">
        <v>1.5</v>
      </c>
      <c r="M147" s="16">
        <v>1</v>
      </c>
      <c r="N147" s="93" t="s">
        <v>56</v>
      </c>
      <c r="O147" s="93">
        <f t="shared" si="21"/>
        <v>1</v>
      </c>
      <c r="P147" s="18">
        <v>44854</v>
      </c>
      <c r="Q147" s="18">
        <v>44910</v>
      </c>
      <c r="R147" s="19">
        <v>1</v>
      </c>
      <c r="S147" s="19">
        <v>1</v>
      </c>
      <c r="T147" s="19">
        <v>1</v>
      </c>
      <c r="U147" s="20">
        <f>IF(ISBLANK(Table1[[#This Row],[OHC Date]]),$B$7-Table1[[#This Row],[HOC Date]]+1,Table1[[#This Row],[OHC Date]]-Table1[[#This Row],[HOC Date]]+1)/7</f>
        <v>8.1428571428571423</v>
      </c>
      <c r="V147" s="21">
        <v>1368.99</v>
      </c>
      <c r="W147" s="21">
        <v>6.17</v>
      </c>
      <c r="X147" s="21">
        <f>ROUND(0.7*Table1[[#This Row],[E&amp;D Rate per unit]]*R147*Table1[[#This Row],[Quantity]],2)</f>
        <v>958.29</v>
      </c>
      <c r="Y147" s="21">
        <f t="shared" si="22"/>
        <v>50.24</v>
      </c>
      <c r="Z147" s="21">
        <f>ROUND(0.3*T147*Table1[[#This Row],[E&amp;D Rate per unit]]*Table1[[#This Row],[Quantity]],2)</f>
        <v>410.7</v>
      </c>
      <c r="AA147" s="21">
        <f t="shared" si="23"/>
        <v>1419.23</v>
      </c>
      <c r="AB147" s="129">
        <v>1419.23</v>
      </c>
      <c r="AC147" s="129">
        <f>Table1[[#This Row],[Total Amount]]-Table1[[#This Row],[Previous Amount]]</f>
        <v>0</v>
      </c>
      <c r="AD147" s="132" t="s">
        <v>277</v>
      </c>
    </row>
    <row r="148" spans="1:30" ht="30" customHeight="1" x14ac:dyDescent="0.3">
      <c r="A148" s="131" t="s">
        <v>273</v>
      </c>
      <c r="B148" s="92" t="s">
        <v>96</v>
      </c>
      <c r="C148" s="16">
        <v>12</v>
      </c>
      <c r="D148" s="16">
        <v>74625</v>
      </c>
      <c r="E148" s="16">
        <v>80834</v>
      </c>
      <c r="F148" s="17" t="s">
        <v>275</v>
      </c>
      <c r="G148" s="17" t="s">
        <v>276</v>
      </c>
      <c r="H148" s="102" t="s">
        <v>205</v>
      </c>
      <c r="I148" s="16">
        <v>1</v>
      </c>
      <c r="J148" s="16">
        <v>5.7</v>
      </c>
      <c r="K148" s="16">
        <v>1.3</v>
      </c>
      <c r="L148" s="16">
        <v>1.5</v>
      </c>
      <c r="M148" s="16">
        <v>1</v>
      </c>
      <c r="N148" s="93" t="s">
        <v>56</v>
      </c>
      <c r="O148" s="93">
        <f t="shared" si="21"/>
        <v>1</v>
      </c>
      <c r="P148" s="18">
        <v>44854</v>
      </c>
      <c r="Q148" s="18">
        <v>44916</v>
      </c>
      <c r="R148" s="19">
        <v>1</v>
      </c>
      <c r="S148" s="19">
        <v>1</v>
      </c>
      <c r="T148" s="19">
        <v>1</v>
      </c>
      <c r="U148" s="20">
        <f>IF(ISBLANK(Table1[[#This Row],[OHC Date]]),$B$7-Table1[[#This Row],[HOC Date]]+1,Table1[[#This Row],[OHC Date]]-Table1[[#This Row],[HOC Date]]+1)/7</f>
        <v>9</v>
      </c>
      <c r="V148" s="21">
        <v>1368.99</v>
      </c>
      <c r="W148" s="21">
        <v>6.17</v>
      </c>
      <c r="X148" s="21">
        <f>ROUND(0.7*Table1[[#This Row],[E&amp;D Rate per unit]]*R148*Table1[[#This Row],[Quantity]],2)</f>
        <v>958.29</v>
      </c>
      <c r="Y148" s="21">
        <f t="shared" si="22"/>
        <v>55.53</v>
      </c>
      <c r="Z148" s="21">
        <f>ROUND(0.3*T148*Table1[[#This Row],[E&amp;D Rate per unit]]*Table1[[#This Row],[Quantity]],2)</f>
        <v>410.7</v>
      </c>
      <c r="AA148" s="21">
        <f t="shared" si="23"/>
        <v>1424.52</v>
      </c>
      <c r="AB148" s="129">
        <v>1424.52</v>
      </c>
      <c r="AC148" s="129">
        <f>Table1[[#This Row],[Total Amount]]-Table1[[#This Row],[Previous Amount]]</f>
        <v>0</v>
      </c>
      <c r="AD148" s="132" t="s">
        <v>277</v>
      </c>
    </row>
    <row r="149" spans="1:30" ht="30" customHeight="1" x14ac:dyDescent="0.3">
      <c r="A149" s="131" t="s">
        <v>273</v>
      </c>
      <c r="B149" s="92" t="s">
        <v>96</v>
      </c>
      <c r="C149" s="16">
        <v>13</v>
      </c>
      <c r="D149" s="16">
        <v>74624</v>
      </c>
      <c r="E149" s="16">
        <v>80809</v>
      </c>
      <c r="F149" s="17" t="s">
        <v>275</v>
      </c>
      <c r="G149" s="17" t="s">
        <v>251</v>
      </c>
      <c r="H149" s="102" t="s">
        <v>205</v>
      </c>
      <c r="I149" s="16">
        <v>1</v>
      </c>
      <c r="J149" s="16">
        <v>5.7</v>
      </c>
      <c r="K149" s="16">
        <v>1.3</v>
      </c>
      <c r="L149" s="16">
        <v>1.5</v>
      </c>
      <c r="M149" s="16">
        <v>1</v>
      </c>
      <c r="N149" s="93" t="s">
        <v>56</v>
      </c>
      <c r="O149" s="93">
        <f t="shared" si="21"/>
        <v>1</v>
      </c>
      <c r="P149" s="18">
        <v>44855</v>
      </c>
      <c r="Q149" s="18">
        <v>44912</v>
      </c>
      <c r="R149" s="19">
        <v>1</v>
      </c>
      <c r="S149" s="19">
        <v>1</v>
      </c>
      <c r="T149" s="19">
        <v>1</v>
      </c>
      <c r="U149" s="20">
        <f>IF(ISBLANK(Table1[[#This Row],[OHC Date]]),$B$7-Table1[[#This Row],[HOC Date]]+1,Table1[[#This Row],[OHC Date]]-Table1[[#This Row],[HOC Date]]+1)/7</f>
        <v>8.2857142857142865</v>
      </c>
      <c r="V149" s="21">
        <v>1368.99</v>
      </c>
      <c r="W149" s="21">
        <v>6.17</v>
      </c>
      <c r="X149" s="21">
        <f>ROUND(0.7*Table1[[#This Row],[E&amp;D Rate per unit]]*R149*Table1[[#This Row],[Quantity]],2)</f>
        <v>958.29</v>
      </c>
      <c r="Y149" s="21">
        <f t="shared" si="22"/>
        <v>51.12</v>
      </c>
      <c r="Z149" s="21">
        <f>ROUND(0.3*T149*Table1[[#This Row],[E&amp;D Rate per unit]]*Table1[[#This Row],[Quantity]],2)</f>
        <v>410.7</v>
      </c>
      <c r="AA149" s="21">
        <f t="shared" si="23"/>
        <v>1420.11</v>
      </c>
      <c r="AB149" s="129">
        <v>1420.11</v>
      </c>
      <c r="AC149" s="129">
        <f>Table1[[#This Row],[Total Amount]]-Table1[[#This Row],[Previous Amount]]</f>
        <v>0</v>
      </c>
      <c r="AD149" s="132" t="s">
        <v>277</v>
      </c>
    </row>
    <row r="150" spans="1:30" ht="30" customHeight="1" x14ac:dyDescent="0.3">
      <c r="A150" s="131" t="s">
        <v>273</v>
      </c>
      <c r="B150" s="92" t="s">
        <v>96</v>
      </c>
      <c r="C150" s="16">
        <v>14</v>
      </c>
      <c r="D150" s="16">
        <v>74626</v>
      </c>
      <c r="E150" s="16">
        <v>80804</v>
      </c>
      <c r="F150" s="17" t="s">
        <v>275</v>
      </c>
      <c r="G150" s="17" t="s">
        <v>278</v>
      </c>
      <c r="H150" s="102" t="s">
        <v>205</v>
      </c>
      <c r="I150" s="16">
        <v>1</v>
      </c>
      <c r="J150" s="16">
        <v>5.7</v>
      </c>
      <c r="K150" s="16">
        <v>1.3</v>
      </c>
      <c r="L150" s="16">
        <v>1.5</v>
      </c>
      <c r="M150" s="16">
        <v>1</v>
      </c>
      <c r="N150" s="93" t="s">
        <v>56</v>
      </c>
      <c r="O150" s="93">
        <f t="shared" si="21"/>
        <v>1</v>
      </c>
      <c r="P150" s="18">
        <v>44855</v>
      </c>
      <c r="Q150" s="18">
        <v>44910</v>
      </c>
      <c r="R150" s="19">
        <v>1</v>
      </c>
      <c r="S150" s="19">
        <v>1</v>
      </c>
      <c r="T150" s="19">
        <v>1</v>
      </c>
      <c r="U150" s="20">
        <f>IF(ISBLANK(Table1[[#This Row],[OHC Date]]),$B$7-Table1[[#This Row],[HOC Date]]+1,Table1[[#This Row],[OHC Date]]-Table1[[#This Row],[HOC Date]]+1)/7</f>
        <v>8</v>
      </c>
      <c r="V150" s="21">
        <v>1368.99</v>
      </c>
      <c r="W150" s="21">
        <v>6.17</v>
      </c>
      <c r="X150" s="21">
        <f>ROUND(0.7*Table1[[#This Row],[E&amp;D Rate per unit]]*R150*Table1[[#This Row],[Quantity]],2)</f>
        <v>958.29</v>
      </c>
      <c r="Y150" s="21">
        <f t="shared" si="22"/>
        <v>49.36</v>
      </c>
      <c r="Z150" s="21">
        <f>ROUND(0.3*T150*Table1[[#This Row],[E&amp;D Rate per unit]]*Table1[[#This Row],[Quantity]],2)</f>
        <v>410.7</v>
      </c>
      <c r="AA150" s="21">
        <f t="shared" si="23"/>
        <v>1418.35</v>
      </c>
      <c r="AB150" s="129">
        <v>1418.35</v>
      </c>
      <c r="AC150" s="129">
        <f>Table1[[#This Row],[Total Amount]]-Table1[[#This Row],[Previous Amount]]</f>
        <v>0</v>
      </c>
      <c r="AD150" s="132" t="s">
        <v>277</v>
      </c>
    </row>
    <row r="151" spans="1:30" ht="30" customHeight="1" x14ac:dyDescent="0.3">
      <c r="A151" s="101" t="s">
        <v>89</v>
      </c>
      <c r="B151" s="92" t="s">
        <v>96</v>
      </c>
      <c r="C151" s="102" t="s">
        <v>279</v>
      </c>
      <c r="D151" s="102">
        <v>74635</v>
      </c>
      <c r="E151" s="102">
        <v>76805</v>
      </c>
      <c r="F151" s="103" t="s">
        <v>280</v>
      </c>
      <c r="G151" s="17" t="s">
        <v>163</v>
      </c>
      <c r="H151" s="102" t="s">
        <v>176</v>
      </c>
      <c r="I151" s="102">
        <v>1</v>
      </c>
      <c r="J151" s="102">
        <v>50</v>
      </c>
      <c r="K151" s="102">
        <v>1</v>
      </c>
      <c r="L151" s="102">
        <v>1</v>
      </c>
      <c r="M151" s="102">
        <v>1</v>
      </c>
      <c r="N151" s="104" t="s">
        <v>160</v>
      </c>
      <c r="O151" s="104">
        <f t="shared" ref="O151:O157" si="24">ROUND(IF(N151="m3",I151*J151*K151*L151,IF(N151="m2-LxH",I151*J151*L151,IF(N151="m2-LxW",I151*J151*K151,IF(N151="rm",I151*L151,IF(N151="lm",I151*J151,IF(N151="unit",I151,"NA")))))),2)</f>
        <v>50</v>
      </c>
      <c r="P151" s="118">
        <v>44854</v>
      </c>
      <c r="Q151" s="118">
        <v>44865</v>
      </c>
      <c r="R151" s="105">
        <v>1</v>
      </c>
      <c r="S151" s="105">
        <v>1</v>
      </c>
      <c r="T151" s="105">
        <v>1</v>
      </c>
      <c r="U151" s="106">
        <f>IF(ISBLANK(Table1[[#This Row],[OHC Date]]),$B$7-Table1[[#This Row],[HOC Date]]+1,Table1[[#This Row],[OHC Date]]-Table1[[#This Row],[HOC Date]]+1)/7</f>
        <v>1.7142857142857142</v>
      </c>
      <c r="V151" s="107">
        <v>6.63</v>
      </c>
      <c r="W151" s="107">
        <v>0.7</v>
      </c>
      <c r="X151" s="107">
        <f>ROUND(0.7*Table1[[#This Row],[E&amp;D Rate per unit]]*R151*Table1[[#This Row],[Quantity]],2)</f>
        <v>232.05</v>
      </c>
      <c r="Y151" s="107">
        <f t="shared" ref="Y151:Y157" si="25">ROUND(O151*U151*W151*S151,2)</f>
        <v>60</v>
      </c>
      <c r="Z151" s="107">
        <f>ROUND(0.3*T151*Table1[[#This Row],[E&amp;D Rate per unit]]*Table1[[#This Row],[Quantity]],2)</f>
        <v>99.45</v>
      </c>
      <c r="AA151" s="107">
        <f t="shared" ref="AA151:AA157" si="26">ROUND(X151+Z151+Y151,2)</f>
        <v>391.5</v>
      </c>
      <c r="AB151" s="129">
        <v>391.5</v>
      </c>
      <c r="AC151" s="126">
        <f>Table1[[#This Row],[Total Amount]]-Table1[[#This Row],[Previous Amount]]</f>
        <v>0</v>
      </c>
      <c r="AD151" s="108"/>
    </row>
    <row r="152" spans="1:30" ht="30" customHeight="1" x14ac:dyDescent="0.3">
      <c r="A152" s="101" t="s">
        <v>95</v>
      </c>
      <c r="B152" s="92" t="s">
        <v>96</v>
      </c>
      <c r="C152" s="102">
        <v>15</v>
      </c>
      <c r="D152" s="102">
        <v>74634</v>
      </c>
      <c r="E152" s="102"/>
      <c r="F152" s="103" t="s">
        <v>281</v>
      </c>
      <c r="G152" s="17" t="s">
        <v>163</v>
      </c>
      <c r="H152" s="102" t="s">
        <v>298</v>
      </c>
      <c r="I152" s="102">
        <v>1</v>
      </c>
      <c r="J152" s="102">
        <v>33</v>
      </c>
      <c r="K152" s="102">
        <v>1.8</v>
      </c>
      <c r="L152" s="102">
        <v>4</v>
      </c>
      <c r="M152" s="102">
        <v>1</v>
      </c>
      <c r="N152" s="104" t="s">
        <v>283</v>
      </c>
      <c r="O152" s="104">
        <f t="shared" si="24"/>
        <v>33</v>
      </c>
      <c r="P152" s="186">
        <v>44856</v>
      </c>
      <c r="Q152" s="118"/>
      <c r="R152" s="105">
        <v>1</v>
      </c>
      <c r="S152" s="105">
        <v>1</v>
      </c>
      <c r="T152" s="105">
        <v>0</v>
      </c>
      <c r="U152" s="106">
        <f>IF(ISBLANK(Table1[[#This Row],[OHC Date]]),$B$7-Table1[[#This Row],[HOC Date]]+1,Table1[[#This Row],[OHC Date]]-Table1[[#This Row],[HOC Date]]+1)/7</f>
        <v>13.714285714285714</v>
      </c>
      <c r="V152" s="107">
        <v>1002.22</v>
      </c>
      <c r="W152" s="107">
        <v>98.12</v>
      </c>
      <c r="X152" s="107">
        <f>ROUND(0.7*Table1[[#This Row],[E&amp;D Rate per unit]]*R152*Table1[[#This Row],[Quantity]],2)</f>
        <v>23151.279999999999</v>
      </c>
      <c r="Y152" s="107">
        <f>ROUND(O152*U152*W152*S152,2)</f>
        <v>44406.31</v>
      </c>
      <c r="Z152" s="107">
        <f>ROUND(0.3*T152*Table1[[#This Row],[E&amp;D Rate per unit]]*Table1[[#This Row],[Quantity]],2)</f>
        <v>0</v>
      </c>
      <c r="AA152" s="107">
        <f t="shared" si="26"/>
        <v>67557.59</v>
      </c>
      <c r="AB152" s="129">
        <v>53218.05</v>
      </c>
      <c r="AC152" s="126">
        <f>Table1[[#This Row],[Total Amount]]-Table1[[#This Row],[Previous Amount]]</f>
        <v>14339.539999999994</v>
      </c>
      <c r="AD152" s="108" t="s">
        <v>282</v>
      </c>
    </row>
    <row r="153" spans="1:30" ht="30" customHeight="1" x14ac:dyDescent="0.3">
      <c r="A153" s="101" t="s">
        <v>95</v>
      </c>
      <c r="B153" s="92" t="s">
        <v>96</v>
      </c>
      <c r="C153" s="102">
        <v>15</v>
      </c>
      <c r="D153" s="102">
        <v>74634</v>
      </c>
      <c r="E153" s="102"/>
      <c r="F153" s="103" t="s">
        <v>281</v>
      </c>
      <c r="G153" s="17" t="s">
        <v>163</v>
      </c>
      <c r="H153" s="102" t="s">
        <v>297</v>
      </c>
      <c r="I153" s="102">
        <v>1</v>
      </c>
      <c r="J153" s="102"/>
      <c r="K153" s="102"/>
      <c r="L153" s="102"/>
      <c r="M153" s="102"/>
      <c r="N153" s="104" t="s">
        <v>56</v>
      </c>
      <c r="O153" s="104">
        <f>ROUND(IF(N153="m3",I153*J153*K153*L153,IF(N153="m2-LxH",I153*J153*L153,IF(N153="m2-LxW",I153*J153*K153,IF(N153="rm",I153*L153,IF(N153="lm",I153*J153,IF(N153="unit",I153,"NA")))))),2)</f>
        <v>1</v>
      </c>
      <c r="P153" s="118">
        <v>44856</v>
      </c>
      <c r="Q153" s="118">
        <v>44856</v>
      </c>
      <c r="R153" s="105">
        <v>1</v>
      </c>
      <c r="S153" s="105">
        <v>1</v>
      </c>
      <c r="T153" s="105">
        <v>1</v>
      </c>
      <c r="U153" s="106">
        <f>IF(ISBLANK(Table1[[#This Row],[OHC Date]]),$B$7-Table1[[#This Row],[HOC Date]]+1,Table1[[#This Row],[OHC Date]]-Table1[[#This Row],[HOC Date]]+1)/7</f>
        <v>0.14285714285714285</v>
      </c>
      <c r="V153" s="107">
        <v>1230</v>
      </c>
      <c r="W153" s="107">
        <v>0</v>
      </c>
      <c r="X153" s="107">
        <v>1230</v>
      </c>
      <c r="Y153" s="107">
        <f>ROUND(O153*U153*W153*S153,2)</f>
        <v>0</v>
      </c>
      <c r="Z153" s="107">
        <v>0</v>
      </c>
      <c r="AA153" s="107">
        <f>ROUND(X153+Z153+Y153,2)</f>
        <v>1230</v>
      </c>
      <c r="AB153" s="126">
        <v>1230</v>
      </c>
      <c r="AC153" s="126">
        <f>Table1[[#This Row],[Total Amount]]-Table1[[#This Row],[Previous Amount]]</f>
        <v>0</v>
      </c>
      <c r="AD153" s="108" t="s">
        <v>296</v>
      </c>
    </row>
    <row r="154" spans="1:30" ht="30" customHeight="1" x14ac:dyDescent="0.3">
      <c r="A154" s="101" t="s">
        <v>89</v>
      </c>
      <c r="B154" s="92" t="s">
        <v>96</v>
      </c>
      <c r="C154" s="102" t="s">
        <v>284</v>
      </c>
      <c r="D154" s="102">
        <v>74636</v>
      </c>
      <c r="E154" s="102">
        <v>76806</v>
      </c>
      <c r="F154" s="103" t="s">
        <v>280</v>
      </c>
      <c r="G154" s="17" t="s">
        <v>163</v>
      </c>
      <c r="H154" s="102" t="s">
        <v>176</v>
      </c>
      <c r="I154" s="102">
        <v>1</v>
      </c>
      <c r="J154" s="102">
        <v>33</v>
      </c>
      <c r="K154" s="102">
        <v>1</v>
      </c>
      <c r="L154" s="102">
        <v>1</v>
      </c>
      <c r="M154" s="102">
        <v>1</v>
      </c>
      <c r="N154" s="104" t="s">
        <v>160</v>
      </c>
      <c r="O154" s="104">
        <f t="shared" si="24"/>
        <v>33</v>
      </c>
      <c r="P154" s="118">
        <v>44856</v>
      </c>
      <c r="Q154" s="118">
        <v>44866</v>
      </c>
      <c r="R154" s="105">
        <v>1</v>
      </c>
      <c r="S154" s="105">
        <v>1</v>
      </c>
      <c r="T154" s="105">
        <v>1</v>
      </c>
      <c r="U154" s="106">
        <f>IF(ISBLANK(Table1[[#This Row],[OHC Date]]),$B$7-Table1[[#This Row],[HOC Date]]+1,Table1[[#This Row],[OHC Date]]-Table1[[#This Row],[HOC Date]]+1)/7</f>
        <v>1.5714285714285714</v>
      </c>
      <c r="V154" s="107">
        <v>6.63</v>
      </c>
      <c r="W154" s="107">
        <v>0.7</v>
      </c>
      <c r="X154" s="107">
        <f>ROUND(0.7*Table1[[#This Row],[E&amp;D Rate per unit]]*R154*Table1[[#This Row],[Quantity]],2)</f>
        <v>153.15</v>
      </c>
      <c r="Y154" s="107">
        <f t="shared" si="25"/>
        <v>36.299999999999997</v>
      </c>
      <c r="Z154" s="107">
        <f>ROUND(0.3*T154*Table1[[#This Row],[E&amp;D Rate per unit]]*Table1[[#This Row],[Quantity]],2)</f>
        <v>65.64</v>
      </c>
      <c r="AA154" s="107">
        <f t="shared" si="26"/>
        <v>255.09</v>
      </c>
      <c r="AB154" s="129">
        <v>255.09</v>
      </c>
      <c r="AC154" s="126">
        <f>Table1[[#This Row],[Total Amount]]-Table1[[#This Row],[Previous Amount]]</f>
        <v>0</v>
      </c>
      <c r="AD154" s="108"/>
    </row>
    <row r="155" spans="1:30" ht="30" customHeight="1" x14ac:dyDescent="0.3">
      <c r="A155" s="101" t="s">
        <v>89</v>
      </c>
      <c r="B155" s="92" t="s">
        <v>96</v>
      </c>
      <c r="C155" s="102">
        <v>16</v>
      </c>
      <c r="D155" s="102">
        <v>74627</v>
      </c>
      <c r="E155" s="102">
        <v>76810</v>
      </c>
      <c r="F155" s="103" t="s">
        <v>285</v>
      </c>
      <c r="G155" s="17" t="s">
        <v>286</v>
      </c>
      <c r="H155" s="102" t="s">
        <v>118</v>
      </c>
      <c r="I155" s="102">
        <v>1</v>
      </c>
      <c r="J155" s="102">
        <v>6.8</v>
      </c>
      <c r="K155" s="102">
        <v>1.8</v>
      </c>
      <c r="L155" s="102">
        <v>8</v>
      </c>
      <c r="M155" s="102">
        <v>1</v>
      </c>
      <c r="N155" s="104" t="s">
        <v>206</v>
      </c>
      <c r="O155" s="104">
        <f t="shared" si="24"/>
        <v>54.4</v>
      </c>
      <c r="P155" s="118">
        <v>44858</v>
      </c>
      <c r="Q155" s="118">
        <v>44874</v>
      </c>
      <c r="R155" s="105">
        <v>1</v>
      </c>
      <c r="S155" s="105">
        <v>1</v>
      </c>
      <c r="T155" s="105">
        <v>1</v>
      </c>
      <c r="U155" s="106">
        <f>IF(ISBLANK(Table1[[#This Row],[OHC Date]]),$B$7-Table1[[#This Row],[HOC Date]]+1,Table1[[#This Row],[OHC Date]]-Table1[[#This Row],[HOC Date]]+1)/7</f>
        <v>2.4285714285714284</v>
      </c>
      <c r="V155" s="107">
        <v>16.760000000000002</v>
      </c>
      <c r="W155" s="107">
        <v>0.77</v>
      </c>
      <c r="X155" s="107">
        <f>ROUND(0.7*Table1[[#This Row],[E&amp;D Rate per unit]]*R155*Table1[[#This Row],[Quantity]],2)</f>
        <v>638.22</v>
      </c>
      <c r="Y155" s="107">
        <f t="shared" si="25"/>
        <v>101.73</v>
      </c>
      <c r="Z155" s="107">
        <f>ROUND(0.3*T155*Table1[[#This Row],[E&amp;D Rate per unit]]*Table1[[#This Row],[Quantity]],2)</f>
        <v>273.52</v>
      </c>
      <c r="AA155" s="107">
        <f t="shared" si="26"/>
        <v>1013.47</v>
      </c>
      <c r="AB155" s="126">
        <v>1013.47</v>
      </c>
      <c r="AC155" s="126">
        <f>Table1[[#This Row],[Total Amount]]-Table1[[#This Row],[Previous Amount]]</f>
        <v>0</v>
      </c>
      <c r="AD155" s="108"/>
    </row>
    <row r="156" spans="1:30" ht="30" customHeight="1" x14ac:dyDescent="0.3">
      <c r="A156" s="101" t="s">
        <v>89</v>
      </c>
      <c r="B156" s="92" t="s">
        <v>96</v>
      </c>
      <c r="C156" s="102" t="s">
        <v>229</v>
      </c>
      <c r="D156" s="102">
        <v>74628</v>
      </c>
      <c r="E156" s="102">
        <v>76811</v>
      </c>
      <c r="F156" s="103" t="s">
        <v>285</v>
      </c>
      <c r="G156" s="17" t="s">
        <v>204</v>
      </c>
      <c r="H156" s="102" t="s">
        <v>127</v>
      </c>
      <c r="I156" s="102">
        <v>1</v>
      </c>
      <c r="J156" s="102">
        <v>6.8</v>
      </c>
      <c r="K156" s="102">
        <v>1</v>
      </c>
      <c r="L156" s="102">
        <v>1</v>
      </c>
      <c r="M156" s="102">
        <v>1</v>
      </c>
      <c r="N156" s="104" t="s">
        <v>160</v>
      </c>
      <c r="O156" s="104">
        <f t="shared" si="24"/>
        <v>6.8</v>
      </c>
      <c r="P156" s="118">
        <v>44858</v>
      </c>
      <c r="Q156" s="118">
        <v>44874</v>
      </c>
      <c r="R156" s="105">
        <v>1</v>
      </c>
      <c r="S156" s="105">
        <v>1</v>
      </c>
      <c r="T156" s="105">
        <v>1</v>
      </c>
      <c r="U156" s="106">
        <f>IF(ISBLANK(Table1[[#This Row],[OHC Date]]),$B$7-Table1[[#This Row],[HOC Date]]+1,Table1[[#This Row],[OHC Date]]-Table1[[#This Row],[HOC Date]]+1)/7</f>
        <v>2.4285714285714284</v>
      </c>
      <c r="V156" s="107">
        <v>36.520000000000003</v>
      </c>
      <c r="W156" s="107">
        <v>2.94</v>
      </c>
      <c r="X156" s="107">
        <f>ROUND(0.7*Table1[[#This Row],[E&amp;D Rate per unit]]*R156*Table1[[#This Row],[Quantity]],2)</f>
        <v>173.84</v>
      </c>
      <c r="Y156" s="107">
        <f t="shared" si="25"/>
        <v>48.55</v>
      </c>
      <c r="Z156" s="107">
        <f>ROUND(0.3*T156*Table1[[#This Row],[E&amp;D Rate per unit]]*Table1[[#This Row],[Quantity]],2)</f>
        <v>74.5</v>
      </c>
      <c r="AA156" s="107">
        <f t="shared" si="26"/>
        <v>296.89</v>
      </c>
      <c r="AB156" s="126">
        <v>296.89</v>
      </c>
      <c r="AC156" s="126">
        <f>Table1[[#This Row],[Total Amount]]-Table1[[#This Row],[Previous Amount]]</f>
        <v>0</v>
      </c>
      <c r="AD156" s="108"/>
    </row>
    <row r="157" spans="1:30" ht="30" customHeight="1" x14ac:dyDescent="0.3">
      <c r="A157" s="101" t="s">
        <v>89</v>
      </c>
      <c r="B157" s="92" t="s">
        <v>96</v>
      </c>
      <c r="C157" s="102" t="s">
        <v>287</v>
      </c>
      <c r="D157" s="102">
        <v>74629</v>
      </c>
      <c r="E157" s="102">
        <v>76812</v>
      </c>
      <c r="F157" s="103" t="s">
        <v>285</v>
      </c>
      <c r="G157" s="17" t="s">
        <v>223</v>
      </c>
      <c r="H157" s="151" t="s">
        <v>123</v>
      </c>
      <c r="I157" s="102">
        <v>1</v>
      </c>
      <c r="J157" s="102">
        <v>2.5</v>
      </c>
      <c r="K157" s="102">
        <v>1.8</v>
      </c>
      <c r="L157" s="102">
        <v>5</v>
      </c>
      <c r="M157" s="102"/>
      <c r="N157" s="104" t="s">
        <v>224</v>
      </c>
      <c r="O157" s="104">
        <f t="shared" si="24"/>
        <v>22.5</v>
      </c>
      <c r="P157" s="118">
        <v>44858</v>
      </c>
      <c r="Q157" s="118">
        <v>44874</v>
      </c>
      <c r="R157" s="105">
        <v>1</v>
      </c>
      <c r="S157" s="105">
        <v>1</v>
      </c>
      <c r="T157" s="105">
        <v>1</v>
      </c>
      <c r="U157" s="106">
        <f>IF(ISBLANK(Table1[[#This Row],[OHC Date]]),$B$7-Table1[[#This Row],[HOC Date]]+1,Table1[[#This Row],[OHC Date]]-Table1[[#This Row],[HOC Date]]+1)/7</f>
        <v>2.4285714285714284</v>
      </c>
      <c r="V157" s="107">
        <v>5.29</v>
      </c>
      <c r="W157" s="107">
        <v>0.35</v>
      </c>
      <c r="X157" s="107">
        <f>ROUND(0.7*Table1[[#This Row],[E&amp;D Rate per unit]]*R157*Table1[[#This Row],[Quantity]],2)</f>
        <v>83.32</v>
      </c>
      <c r="Y157" s="107">
        <f t="shared" si="25"/>
        <v>19.13</v>
      </c>
      <c r="Z157" s="107">
        <f>ROUND(0.3*T157*Table1[[#This Row],[E&amp;D Rate per unit]]*Table1[[#This Row],[Quantity]],2)</f>
        <v>35.71</v>
      </c>
      <c r="AA157" s="107">
        <f t="shared" si="26"/>
        <v>138.16</v>
      </c>
      <c r="AB157" s="126">
        <v>138.16</v>
      </c>
      <c r="AC157" s="126">
        <f>Table1[[#This Row],[Total Amount]]-Table1[[#This Row],[Previous Amount]]</f>
        <v>0</v>
      </c>
      <c r="AD157" s="108"/>
    </row>
    <row r="158" spans="1:30" ht="30" customHeight="1" x14ac:dyDescent="0.3">
      <c r="A158" s="101" t="s">
        <v>89</v>
      </c>
      <c r="B158" s="92" t="s">
        <v>96</v>
      </c>
      <c r="C158" s="102" t="s">
        <v>288</v>
      </c>
      <c r="D158" s="102">
        <v>74630</v>
      </c>
      <c r="E158" s="102">
        <v>80826</v>
      </c>
      <c r="F158" s="103" t="s">
        <v>289</v>
      </c>
      <c r="G158" s="17" t="s">
        <v>254</v>
      </c>
      <c r="H158" s="102" t="s">
        <v>176</v>
      </c>
      <c r="I158" s="102">
        <v>1</v>
      </c>
      <c r="J158" s="102">
        <v>4.5</v>
      </c>
      <c r="K158" s="102">
        <v>1</v>
      </c>
      <c r="L158" s="102">
        <v>1</v>
      </c>
      <c r="M158" s="102">
        <v>1</v>
      </c>
      <c r="N158" s="104" t="s">
        <v>160</v>
      </c>
      <c r="O158" s="104">
        <f t="shared" ref="O158:O187" si="27">ROUND(IF(N158="m3",I158*J158*K158*L158,IF(N158="m2-LxH",I158*J158*L158,IF(N158="m2-LxW",I158*J158*K158,IF(N158="rm",I158*L158,IF(N158="lm",I158*J158,IF(N158="unit",I158,"NA")))))),2)</f>
        <v>4.5</v>
      </c>
      <c r="P158" s="118">
        <v>44858</v>
      </c>
      <c r="Q158" s="118">
        <v>44915</v>
      </c>
      <c r="R158" s="105">
        <v>1</v>
      </c>
      <c r="S158" s="105">
        <v>1</v>
      </c>
      <c r="T158" s="105">
        <v>1</v>
      </c>
      <c r="U158" s="106">
        <f>IF(ISBLANK(Table1[[#This Row],[OHC Date]]),$B$7-Table1[[#This Row],[HOC Date]]+1,Table1[[#This Row],[OHC Date]]-Table1[[#This Row],[HOC Date]]+1)/7</f>
        <v>8.2857142857142865</v>
      </c>
      <c r="V158" s="107">
        <v>6.63</v>
      </c>
      <c r="W158" s="107">
        <v>0.7</v>
      </c>
      <c r="X158" s="107">
        <f>ROUND(0.7*Table1[[#This Row],[E&amp;D Rate per unit]]*R158*Table1[[#This Row],[Quantity]],2)</f>
        <v>20.88</v>
      </c>
      <c r="Y158" s="107">
        <f t="shared" ref="Y158:Y187" si="28">ROUND(O158*U158*W158*S158,2)</f>
        <v>26.1</v>
      </c>
      <c r="Z158" s="107">
        <f>ROUND(0.3*T158*Table1[[#This Row],[E&amp;D Rate per unit]]*Table1[[#This Row],[Quantity]],2)</f>
        <v>8.9499999999999993</v>
      </c>
      <c r="AA158" s="107">
        <f t="shared" ref="AA158:AA187" si="29">ROUND(X158+Z158+Y158,2)</f>
        <v>55.93</v>
      </c>
      <c r="AB158" s="126">
        <v>55.93</v>
      </c>
      <c r="AC158" s="126">
        <f>Table1[[#This Row],[Total Amount]]-Table1[[#This Row],[Previous Amount]]</f>
        <v>0</v>
      </c>
      <c r="AD158" s="108" t="s">
        <v>218</v>
      </c>
    </row>
    <row r="159" spans="1:30" ht="30" customHeight="1" x14ac:dyDescent="0.3">
      <c r="A159" s="101" t="s">
        <v>89</v>
      </c>
      <c r="B159" s="92" t="s">
        <v>96</v>
      </c>
      <c r="C159" s="102" t="s">
        <v>290</v>
      </c>
      <c r="D159" s="102">
        <v>74632</v>
      </c>
      <c r="E159" s="102">
        <v>80827</v>
      </c>
      <c r="F159" s="103" t="s">
        <v>289</v>
      </c>
      <c r="G159" s="17" t="s">
        <v>254</v>
      </c>
      <c r="H159" s="102" t="s">
        <v>176</v>
      </c>
      <c r="I159" s="102">
        <v>1</v>
      </c>
      <c r="J159" s="102">
        <v>2.5</v>
      </c>
      <c r="K159" s="102">
        <v>0.75</v>
      </c>
      <c r="L159" s="102">
        <v>1</v>
      </c>
      <c r="M159" s="102">
        <v>1</v>
      </c>
      <c r="N159" s="104" t="s">
        <v>160</v>
      </c>
      <c r="O159" s="104">
        <f t="shared" si="27"/>
        <v>1.88</v>
      </c>
      <c r="P159" s="118">
        <v>44858</v>
      </c>
      <c r="Q159" s="118">
        <v>44915</v>
      </c>
      <c r="R159" s="105">
        <v>1</v>
      </c>
      <c r="S159" s="105">
        <v>1</v>
      </c>
      <c r="T159" s="105">
        <v>1</v>
      </c>
      <c r="U159" s="106">
        <f>IF(ISBLANK(Table1[[#This Row],[OHC Date]]),$B$7-Table1[[#This Row],[HOC Date]]+1,Table1[[#This Row],[OHC Date]]-Table1[[#This Row],[HOC Date]]+1)/7</f>
        <v>8.2857142857142865</v>
      </c>
      <c r="V159" s="107">
        <v>6.63</v>
      </c>
      <c r="W159" s="107">
        <v>0.7</v>
      </c>
      <c r="X159" s="107">
        <f>ROUND(0.7*Table1[[#This Row],[E&amp;D Rate per unit]]*R159*Table1[[#This Row],[Quantity]],2)</f>
        <v>8.73</v>
      </c>
      <c r="Y159" s="107">
        <f t="shared" si="28"/>
        <v>10.9</v>
      </c>
      <c r="Z159" s="107">
        <f>ROUND(0.3*T159*Table1[[#This Row],[E&amp;D Rate per unit]]*Table1[[#This Row],[Quantity]],2)</f>
        <v>3.74</v>
      </c>
      <c r="AA159" s="107">
        <f t="shared" si="29"/>
        <v>23.37</v>
      </c>
      <c r="AB159" s="126">
        <v>23.37</v>
      </c>
      <c r="AC159" s="126">
        <f>Table1[[#This Row],[Total Amount]]-Table1[[#This Row],[Previous Amount]]</f>
        <v>0</v>
      </c>
      <c r="AD159" s="108" t="s">
        <v>218</v>
      </c>
    </row>
    <row r="160" spans="1:30" ht="30" customHeight="1" x14ac:dyDescent="0.3">
      <c r="A160" s="101" t="s">
        <v>89</v>
      </c>
      <c r="B160" s="92" t="s">
        <v>96</v>
      </c>
      <c r="C160" s="102">
        <v>17</v>
      </c>
      <c r="D160" s="102">
        <v>74637</v>
      </c>
      <c r="E160" s="102">
        <v>80828</v>
      </c>
      <c r="F160" s="103" t="s">
        <v>289</v>
      </c>
      <c r="G160" s="17" t="s">
        <v>254</v>
      </c>
      <c r="H160" s="102" t="s">
        <v>220</v>
      </c>
      <c r="I160" s="102">
        <v>1</v>
      </c>
      <c r="J160" s="102">
        <v>2.5</v>
      </c>
      <c r="K160" s="102">
        <v>1.3</v>
      </c>
      <c r="L160" s="102">
        <v>2.5</v>
      </c>
      <c r="M160" s="102">
        <v>1</v>
      </c>
      <c r="N160" s="104" t="s">
        <v>221</v>
      </c>
      <c r="O160" s="104">
        <f t="shared" si="27"/>
        <v>2.5</v>
      </c>
      <c r="P160" s="118">
        <v>44859</v>
      </c>
      <c r="Q160" s="118">
        <v>44915</v>
      </c>
      <c r="R160" s="105">
        <v>1</v>
      </c>
      <c r="S160" s="105">
        <v>1</v>
      </c>
      <c r="T160" s="105">
        <v>1</v>
      </c>
      <c r="U160" s="106">
        <f>IF(ISBLANK(Table1[[#This Row],[OHC Date]]),$B$7-Table1[[#This Row],[HOC Date]]+1,Table1[[#This Row],[OHC Date]]-Table1[[#This Row],[HOC Date]]+1)/7</f>
        <v>8.1428571428571423</v>
      </c>
      <c r="V160" s="107">
        <v>63.34</v>
      </c>
      <c r="W160" s="107">
        <v>7.28</v>
      </c>
      <c r="X160" s="107">
        <f>ROUND(0.7*Table1[[#This Row],[E&amp;D Rate per unit]]*R160*Table1[[#This Row],[Quantity]],2)</f>
        <v>110.85</v>
      </c>
      <c r="Y160" s="107">
        <f t="shared" si="28"/>
        <v>148.19999999999999</v>
      </c>
      <c r="Z160" s="107">
        <f>ROUND(0.3*T160*Table1[[#This Row],[E&amp;D Rate per unit]]*Table1[[#This Row],[Quantity]],2)</f>
        <v>47.51</v>
      </c>
      <c r="AA160" s="107">
        <f t="shared" si="29"/>
        <v>306.56</v>
      </c>
      <c r="AB160" s="126">
        <v>306.56</v>
      </c>
      <c r="AC160" s="126">
        <f>Table1[[#This Row],[Total Amount]]-Table1[[#This Row],[Previous Amount]]</f>
        <v>0</v>
      </c>
      <c r="AD160" s="108" t="s">
        <v>218</v>
      </c>
    </row>
    <row r="161" spans="1:30" ht="30" customHeight="1" x14ac:dyDescent="0.3">
      <c r="A161" s="101" t="s">
        <v>89</v>
      </c>
      <c r="B161" s="92" t="s">
        <v>96</v>
      </c>
      <c r="C161" s="102" t="s">
        <v>291</v>
      </c>
      <c r="D161" s="102">
        <v>74638</v>
      </c>
      <c r="E161" s="102">
        <v>80829</v>
      </c>
      <c r="F161" s="103" t="s">
        <v>289</v>
      </c>
      <c r="G161" s="17" t="s">
        <v>254</v>
      </c>
      <c r="H161" s="102" t="s">
        <v>126</v>
      </c>
      <c r="I161" s="102">
        <v>1</v>
      </c>
      <c r="J161" s="102">
        <v>1.5</v>
      </c>
      <c r="K161" s="102">
        <v>0.5</v>
      </c>
      <c r="L161" s="102">
        <v>1</v>
      </c>
      <c r="M161" s="102">
        <v>1</v>
      </c>
      <c r="N161" s="104" t="s">
        <v>160</v>
      </c>
      <c r="O161" s="104">
        <f t="shared" si="27"/>
        <v>0.75</v>
      </c>
      <c r="P161" s="118">
        <v>44859</v>
      </c>
      <c r="Q161" s="118">
        <v>44915</v>
      </c>
      <c r="R161" s="105">
        <v>1</v>
      </c>
      <c r="S161" s="105">
        <v>1</v>
      </c>
      <c r="T161" s="105">
        <v>1</v>
      </c>
      <c r="U161" s="106">
        <f>IF(ISBLANK(Table1[[#This Row],[OHC Date]]),$B$7-Table1[[#This Row],[HOC Date]]+1,Table1[[#This Row],[OHC Date]]-Table1[[#This Row],[HOC Date]]+1)/7</f>
        <v>8.1428571428571423</v>
      </c>
      <c r="V161" s="107">
        <v>32.75</v>
      </c>
      <c r="W161" s="107">
        <v>1.05</v>
      </c>
      <c r="X161" s="107">
        <f>ROUND(0.7*Table1[[#This Row],[E&amp;D Rate per unit]]*R161*Table1[[#This Row],[Quantity]],2)</f>
        <v>17.190000000000001</v>
      </c>
      <c r="Y161" s="107">
        <f t="shared" si="28"/>
        <v>6.41</v>
      </c>
      <c r="Z161" s="107">
        <f>ROUND(0.3*T161*Table1[[#This Row],[E&amp;D Rate per unit]]*Table1[[#This Row],[Quantity]],2)</f>
        <v>7.37</v>
      </c>
      <c r="AA161" s="107">
        <f t="shared" si="29"/>
        <v>30.97</v>
      </c>
      <c r="AB161" s="126">
        <v>30.97</v>
      </c>
      <c r="AC161" s="126">
        <f>Table1[[#This Row],[Total Amount]]-Table1[[#This Row],[Previous Amount]]</f>
        <v>0</v>
      </c>
      <c r="AD161" s="108" t="s">
        <v>218</v>
      </c>
    </row>
    <row r="162" spans="1:30" ht="30" customHeight="1" x14ac:dyDescent="0.3">
      <c r="A162" s="131" t="s">
        <v>299</v>
      </c>
      <c r="B162" s="92" t="s">
        <v>97</v>
      </c>
      <c r="C162" s="102">
        <v>35</v>
      </c>
      <c r="D162" s="102">
        <v>77666</v>
      </c>
      <c r="E162" s="102">
        <v>80509</v>
      </c>
      <c r="F162" s="17" t="s">
        <v>300</v>
      </c>
      <c r="G162" s="17" t="s">
        <v>241</v>
      </c>
      <c r="H162" s="16" t="s">
        <v>119</v>
      </c>
      <c r="I162" s="102">
        <v>1</v>
      </c>
      <c r="J162" s="102">
        <v>5</v>
      </c>
      <c r="K162" s="102">
        <v>4.3</v>
      </c>
      <c r="L162" s="102">
        <v>3</v>
      </c>
      <c r="M162" s="102">
        <v>2</v>
      </c>
      <c r="N162" s="104" t="s">
        <v>56</v>
      </c>
      <c r="O162" s="104">
        <f t="shared" si="27"/>
        <v>1</v>
      </c>
      <c r="P162" s="118">
        <v>44858</v>
      </c>
      <c r="Q162" s="118">
        <v>44877</v>
      </c>
      <c r="R162" s="105">
        <v>1</v>
      </c>
      <c r="S162" s="105">
        <v>1</v>
      </c>
      <c r="T162" s="105">
        <v>1</v>
      </c>
      <c r="U162" s="106">
        <f>IF(ISBLANK(Table1[[#This Row],[OHC Date]]),$B$7-Table1[[#This Row],[HOC Date]]+1,Table1[[#This Row],[OHC Date]]-Table1[[#This Row],[HOC Date]]+1)/7</f>
        <v>2.8571428571428572</v>
      </c>
      <c r="V162" s="107">
        <v>2391.4299999999998</v>
      </c>
      <c r="W162" s="107">
        <v>57.19</v>
      </c>
      <c r="X162" s="107">
        <f>ROUND(0.7*Table1[[#This Row],[E&amp;D Rate per unit]]*R162*Table1[[#This Row],[Quantity]],2)</f>
        <v>1674</v>
      </c>
      <c r="Y162" s="107">
        <f t="shared" si="28"/>
        <v>163.4</v>
      </c>
      <c r="Z162" s="107">
        <f>ROUND(0.3*T162*Table1[[#This Row],[E&amp;D Rate per unit]]*Table1[[#This Row],[Quantity]],2)</f>
        <v>717.43</v>
      </c>
      <c r="AA162" s="107">
        <f t="shared" si="29"/>
        <v>2554.83</v>
      </c>
      <c r="AB162" s="126">
        <v>2554.83</v>
      </c>
      <c r="AC162" s="126">
        <f>Table1[[#This Row],[Total Amount]]-Table1[[#This Row],[Previous Amount]]</f>
        <v>0</v>
      </c>
      <c r="AD162" s="132" t="s">
        <v>301</v>
      </c>
    </row>
    <row r="163" spans="1:30" ht="30" customHeight="1" x14ac:dyDescent="0.3">
      <c r="A163" s="131" t="s">
        <v>197</v>
      </c>
      <c r="B163" s="92" t="s">
        <v>97</v>
      </c>
      <c r="C163" s="16">
        <v>36</v>
      </c>
      <c r="D163" s="16">
        <v>77671</v>
      </c>
      <c r="E163" s="187">
        <v>80894</v>
      </c>
      <c r="F163" s="103" t="s">
        <v>199</v>
      </c>
      <c r="G163" s="17" t="s">
        <v>200</v>
      </c>
      <c r="H163" s="102" t="s">
        <v>201</v>
      </c>
      <c r="I163" s="16">
        <v>1</v>
      </c>
      <c r="J163" s="16"/>
      <c r="K163" s="16"/>
      <c r="L163" s="16"/>
      <c r="M163" s="16"/>
      <c r="N163" s="93" t="s">
        <v>56</v>
      </c>
      <c r="O163" s="93">
        <f t="shared" si="27"/>
        <v>1</v>
      </c>
      <c r="P163" s="186">
        <v>44860</v>
      </c>
      <c r="Q163" s="188">
        <v>44949</v>
      </c>
      <c r="R163" s="19">
        <v>1</v>
      </c>
      <c r="S163" s="19">
        <v>1</v>
      </c>
      <c r="T163" s="19">
        <v>1</v>
      </c>
      <c r="U163" s="20">
        <f>IF(ISBLANK(Table1[[#This Row],[OHC Date]]),$B$7-Table1[[#This Row],[HOC Date]]+1,Table1[[#This Row],[OHC Date]]-Table1[[#This Row],[HOC Date]]+1)/7</f>
        <v>12.857142857142858</v>
      </c>
      <c r="V163" s="107">
        <v>4959.7700000000004</v>
      </c>
      <c r="W163" s="107">
        <v>123.48</v>
      </c>
      <c r="X163" s="21">
        <f>ROUND(0.7*Table1[[#This Row],[E&amp;D Rate per unit]]*R163*Table1[[#This Row],[Quantity]],2)</f>
        <v>3471.84</v>
      </c>
      <c r="Y163" s="21">
        <f t="shared" si="28"/>
        <v>1587.6</v>
      </c>
      <c r="Z163" s="21">
        <f>ROUND(0.3*T163*Table1[[#This Row],[E&amp;D Rate per unit]]*Table1[[#This Row],[Quantity]],2)</f>
        <v>1487.93</v>
      </c>
      <c r="AA163" s="21">
        <f t="shared" si="29"/>
        <v>6547.37</v>
      </c>
      <c r="AB163" s="129">
        <v>4547.88</v>
      </c>
      <c r="AC163" s="129">
        <f>Table1[[#This Row],[Total Amount]]-Table1[[#This Row],[Previous Amount]]</f>
        <v>1999.4899999999998</v>
      </c>
      <c r="AD163" s="127" t="s">
        <v>202</v>
      </c>
    </row>
    <row r="164" spans="1:30" ht="30" customHeight="1" x14ac:dyDescent="0.3">
      <c r="A164" s="101" t="s">
        <v>89</v>
      </c>
      <c r="B164" s="92" t="s">
        <v>97</v>
      </c>
      <c r="C164" s="16" t="s">
        <v>302</v>
      </c>
      <c r="D164" s="16">
        <v>77672</v>
      </c>
      <c r="E164" s="16">
        <v>76773</v>
      </c>
      <c r="F164" s="17" t="s">
        <v>238</v>
      </c>
      <c r="G164" s="17" t="s">
        <v>190</v>
      </c>
      <c r="H164" s="16" t="s">
        <v>176</v>
      </c>
      <c r="I164" s="16">
        <v>1</v>
      </c>
      <c r="J164" s="16">
        <v>10.8</v>
      </c>
      <c r="K164" s="16">
        <v>0.5</v>
      </c>
      <c r="L164" s="16">
        <v>1</v>
      </c>
      <c r="M164" s="16">
        <v>1</v>
      </c>
      <c r="N164" s="93" t="s">
        <v>160</v>
      </c>
      <c r="O164" s="93">
        <f t="shared" si="27"/>
        <v>5.4</v>
      </c>
      <c r="P164" s="118">
        <v>44860</v>
      </c>
      <c r="Q164" s="18">
        <v>44862</v>
      </c>
      <c r="R164" s="19">
        <v>1</v>
      </c>
      <c r="S164" s="19">
        <v>1</v>
      </c>
      <c r="T164" s="19">
        <v>1</v>
      </c>
      <c r="U164" s="20">
        <f>IF(ISBLANK(Table1[[#This Row],[OHC Date]]),$B$7-Table1[[#This Row],[HOC Date]]+1,Table1[[#This Row],[OHC Date]]-Table1[[#This Row],[HOC Date]]+1)/7</f>
        <v>0.42857142857142855</v>
      </c>
      <c r="V164" s="21">
        <v>6.63</v>
      </c>
      <c r="W164" s="21">
        <v>0.7</v>
      </c>
      <c r="X164" s="21">
        <f>ROUND(0.7*Table1[[#This Row],[E&amp;D Rate per unit]]*R164*Table1[[#This Row],[Quantity]],2)</f>
        <v>25.06</v>
      </c>
      <c r="Y164" s="21">
        <f t="shared" si="28"/>
        <v>1.62</v>
      </c>
      <c r="Z164" s="21">
        <f>ROUND(0.3*T164*Table1[[#This Row],[E&amp;D Rate per unit]]*Table1[[#This Row],[Quantity]],2)</f>
        <v>10.74</v>
      </c>
      <c r="AA164" s="21">
        <f t="shared" si="29"/>
        <v>37.42</v>
      </c>
      <c r="AB164" s="129">
        <v>37.42</v>
      </c>
      <c r="AC164" s="129">
        <f>Table1[[#This Row],[Total Amount]]-Table1[[#This Row],[Previous Amount]]</f>
        <v>0</v>
      </c>
      <c r="AD164" s="127"/>
    </row>
    <row r="165" spans="1:30" ht="30" customHeight="1" x14ac:dyDescent="0.3">
      <c r="A165" s="101" t="s">
        <v>89</v>
      </c>
      <c r="B165" s="92" t="s">
        <v>97</v>
      </c>
      <c r="C165" s="16" t="s">
        <v>303</v>
      </c>
      <c r="D165" s="16">
        <v>77673</v>
      </c>
      <c r="E165" s="16"/>
      <c r="F165" s="17" t="s">
        <v>238</v>
      </c>
      <c r="G165" s="17" t="s">
        <v>190</v>
      </c>
      <c r="H165" s="16" t="s">
        <v>176</v>
      </c>
      <c r="I165" s="16">
        <v>2</v>
      </c>
      <c r="J165" s="16">
        <v>10.8</v>
      </c>
      <c r="K165" s="16">
        <v>0.25</v>
      </c>
      <c r="L165" s="16">
        <v>1</v>
      </c>
      <c r="M165" s="16">
        <v>2</v>
      </c>
      <c r="N165" s="93" t="s">
        <v>160</v>
      </c>
      <c r="O165" s="93">
        <f t="shared" si="27"/>
        <v>5.4</v>
      </c>
      <c r="P165" s="118">
        <v>44860</v>
      </c>
      <c r="Q165" s="18"/>
      <c r="R165" s="19">
        <v>1</v>
      </c>
      <c r="S165" s="19">
        <v>1</v>
      </c>
      <c r="T165" s="19">
        <v>0</v>
      </c>
      <c r="U165" s="20">
        <f>IF(ISBLANK(Table1[[#This Row],[OHC Date]]),$B$7-Table1[[#This Row],[HOC Date]]+1,Table1[[#This Row],[OHC Date]]-Table1[[#This Row],[HOC Date]]+1)/7</f>
        <v>13.142857142857142</v>
      </c>
      <c r="V165" s="21">
        <v>6.63</v>
      </c>
      <c r="W165" s="21">
        <v>0.7</v>
      </c>
      <c r="X165" s="21">
        <f>ROUND(0.7*Table1[[#This Row],[E&amp;D Rate per unit]]*R165*Table1[[#This Row],[Quantity]],2)</f>
        <v>25.06</v>
      </c>
      <c r="Y165" s="21">
        <f t="shared" si="28"/>
        <v>49.68</v>
      </c>
      <c r="Z165" s="21">
        <f>ROUND(0.3*T165*Table1[[#This Row],[E&amp;D Rate per unit]]*Table1[[#This Row],[Quantity]],2)</f>
        <v>0</v>
      </c>
      <c r="AA165" s="21">
        <f t="shared" si="29"/>
        <v>74.739999999999995</v>
      </c>
      <c r="AB165" s="129">
        <v>58</v>
      </c>
      <c r="AC165" s="129">
        <f>Table1[[#This Row],[Total Amount]]-Table1[[#This Row],[Previous Amount]]</f>
        <v>16.739999999999995</v>
      </c>
      <c r="AD165" s="127"/>
    </row>
    <row r="166" spans="1:30" ht="30" customHeight="1" x14ac:dyDescent="0.3">
      <c r="A166" s="101" t="s">
        <v>89</v>
      </c>
      <c r="B166" s="92" t="s">
        <v>97</v>
      </c>
      <c r="C166" s="16">
        <v>37</v>
      </c>
      <c r="D166" s="16">
        <v>77674</v>
      </c>
      <c r="E166" s="16"/>
      <c r="F166" s="17" t="s">
        <v>238</v>
      </c>
      <c r="G166" s="17" t="s">
        <v>304</v>
      </c>
      <c r="H166" s="16" t="s">
        <v>220</v>
      </c>
      <c r="I166" s="16">
        <v>1</v>
      </c>
      <c r="J166" s="16">
        <v>2.5</v>
      </c>
      <c r="K166" s="16">
        <v>1.3</v>
      </c>
      <c r="L166" s="16">
        <v>1</v>
      </c>
      <c r="M166" s="16">
        <v>1</v>
      </c>
      <c r="N166" s="93" t="s">
        <v>221</v>
      </c>
      <c r="O166" s="93">
        <f t="shared" si="27"/>
        <v>1</v>
      </c>
      <c r="P166" s="186">
        <v>44862</v>
      </c>
      <c r="Q166" s="18"/>
      <c r="R166" s="19">
        <v>1</v>
      </c>
      <c r="S166" s="19">
        <v>1</v>
      </c>
      <c r="T166" s="19">
        <v>0</v>
      </c>
      <c r="U166" s="20">
        <f>IF(ISBLANK(Table1[[#This Row],[OHC Date]]),$B$7-Table1[[#This Row],[HOC Date]]+1,Table1[[#This Row],[OHC Date]]-Table1[[#This Row],[HOC Date]]+1)/7</f>
        <v>12.857142857142858</v>
      </c>
      <c r="V166" s="21">
        <v>63.34</v>
      </c>
      <c r="W166" s="21">
        <v>7.28</v>
      </c>
      <c r="X166" s="21">
        <f>ROUND(0.7*Table1[[#This Row],[E&amp;D Rate per unit]]*R166*Table1[[#This Row],[Quantity]],2)</f>
        <v>44.34</v>
      </c>
      <c r="Y166" s="21">
        <f t="shared" si="28"/>
        <v>93.6</v>
      </c>
      <c r="Z166" s="21">
        <f>ROUND(0.3*T166*Table1[[#This Row],[E&amp;D Rate per unit]]*Table1[[#This Row],[Quantity]],2)</f>
        <v>0</v>
      </c>
      <c r="AA166" s="21">
        <f t="shared" si="29"/>
        <v>137.94</v>
      </c>
      <c r="AB166" s="129">
        <v>105.7</v>
      </c>
      <c r="AC166" s="129">
        <f>Table1[[#This Row],[Total Amount]]-Table1[[#This Row],[Previous Amount]]</f>
        <v>32.239999999999995</v>
      </c>
      <c r="AD166" s="127"/>
    </row>
    <row r="167" spans="1:30" ht="30" customHeight="1" x14ac:dyDescent="0.3">
      <c r="A167" s="101" t="s">
        <v>89</v>
      </c>
      <c r="B167" s="92" t="s">
        <v>97</v>
      </c>
      <c r="C167" s="16">
        <v>38</v>
      </c>
      <c r="D167" s="16">
        <v>77675</v>
      </c>
      <c r="E167" s="16">
        <v>76795</v>
      </c>
      <c r="F167" s="17" t="s">
        <v>305</v>
      </c>
      <c r="G167" s="17" t="s">
        <v>200</v>
      </c>
      <c r="H167" s="16" t="s">
        <v>205</v>
      </c>
      <c r="I167" s="16">
        <v>1</v>
      </c>
      <c r="J167" s="16">
        <v>3.1</v>
      </c>
      <c r="K167" s="16">
        <v>1.3</v>
      </c>
      <c r="L167" s="16">
        <v>4.2</v>
      </c>
      <c r="M167" s="16">
        <v>1</v>
      </c>
      <c r="N167" s="93" t="s">
        <v>206</v>
      </c>
      <c r="O167" s="93">
        <f t="shared" si="27"/>
        <v>13.02</v>
      </c>
      <c r="P167" s="118">
        <v>44862</v>
      </c>
      <c r="Q167" s="18">
        <v>44869</v>
      </c>
      <c r="R167" s="19">
        <v>1</v>
      </c>
      <c r="S167" s="19">
        <v>1</v>
      </c>
      <c r="T167" s="19">
        <v>1</v>
      </c>
      <c r="U167" s="20">
        <f>IF(ISBLANK(Table1[[#This Row],[OHC Date]]),$B$7-Table1[[#This Row],[HOC Date]]+1,Table1[[#This Row],[OHC Date]]-Table1[[#This Row],[HOC Date]]+1)/7</f>
        <v>1.1428571428571428</v>
      </c>
      <c r="V167" s="21">
        <v>12.01</v>
      </c>
      <c r="W167" s="21">
        <v>0.49</v>
      </c>
      <c r="X167" s="21">
        <f>ROUND(0.7*Table1[[#This Row],[E&amp;D Rate per unit]]*R167*Table1[[#This Row],[Quantity]],2)</f>
        <v>109.46</v>
      </c>
      <c r="Y167" s="21">
        <f t="shared" si="28"/>
        <v>7.29</v>
      </c>
      <c r="Z167" s="21">
        <f>ROUND(0.3*T167*Table1[[#This Row],[E&amp;D Rate per unit]]*Table1[[#This Row],[Quantity]],2)</f>
        <v>46.91</v>
      </c>
      <c r="AA167" s="21">
        <f t="shared" si="29"/>
        <v>163.66</v>
      </c>
      <c r="AB167" s="129">
        <v>163.66</v>
      </c>
      <c r="AC167" s="129">
        <f>Table1[[#This Row],[Total Amount]]-Table1[[#This Row],[Previous Amount]]</f>
        <v>0</v>
      </c>
      <c r="AD167" s="127"/>
    </row>
    <row r="168" spans="1:30" ht="30" customHeight="1" x14ac:dyDescent="0.3">
      <c r="A168" s="101" t="s">
        <v>89</v>
      </c>
      <c r="B168" s="92" t="s">
        <v>97</v>
      </c>
      <c r="C168" s="16">
        <v>38</v>
      </c>
      <c r="D168" s="16">
        <v>77675</v>
      </c>
      <c r="E168" s="16">
        <v>76795</v>
      </c>
      <c r="F168" s="17" t="s">
        <v>305</v>
      </c>
      <c r="G168" s="17" t="s">
        <v>200</v>
      </c>
      <c r="H168" s="16" t="s">
        <v>176</v>
      </c>
      <c r="I168" s="16">
        <v>1</v>
      </c>
      <c r="J168" s="16">
        <v>3.1</v>
      </c>
      <c r="K168" s="16">
        <v>1.3</v>
      </c>
      <c r="L168" s="16"/>
      <c r="M168" s="16">
        <v>1</v>
      </c>
      <c r="N168" s="93" t="s">
        <v>160</v>
      </c>
      <c r="O168" s="93">
        <f t="shared" si="27"/>
        <v>4.03</v>
      </c>
      <c r="P168" s="118">
        <v>44862</v>
      </c>
      <c r="Q168" s="18">
        <v>44869</v>
      </c>
      <c r="R168" s="19">
        <v>1</v>
      </c>
      <c r="S168" s="19">
        <v>1</v>
      </c>
      <c r="T168" s="19">
        <v>1</v>
      </c>
      <c r="U168" s="20">
        <f>IF(ISBLANK(Table1[[#This Row],[OHC Date]]),$B$7-Table1[[#This Row],[HOC Date]]+1,Table1[[#This Row],[OHC Date]]-Table1[[#This Row],[HOC Date]]+1)/7</f>
        <v>1.1428571428571428</v>
      </c>
      <c r="V168" s="21">
        <v>6.63</v>
      </c>
      <c r="W168" s="21">
        <v>0.7</v>
      </c>
      <c r="X168" s="21">
        <f>ROUND(0.7*Table1[[#This Row],[E&amp;D Rate per unit]]*R168*Table1[[#This Row],[Quantity]],2)</f>
        <v>18.7</v>
      </c>
      <c r="Y168" s="21">
        <f t="shared" si="28"/>
        <v>3.22</v>
      </c>
      <c r="Z168" s="21">
        <f>ROUND(0.3*T168*Table1[[#This Row],[E&amp;D Rate per unit]]*Table1[[#This Row],[Quantity]],2)</f>
        <v>8.02</v>
      </c>
      <c r="AA168" s="21">
        <f t="shared" si="29"/>
        <v>29.94</v>
      </c>
      <c r="AB168" s="129">
        <v>29.94</v>
      </c>
      <c r="AC168" s="129">
        <f>Table1[[#This Row],[Total Amount]]-Table1[[#This Row],[Previous Amount]]</f>
        <v>0</v>
      </c>
      <c r="AD168" s="127"/>
    </row>
    <row r="169" spans="1:30" ht="30" customHeight="1" x14ac:dyDescent="0.3">
      <c r="A169" s="101" t="s">
        <v>89</v>
      </c>
      <c r="B169" s="92" t="s">
        <v>97</v>
      </c>
      <c r="C169" s="16">
        <v>39</v>
      </c>
      <c r="D169" s="16">
        <v>77676</v>
      </c>
      <c r="E169" s="16"/>
      <c r="F169" s="17" t="s">
        <v>306</v>
      </c>
      <c r="G169" s="17" t="s">
        <v>226</v>
      </c>
      <c r="H169" s="16" t="s">
        <v>119</v>
      </c>
      <c r="I169" s="16">
        <v>1</v>
      </c>
      <c r="J169" s="16">
        <v>3</v>
      </c>
      <c r="K169" s="16">
        <v>3</v>
      </c>
      <c r="L169" s="16">
        <v>5</v>
      </c>
      <c r="M169" s="16">
        <v>1</v>
      </c>
      <c r="N169" s="93" t="s">
        <v>224</v>
      </c>
      <c r="O169" s="93">
        <f t="shared" si="27"/>
        <v>45</v>
      </c>
      <c r="P169" s="188">
        <v>44862</v>
      </c>
      <c r="Q169" s="18"/>
      <c r="R169" s="19">
        <v>1</v>
      </c>
      <c r="S169" s="19">
        <v>1</v>
      </c>
      <c r="T169" s="19">
        <v>0</v>
      </c>
      <c r="U169" s="20">
        <f>IF(ISBLANK(Table1[[#This Row],[OHC Date]]),$B$7-Table1[[#This Row],[HOC Date]]+1,Table1[[#This Row],[OHC Date]]-Table1[[#This Row],[HOC Date]]+1)/7</f>
        <v>12.857142857142858</v>
      </c>
      <c r="V169" s="21">
        <v>7.08</v>
      </c>
      <c r="W169" s="21">
        <v>0.49</v>
      </c>
      <c r="X169" s="21">
        <f>ROUND(0.7*Table1[[#This Row],[E&amp;D Rate per unit]]*R169*Table1[[#This Row],[Quantity]],2)</f>
        <v>223.02</v>
      </c>
      <c r="Y169" s="21">
        <f t="shared" si="28"/>
        <v>283.5</v>
      </c>
      <c r="Z169" s="21">
        <f>ROUND(0.3*T169*Table1[[#This Row],[E&amp;D Rate per unit]]*Table1[[#This Row],[Quantity]],2)</f>
        <v>0</v>
      </c>
      <c r="AA169" s="21">
        <f t="shared" si="29"/>
        <v>506.52</v>
      </c>
      <c r="AB169" s="129">
        <v>408.87</v>
      </c>
      <c r="AC169" s="129">
        <f>Table1[[#This Row],[Total Amount]]-Table1[[#This Row],[Previous Amount]]</f>
        <v>97.649999999999977</v>
      </c>
      <c r="AD169" s="127"/>
    </row>
    <row r="170" spans="1:30" ht="30" customHeight="1" x14ac:dyDescent="0.3">
      <c r="A170" s="101" t="s">
        <v>89</v>
      </c>
      <c r="B170" s="92" t="s">
        <v>97</v>
      </c>
      <c r="C170" s="16">
        <v>40</v>
      </c>
      <c r="D170" s="16">
        <v>77677</v>
      </c>
      <c r="E170" s="16"/>
      <c r="F170" s="17" t="s">
        <v>307</v>
      </c>
      <c r="G170" s="17" t="s">
        <v>190</v>
      </c>
      <c r="H170" s="16" t="s">
        <v>308</v>
      </c>
      <c r="I170" s="16">
        <v>1</v>
      </c>
      <c r="J170" s="16">
        <v>10</v>
      </c>
      <c r="K170" s="16"/>
      <c r="L170" s="16">
        <v>1</v>
      </c>
      <c r="M170" s="16"/>
      <c r="N170" s="93" t="s">
        <v>283</v>
      </c>
      <c r="O170" s="93">
        <f t="shared" si="27"/>
        <v>10</v>
      </c>
      <c r="P170" s="188">
        <v>44863</v>
      </c>
      <c r="Q170" s="18"/>
      <c r="R170" s="19">
        <v>1</v>
      </c>
      <c r="S170" s="19">
        <v>1</v>
      </c>
      <c r="T170" s="19">
        <v>0</v>
      </c>
      <c r="U170" s="20">
        <f>IF(ISBLANK(Table1[[#This Row],[OHC Date]]),$B$7-Table1[[#This Row],[HOC Date]]+1,Table1[[#This Row],[OHC Date]]-Table1[[#This Row],[HOC Date]]+1)/7</f>
        <v>12.714285714285714</v>
      </c>
      <c r="V170" s="21">
        <v>12</v>
      </c>
      <c r="W170" s="21">
        <v>0.7</v>
      </c>
      <c r="X170" s="21">
        <f>ROUND(0.7*Table1[[#This Row],[E&amp;D Rate per unit]]*R170*Table1[[#This Row],[Quantity]],2)</f>
        <v>84</v>
      </c>
      <c r="Y170" s="21">
        <f t="shared" si="28"/>
        <v>89</v>
      </c>
      <c r="Z170" s="21">
        <f>ROUND(0.3*T170*Table1[[#This Row],[E&amp;D Rate per unit]]*Table1[[#This Row],[Quantity]],2)</f>
        <v>0</v>
      </c>
      <c r="AA170" s="21">
        <f t="shared" si="29"/>
        <v>173</v>
      </c>
      <c r="AB170" s="129">
        <v>142</v>
      </c>
      <c r="AC170" s="129">
        <f>Table1[[#This Row],[Total Amount]]-Table1[[#This Row],[Previous Amount]]</f>
        <v>31</v>
      </c>
      <c r="AD170" s="127"/>
    </row>
    <row r="171" spans="1:30" ht="30" customHeight="1" x14ac:dyDescent="0.3">
      <c r="A171" s="101" t="s">
        <v>89</v>
      </c>
      <c r="B171" s="92" t="s">
        <v>97</v>
      </c>
      <c r="C171" s="16" t="s">
        <v>309</v>
      </c>
      <c r="D171" s="16">
        <v>77678</v>
      </c>
      <c r="E171" s="16"/>
      <c r="F171" s="17" t="s">
        <v>238</v>
      </c>
      <c r="G171" s="17" t="s">
        <v>159</v>
      </c>
      <c r="H171" s="102" t="s">
        <v>126</v>
      </c>
      <c r="I171" s="16">
        <v>1</v>
      </c>
      <c r="J171" s="16">
        <v>10.8</v>
      </c>
      <c r="K171" s="16">
        <v>0.5</v>
      </c>
      <c r="L171" s="16">
        <v>1</v>
      </c>
      <c r="M171" s="16">
        <v>1</v>
      </c>
      <c r="N171" s="93" t="s">
        <v>160</v>
      </c>
      <c r="O171" s="93">
        <f t="shared" si="27"/>
        <v>5.4</v>
      </c>
      <c r="P171" s="188">
        <v>44863</v>
      </c>
      <c r="Q171" s="18"/>
      <c r="R171" s="19">
        <v>1</v>
      </c>
      <c r="S171" s="19">
        <v>1</v>
      </c>
      <c r="T171" s="19">
        <v>0</v>
      </c>
      <c r="U171" s="20">
        <f>IF(ISBLANK(Table1[[#This Row],[OHC Date]]),$B$7-Table1[[#This Row],[HOC Date]]+1,Table1[[#This Row],[OHC Date]]-Table1[[#This Row],[HOC Date]]+1)/7</f>
        <v>12.714285714285714</v>
      </c>
      <c r="V171" s="21">
        <v>32.75</v>
      </c>
      <c r="W171" s="21">
        <v>1.05</v>
      </c>
      <c r="X171" s="21">
        <f>ROUND(0.7*Table1[[#This Row],[E&amp;D Rate per unit]]*R171*Table1[[#This Row],[Quantity]],2)</f>
        <v>123.8</v>
      </c>
      <c r="Y171" s="21">
        <f t="shared" si="28"/>
        <v>72.09</v>
      </c>
      <c r="Z171" s="21">
        <f>ROUND(0.3*T171*Table1[[#This Row],[E&amp;D Rate per unit]]*Table1[[#This Row],[Quantity]],2)</f>
        <v>0</v>
      </c>
      <c r="AA171" s="21">
        <f t="shared" si="29"/>
        <v>195.89</v>
      </c>
      <c r="AB171" s="129">
        <v>170.78</v>
      </c>
      <c r="AC171" s="129">
        <f>Table1[[#This Row],[Total Amount]]-Table1[[#This Row],[Previous Amount]]</f>
        <v>25.109999999999985</v>
      </c>
      <c r="AD171" s="127"/>
    </row>
    <row r="172" spans="1:30" ht="30" customHeight="1" x14ac:dyDescent="0.3">
      <c r="A172" s="101" t="s">
        <v>89</v>
      </c>
      <c r="B172" s="92" t="s">
        <v>97</v>
      </c>
      <c r="C172" s="16">
        <v>41</v>
      </c>
      <c r="D172" s="16">
        <v>77679</v>
      </c>
      <c r="E172" s="16">
        <v>76796</v>
      </c>
      <c r="F172" s="17" t="s">
        <v>310</v>
      </c>
      <c r="G172" s="17" t="s">
        <v>200</v>
      </c>
      <c r="H172" s="16" t="s">
        <v>205</v>
      </c>
      <c r="I172" s="16">
        <v>1</v>
      </c>
      <c r="J172" s="16">
        <v>5.4</v>
      </c>
      <c r="K172" s="16">
        <v>1.3</v>
      </c>
      <c r="L172" s="16">
        <v>4</v>
      </c>
      <c r="M172" s="16">
        <v>1</v>
      </c>
      <c r="N172" s="93" t="s">
        <v>206</v>
      </c>
      <c r="O172" s="93">
        <f t="shared" si="27"/>
        <v>21.6</v>
      </c>
      <c r="P172" s="18">
        <v>44863</v>
      </c>
      <c r="Q172" s="18">
        <v>44874</v>
      </c>
      <c r="R172" s="19">
        <v>1</v>
      </c>
      <c r="S172" s="19">
        <v>1</v>
      </c>
      <c r="T172" s="19">
        <v>1</v>
      </c>
      <c r="U172" s="20">
        <f>IF(ISBLANK(Table1[[#This Row],[OHC Date]]),$B$7-Table1[[#This Row],[HOC Date]]+1,Table1[[#This Row],[OHC Date]]-Table1[[#This Row],[HOC Date]]+1)/7</f>
        <v>1.7142857142857142</v>
      </c>
      <c r="V172" s="21">
        <v>12.01</v>
      </c>
      <c r="W172" s="21">
        <v>0.49</v>
      </c>
      <c r="X172" s="21">
        <f>ROUND(0.7*Table1[[#This Row],[E&amp;D Rate per unit]]*R172*Table1[[#This Row],[Quantity]],2)</f>
        <v>181.59</v>
      </c>
      <c r="Y172" s="21">
        <f t="shared" si="28"/>
        <v>18.14</v>
      </c>
      <c r="Z172" s="21">
        <f>ROUND(0.3*T172*Table1[[#This Row],[E&amp;D Rate per unit]]*Table1[[#This Row],[Quantity]],2)</f>
        <v>77.819999999999993</v>
      </c>
      <c r="AA172" s="21">
        <f t="shared" si="29"/>
        <v>277.55</v>
      </c>
      <c r="AB172" s="129">
        <v>277.55</v>
      </c>
      <c r="AC172" s="129">
        <f>Table1[[#This Row],[Total Amount]]-Table1[[#This Row],[Previous Amount]]</f>
        <v>0</v>
      </c>
      <c r="AD172" s="127"/>
    </row>
    <row r="173" spans="1:30" ht="30" customHeight="1" x14ac:dyDescent="0.3">
      <c r="A173" s="101" t="s">
        <v>89</v>
      </c>
      <c r="B173" s="92" t="s">
        <v>97</v>
      </c>
      <c r="C173" s="16">
        <v>41</v>
      </c>
      <c r="D173" s="16">
        <v>77679</v>
      </c>
      <c r="E173" s="16">
        <v>76796</v>
      </c>
      <c r="F173" s="17" t="s">
        <v>310</v>
      </c>
      <c r="G173" s="17" t="s">
        <v>200</v>
      </c>
      <c r="H173" s="16" t="s">
        <v>176</v>
      </c>
      <c r="I173" s="16">
        <v>1</v>
      </c>
      <c r="J173" s="16">
        <v>5.4</v>
      </c>
      <c r="K173" s="16">
        <v>1.3</v>
      </c>
      <c r="L173" s="16">
        <v>1</v>
      </c>
      <c r="M173" s="16">
        <v>1</v>
      </c>
      <c r="N173" s="93" t="s">
        <v>160</v>
      </c>
      <c r="O173" s="93">
        <f t="shared" si="27"/>
        <v>7.02</v>
      </c>
      <c r="P173" s="18">
        <v>44863</v>
      </c>
      <c r="Q173" s="18">
        <v>44874</v>
      </c>
      <c r="R173" s="19">
        <v>1</v>
      </c>
      <c r="S173" s="19">
        <v>1</v>
      </c>
      <c r="T173" s="19">
        <v>1</v>
      </c>
      <c r="U173" s="20">
        <f>IF(ISBLANK(Table1[[#This Row],[OHC Date]]),$B$7-Table1[[#This Row],[HOC Date]]+1,Table1[[#This Row],[OHC Date]]-Table1[[#This Row],[HOC Date]]+1)/7</f>
        <v>1.7142857142857142</v>
      </c>
      <c r="V173" s="21">
        <v>6.63</v>
      </c>
      <c r="W173" s="21">
        <v>0.7</v>
      </c>
      <c r="X173" s="21">
        <f>ROUND(0.7*Table1[[#This Row],[E&amp;D Rate per unit]]*R173*Table1[[#This Row],[Quantity]],2)</f>
        <v>32.58</v>
      </c>
      <c r="Y173" s="21">
        <f t="shared" si="28"/>
        <v>8.42</v>
      </c>
      <c r="Z173" s="21">
        <f>ROUND(0.3*T173*Table1[[#This Row],[E&amp;D Rate per unit]]*Table1[[#This Row],[Quantity]],2)</f>
        <v>13.96</v>
      </c>
      <c r="AA173" s="21">
        <f t="shared" si="29"/>
        <v>54.96</v>
      </c>
      <c r="AB173" s="129">
        <v>54.96</v>
      </c>
      <c r="AC173" s="129">
        <f>Table1[[#This Row],[Total Amount]]-Table1[[#This Row],[Previous Amount]]</f>
        <v>0</v>
      </c>
      <c r="AD173" s="127"/>
    </row>
    <row r="174" spans="1:30" ht="30" customHeight="1" x14ac:dyDescent="0.3">
      <c r="A174" s="92" t="s">
        <v>89</v>
      </c>
      <c r="B174" s="92" t="s">
        <v>97</v>
      </c>
      <c r="C174" s="16" t="s">
        <v>311</v>
      </c>
      <c r="D174" s="16">
        <v>77680</v>
      </c>
      <c r="E174" s="16">
        <v>76785</v>
      </c>
      <c r="F174" s="17" t="s">
        <v>310</v>
      </c>
      <c r="G174" s="17" t="s">
        <v>200</v>
      </c>
      <c r="H174" s="102" t="s">
        <v>126</v>
      </c>
      <c r="I174" s="16">
        <v>2</v>
      </c>
      <c r="J174" s="16">
        <v>2</v>
      </c>
      <c r="K174" s="16">
        <v>0.5</v>
      </c>
      <c r="L174" s="16">
        <v>1</v>
      </c>
      <c r="M174" s="16">
        <v>2</v>
      </c>
      <c r="N174" s="93" t="s">
        <v>160</v>
      </c>
      <c r="O174" s="93">
        <f t="shared" si="27"/>
        <v>2</v>
      </c>
      <c r="P174" s="18">
        <v>44863</v>
      </c>
      <c r="Q174" s="18">
        <v>44868</v>
      </c>
      <c r="R174" s="19">
        <v>1</v>
      </c>
      <c r="S174" s="19">
        <v>1</v>
      </c>
      <c r="T174" s="19">
        <v>1</v>
      </c>
      <c r="U174" s="20">
        <f>IF(ISBLANK(Table1[[#This Row],[OHC Date]]),$B$7-Table1[[#This Row],[HOC Date]]+1,Table1[[#This Row],[OHC Date]]-Table1[[#This Row],[HOC Date]]+1)/7</f>
        <v>0.8571428571428571</v>
      </c>
      <c r="V174" s="21">
        <v>32.75</v>
      </c>
      <c r="W174" s="21">
        <v>1.05</v>
      </c>
      <c r="X174" s="21">
        <f>ROUND(0.7*Table1[[#This Row],[E&amp;D Rate per unit]]*R174*Table1[[#This Row],[Quantity]],2)</f>
        <v>45.85</v>
      </c>
      <c r="Y174" s="21">
        <f t="shared" si="28"/>
        <v>1.8</v>
      </c>
      <c r="Z174" s="21">
        <f>ROUND(0.3*T174*Table1[[#This Row],[E&amp;D Rate per unit]]*Table1[[#This Row],[Quantity]],2)</f>
        <v>19.649999999999999</v>
      </c>
      <c r="AA174" s="21">
        <f t="shared" si="29"/>
        <v>67.3</v>
      </c>
      <c r="AB174" s="129">
        <v>67.3</v>
      </c>
      <c r="AC174" s="129">
        <f>Table1[[#This Row],[Total Amount]]-Table1[[#This Row],[Previous Amount]]</f>
        <v>0</v>
      </c>
      <c r="AD174" s="127"/>
    </row>
    <row r="175" spans="1:30" ht="30" customHeight="1" x14ac:dyDescent="0.3">
      <c r="A175" s="92" t="s">
        <v>89</v>
      </c>
      <c r="B175" s="92" t="s">
        <v>97</v>
      </c>
      <c r="C175" s="16" t="s">
        <v>312</v>
      </c>
      <c r="D175" s="16">
        <v>77681</v>
      </c>
      <c r="E175" s="16">
        <v>76778</v>
      </c>
      <c r="F175" s="17" t="s">
        <v>310</v>
      </c>
      <c r="G175" s="17" t="s">
        <v>200</v>
      </c>
      <c r="H175" s="102" t="s">
        <v>126</v>
      </c>
      <c r="I175" s="16">
        <v>2</v>
      </c>
      <c r="J175" s="16">
        <v>2</v>
      </c>
      <c r="K175" s="16">
        <v>0.5</v>
      </c>
      <c r="L175" s="16">
        <v>1</v>
      </c>
      <c r="M175" s="16">
        <v>2</v>
      </c>
      <c r="N175" s="93" t="s">
        <v>160</v>
      </c>
      <c r="O175" s="93">
        <f t="shared" si="27"/>
        <v>2</v>
      </c>
      <c r="P175" s="18">
        <v>44863</v>
      </c>
      <c r="Q175" s="18">
        <v>44867</v>
      </c>
      <c r="R175" s="19">
        <v>1</v>
      </c>
      <c r="S175" s="19">
        <v>1</v>
      </c>
      <c r="T175" s="19">
        <v>1</v>
      </c>
      <c r="U175" s="20">
        <f>IF(ISBLANK(Table1[[#This Row],[OHC Date]]),$B$7-Table1[[#This Row],[HOC Date]]+1,Table1[[#This Row],[OHC Date]]-Table1[[#This Row],[HOC Date]]+1)/7</f>
        <v>0.7142857142857143</v>
      </c>
      <c r="V175" s="21">
        <v>32.75</v>
      </c>
      <c r="W175" s="21">
        <v>1.05</v>
      </c>
      <c r="X175" s="21">
        <f>ROUND(0.7*Table1[[#This Row],[E&amp;D Rate per unit]]*R175*Table1[[#This Row],[Quantity]],2)</f>
        <v>45.85</v>
      </c>
      <c r="Y175" s="21">
        <f t="shared" si="28"/>
        <v>1.5</v>
      </c>
      <c r="Z175" s="21">
        <f>ROUND(0.3*T175*Table1[[#This Row],[E&amp;D Rate per unit]]*Table1[[#This Row],[Quantity]],2)</f>
        <v>19.649999999999999</v>
      </c>
      <c r="AA175" s="21">
        <f t="shared" si="29"/>
        <v>67</v>
      </c>
      <c r="AB175" s="129">
        <v>67</v>
      </c>
      <c r="AC175" s="129">
        <f>Table1[[#This Row],[Total Amount]]-Table1[[#This Row],[Previous Amount]]</f>
        <v>0</v>
      </c>
      <c r="AD175" s="127"/>
    </row>
    <row r="176" spans="1:30" ht="30" customHeight="1" x14ac:dyDescent="0.3">
      <c r="A176" s="92" t="s">
        <v>89</v>
      </c>
      <c r="B176" s="92" t="s">
        <v>97</v>
      </c>
      <c r="C176" s="16" t="s">
        <v>313</v>
      </c>
      <c r="D176" s="16">
        <v>77682</v>
      </c>
      <c r="E176" s="16"/>
      <c r="F176" s="17" t="s">
        <v>306</v>
      </c>
      <c r="G176" s="17" t="s">
        <v>226</v>
      </c>
      <c r="H176" s="16" t="s">
        <v>176</v>
      </c>
      <c r="I176" s="16">
        <v>1</v>
      </c>
      <c r="J176" s="16">
        <v>3</v>
      </c>
      <c r="K176" s="16">
        <v>1.5</v>
      </c>
      <c r="L176" s="16">
        <v>1</v>
      </c>
      <c r="M176" s="16">
        <v>1</v>
      </c>
      <c r="N176" s="93" t="s">
        <v>160</v>
      </c>
      <c r="O176" s="93">
        <f t="shared" si="27"/>
        <v>4.5</v>
      </c>
      <c r="P176" s="188">
        <v>44863</v>
      </c>
      <c r="Q176" s="18"/>
      <c r="R176" s="19">
        <v>1</v>
      </c>
      <c r="S176" s="19">
        <v>1</v>
      </c>
      <c r="T176" s="19">
        <v>0</v>
      </c>
      <c r="U176" s="20">
        <f>IF(ISBLANK(Table1[[#This Row],[OHC Date]]),$B$7-Table1[[#This Row],[HOC Date]]+1,Table1[[#This Row],[OHC Date]]-Table1[[#This Row],[HOC Date]]+1)/7</f>
        <v>12.714285714285714</v>
      </c>
      <c r="V176" s="21">
        <v>6.63</v>
      </c>
      <c r="W176" s="21">
        <v>0.7</v>
      </c>
      <c r="X176" s="21">
        <f>ROUND(0.7*Table1[[#This Row],[E&amp;D Rate per unit]]*R176*Table1[[#This Row],[Quantity]],2)</f>
        <v>20.88</v>
      </c>
      <c r="Y176" s="21">
        <f t="shared" si="28"/>
        <v>40.049999999999997</v>
      </c>
      <c r="Z176" s="21">
        <f>ROUND(0.3*T176*Table1[[#This Row],[E&amp;D Rate per unit]]*Table1[[#This Row],[Quantity]],2)</f>
        <v>0</v>
      </c>
      <c r="AA176" s="21">
        <f t="shared" si="29"/>
        <v>60.93</v>
      </c>
      <c r="AB176" s="129">
        <v>46.98</v>
      </c>
      <c r="AC176" s="129">
        <f>Table1[[#This Row],[Total Amount]]-Table1[[#This Row],[Previous Amount]]</f>
        <v>13.950000000000003</v>
      </c>
      <c r="AD176" s="127"/>
    </row>
    <row r="177" spans="1:30" ht="30" customHeight="1" x14ac:dyDescent="0.3">
      <c r="A177" s="92" t="s">
        <v>89</v>
      </c>
      <c r="B177" s="92" t="s">
        <v>97</v>
      </c>
      <c r="C177" s="16" t="s">
        <v>314</v>
      </c>
      <c r="D177" s="16">
        <v>77683</v>
      </c>
      <c r="E177" s="16">
        <v>76780</v>
      </c>
      <c r="F177" s="17" t="s">
        <v>315</v>
      </c>
      <c r="G177" s="17" t="s">
        <v>190</v>
      </c>
      <c r="H177" s="102" t="s">
        <v>127</v>
      </c>
      <c r="I177" s="16">
        <v>1</v>
      </c>
      <c r="J177" s="16">
        <v>1.5</v>
      </c>
      <c r="K177" s="16">
        <v>1</v>
      </c>
      <c r="L177" s="16">
        <v>1</v>
      </c>
      <c r="M177" s="16">
        <v>1</v>
      </c>
      <c r="N177" s="93" t="s">
        <v>160</v>
      </c>
      <c r="O177" s="93">
        <f t="shared" si="27"/>
        <v>1.5</v>
      </c>
      <c r="P177" s="18">
        <v>44863</v>
      </c>
      <c r="Q177" s="18">
        <v>44868</v>
      </c>
      <c r="R177" s="19">
        <v>1</v>
      </c>
      <c r="S177" s="19">
        <v>1</v>
      </c>
      <c r="T177" s="19">
        <v>1</v>
      </c>
      <c r="U177" s="20">
        <f>IF(ISBLANK(Table1[[#This Row],[OHC Date]]),$B$7-Table1[[#This Row],[HOC Date]]+1,Table1[[#This Row],[OHC Date]]-Table1[[#This Row],[HOC Date]]+1)/7</f>
        <v>0.8571428571428571</v>
      </c>
      <c r="V177" s="21">
        <v>36.520000000000003</v>
      </c>
      <c r="W177" s="21">
        <v>2.94</v>
      </c>
      <c r="X177" s="21">
        <f>ROUND(0.7*Table1[[#This Row],[E&amp;D Rate per unit]]*R177*Table1[[#This Row],[Quantity]],2)</f>
        <v>38.35</v>
      </c>
      <c r="Y177" s="21">
        <f t="shared" si="28"/>
        <v>3.78</v>
      </c>
      <c r="Z177" s="21">
        <f>ROUND(0.3*T177*Table1[[#This Row],[E&amp;D Rate per unit]]*Table1[[#This Row],[Quantity]],2)</f>
        <v>16.43</v>
      </c>
      <c r="AA177" s="21">
        <f t="shared" si="29"/>
        <v>58.56</v>
      </c>
      <c r="AB177" s="129">
        <v>58.56</v>
      </c>
      <c r="AC177" s="129">
        <f>Table1[[#This Row],[Total Amount]]-Table1[[#This Row],[Previous Amount]]</f>
        <v>0</v>
      </c>
      <c r="AD177" s="127"/>
    </row>
    <row r="178" spans="1:30" ht="30" customHeight="1" x14ac:dyDescent="0.3">
      <c r="A178" s="92" t="s">
        <v>89</v>
      </c>
      <c r="B178" s="92" t="s">
        <v>97</v>
      </c>
      <c r="C178" s="16" t="s">
        <v>316</v>
      </c>
      <c r="D178" s="16">
        <v>77686</v>
      </c>
      <c r="E178" s="16">
        <v>76787</v>
      </c>
      <c r="F178" s="17" t="s">
        <v>317</v>
      </c>
      <c r="G178" s="17" t="s">
        <v>200</v>
      </c>
      <c r="H178" s="16" t="s">
        <v>220</v>
      </c>
      <c r="I178" s="16">
        <v>1</v>
      </c>
      <c r="J178" s="16">
        <v>1.8</v>
      </c>
      <c r="K178" s="16">
        <v>0.9</v>
      </c>
      <c r="L178" s="16">
        <v>12.3</v>
      </c>
      <c r="M178" s="16">
        <v>1</v>
      </c>
      <c r="N178" s="93" t="s">
        <v>221</v>
      </c>
      <c r="O178" s="93">
        <f t="shared" si="27"/>
        <v>12.3</v>
      </c>
      <c r="P178" s="18">
        <v>44863</v>
      </c>
      <c r="Q178" s="18">
        <v>44870</v>
      </c>
      <c r="R178" s="19">
        <v>1</v>
      </c>
      <c r="S178" s="19">
        <v>1</v>
      </c>
      <c r="T178" s="19">
        <v>1</v>
      </c>
      <c r="U178" s="20">
        <f>IF(ISBLANK(Table1[[#This Row],[OHC Date]]),$B$7-Table1[[#This Row],[HOC Date]]+1,Table1[[#This Row],[OHC Date]]-Table1[[#This Row],[HOC Date]]+1)/7</f>
        <v>1.1428571428571428</v>
      </c>
      <c r="V178" s="21">
        <v>63.34</v>
      </c>
      <c r="W178" s="21">
        <v>7.28</v>
      </c>
      <c r="X178" s="21">
        <f>ROUND(0.7*Table1[[#This Row],[E&amp;D Rate per unit]]*R178*Table1[[#This Row],[Quantity]],2)</f>
        <v>545.36</v>
      </c>
      <c r="Y178" s="21">
        <f t="shared" si="28"/>
        <v>102.34</v>
      </c>
      <c r="Z178" s="21">
        <f>ROUND(0.3*T178*Table1[[#This Row],[E&amp;D Rate per unit]]*Table1[[#This Row],[Quantity]],2)</f>
        <v>233.72</v>
      </c>
      <c r="AA178" s="21">
        <f t="shared" si="29"/>
        <v>881.42</v>
      </c>
      <c r="AB178" s="129">
        <v>881.42</v>
      </c>
      <c r="AC178" s="129">
        <f>Table1[[#This Row],[Total Amount]]-Table1[[#This Row],[Previous Amount]]</f>
        <v>0</v>
      </c>
      <c r="AD178" s="127"/>
    </row>
    <row r="179" spans="1:30" ht="30" customHeight="1" x14ac:dyDescent="0.3">
      <c r="A179" s="92" t="s">
        <v>89</v>
      </c>
      <c r="B179" s="92" t="s">
        <v>97</v>
      </c>
      <c r="C179" s="16" t="s">
        <v>316</v>
      </c>
      <c r="D179" s="16">
        <v>77686</v>
      </c>
      <c r="E179" s="16">
        <v>76787</v>
      </c>
      <c r="F179" s="17" t="s">
        <v>317</v>
      </c>
      <c r="G179" s="17" t="s">
        <v>200</v>
      </c>
      <c r="H179" s="16" t="s">
        <v>176</v>
      </c>
      <c r="I179" s="16">
        <v>5</v>
      </c>
      <c r="J179" s="16">
        <v>1.8</v>
      </c>
      <c r="K179" s="16">
        <v>0.9</v>
      </c>
      <c r="L179" s="16">
        <v>1</v>
      </c>
      <c r="M179" s="16">
        <v>5</v>
      </c>
      <c r="N179" s="93" t="s">
        <v>160</v>
      </c>
      <c r="O179" s="93">
        <f t="shared" si="27"/>
        <v>8.1</v>
      </c>
      <c r="P179" s="18">
        <v>44863</v>
      </c>
      <c r="Q179" s="18">
        <v>44870</v>
      </c>
      <c r="R179" s="19">
        <v>1</v>
      </c>
      <c r="S179" s="19">
        <v>1</v>
      </c>
      <c r="T179" s="19">
        <v>1</v>
      </c>
      <c r="U179" s="20">
        <f>IF(ISBLANK(Table1[[#This Row],[OHC Date]]),$B$7-Table1[[#This Row],[HOC Date]]+1,Table1[[#This Row],[OHC Date]]-Table1[[#This Row],[HOC Date]]+1)/7</f>
        <v>1.1428571428571428</v>
      </c>
      <c r="V179" s="21">
        <v>6.63</v>
      </c>
      <c r="W179" s="21">
        <v>0.7</v>
      </c>
      <c r="X179" s="21">
        <f>ROUND(0.7*Table1[[#This Row],[E&amp;D Rate per unit]]*R179*Table1[[#This Row],[Quantity]],2)</f>
        <v>37.590000000000003</v>
      </c>
      <c r="Y179" s="21">
        <f t="shared" si="28"/>
        <v>6.48</v>
      </c>
      <c r="Z179" s="21">
        <f>ROUND(0.3*T179*Table1[[#This Row],[E&amp;D Rate per unit]]*Table1[[#This Row],[Quantity]],2)</f>
        <v>16.11</v>
      </c>
      <c r="AA179" s="21">
        <f t="shared" si="29"/>
        <v>60.18</v>
      </c>
      <c r="AB179" s="129">
        <v>60.18</v>
      </c>
      <c r="AC179" s="129">
        <f>Table1[[#This Row],[Total Amount]]-Table1[[#This Row],[Previous Amount]]</f>
        <v>0</v>
      </c>
      <c r="AD179" s="127"/>
    </row>
    <row r="180" spans="1:30" ht="30" customHeight="1" x14ac:dyDescent="0.3">
      <c r="A180" s="131" t="s">
        <v>478</v>
      </c>
      <c r="B180" s="92" t="s">
        <v>97</v>
      </c>
      <c r="C180" s="16">
        <v>42</v>
      </c>
      <c r="D180" s="16">
        <v>77687</v>
      </c>
      <c r="E180" s="16"/>
      <c r="F180" s="17" t="s">
        <v>318</v>
      </c>
      <c r="G180" s="17" t="s">
        <v>226</v>
      </c>
      <c r="H180" s="16" t="s">
        <v>319</v>
      </c>
      <c r="I180" s="16">
        <v>1</v>
      </c>
      <c r="J180" s="16"/>
      <c r="K180" s="16"/>
      <c r="L180" s="16"/>
      <c r="M180" s="16"/>
      <c r="N180" s="93" t="s">
        <v>56</v>
      </c>
      <c r="O180" s="93">
        <f t="shared" si="27"/>
        <v>1</v>
      </c>
      <c r="P180" s="188">
        <v>44865</v>
      </c>
      <c r="Q180" s="18"/>
      <c r="R180" s="19">
        <v>1</v>
      </c>
      <c r="S180" s="19">
        <v>1</v>
      </c>
      <c r="T180" s="19">
        <v>0</v>
      </c>
      <c r="U180" s="20">
        <f>IF(ISBLANK(Table1[[#This Row],[OHC Date]]),$B$7-Table1[[#This Row],[HOC Date]]+1,Table1[[#This Row],[OHC Date]]-Table1[[#This Row],[HOC Date]]+1)/7</f>
        <v>12.428571428571429</v>
      </c>
      <c r="V180" s="21">
        <v>7695.22</v>
      </c>
      <c r="W180" s="21">
        <v>511.06</v>
      </c>
      <c r="X180" s="21">
        <f>ROUND(0.7*Table1[[#This Row],[E&amp;D Rate per unit]]*R180*Table1[[#This Row],[Quantity]],2)</f>
        <v>5386.65</v>
      </c>
      <c r="Y180" s="21">
        <f t="shared" si="28"/>
        <v>6351.75</v>
      </c>
      <c r="Z180" s="21">
        <f>ROUND(0.3*T180*Table1[[#This Row],[E&amp;D Rate per unit]]*Table1[[#This Row],[Quantity]],2)</f>
        <v>0</v>
      </c>
      <c r="AA180" s="21">
        <f t="shared" si="29"/>
        <v>11738.4</v>
      </c>
      <c r="AB180" s="129">
        <v>9475.1299999999992</v>
      </c>
      <c r="AC180" s="129">
        <f>Table1[[#This Row],[Total Amount]]-Table1[[#This Row],[Previous Amount]]</f>
        <v>2263.2700000000004</v>
      </c>
      <c r="AD180" s="132" t="s">
        <v>480</v>
      </c>
    </row>
    <row r="181" spans="1:30" ht="30" customHeight="1" x14ac:dyDescent="0.3">
      <c r="A181" s="131" t="s">
        <v>478</v>
      </c>
      <c r="B181" s="92" t="s">
        <v>97</v>
      </c>
      <c r="C181" s="16">
        <v>43</v>
      </c>
      <c r="D181" s="16">
        <v>77688</v>
      </c>
      <c r="E181" s="16"/>
      <c r="F181" s="17" t="s">
        <v>318</v>
      </c>
      <c r="G181" s="17" t="s">
        <v>226</v>
      </c>
      <c r="H181" s="16" t="s">
        <v>319</v>
      </c>
      <c r="I181" s="16">
        <v>1</v>
      </c>
      <c r="J181" s="16"/>
      <c r="K181" s="16"/>
      <c r="L181" s="16"/>
      <c r="M181" s="16"/>
      <c r="N181" s="93" t="s">
        <v>56</v>
      </c>
      <c r="O181" s="93">
        <f t="shared" si="27"/>
        <v>1</v>
      </c>
      <c r="P181" s="188">
        <v>44865</v>
      </c>
      <c r="Q181" s="18"/>
      <c r="R181" s="19">
        <v>1</v>
      </c>
      <c r="S181" s="19">
        <v>1</v>
      </c>
      <c r="T181" s="19">
        <v>0</v>
      </c>
      <c r="U181" s="20">
        <f>IF(ISBLANK(Table1[[#This Row],[OHC Date]]),$B$7-Table1[[#This Row],[HOC Date]]+1,Table1[[#This Row],[OHC Date]]-Table1[[#This Row],[HOC Date]]+1)/7</f>
        <v>12.428571428571429</v>
      </c>
      <c r="V181" s="21">
        <v>7695.22</v>
      </c>
      <c r="W181" s="21">
        <v>511.06</v>
      </c>
      <c r="X181" s="21">
        <f>ROUND(0.7*Table1[[#This Row],[E&amp;D Rate per unit]]*R181*Table1[[#This Row],[Quantity]],2)</f>
        <v>5386.65</v>
      </c>
      <c r="Y181" s="21">
        <f t="shared" si="28"/>
        <v>6351.75</v>
      </c>
      <c r="Z181" s="21">
        <f>ROUND(0.3*T181*Table1[[#This Row],[E&amp;D Rate per unit]]*Table1[[#This Row],[Quantity]],2)</f>
        <v>0</v>
      </c>
      <c r="AA181" s="21">
        <f t="shared" si="29"/>
        <v>11738.4</v>
      </c>
      <c r="AB181" s="129">
        <v>9475.1299999999992</v>
      </c>
      <c r="AC181" s="129">
        <f>Table1[[#This Row],[Total Amount]]-Table1[[#This Row],[Previous Amount]]</f>
        <v>2263.2700000000004</v>
      </c>
      <c r="AD181" s="132" t="s">
        <v>480</v>
      </c>
    </row>
    <row r="182" spans="1:30" ht="30" customHeight="1" x14ac:dyDescent="0.3">
      <c r="A182" s="131" t="s">
        <v>478</v>
      </c>
      <c r="B182" s="92" t="s">
        <v>97</v>
      </c>
      <c r="C182" s="16">
        <v>44</v>
      </c>
      <c r="D182" s="16">
        <v>77689</v>
      </c>
      <c r="E182" s="16"/>
      <c r="F182" s="17" t="s">
        <v>318</v>
      </c>
      <c r="G182" s="17" t="s">
        <v>200</v>
      </c>
      <c r="H182" s="16" t="s">
        <v>319</v>
      </c>
      <c r="I182" s="16">
        <v>1</v>
      </c>
      <c r="J182" s="16"/>
      <c r="K182" s="16"/>
      <c r="L182" s="16"/>
      <c r="M182" s="16"/>
      <c r="N182" s="93" t="s">
        <v>56</v>
      </c>
      <c r="O182" s="93">
        <f t="shared" si="27"/>
        <v>1</v>
      </c>
      <c r="P182" s="188">
        <v>44865</v>
      </c>
      <c r="Q182" s="18"/>
      <c r="R182" s="19">
        <v>1</v>
      </c>
      <c r="S182" s="19">
        <v>1</v>
      </c>
      <c r="T182" s="19">
        <v>0</v>
      </c>
      <c r="U182" s="20">
        <f>IF(ISBLANK(Table1[[#This Row],[OHC Date]]),$B$7-Table1[[#This Row],[HOC Date]]+1,Table1[[#This Row],[OHC Date]]-Table1[[#This Row],[HOC Date]]+1)/7</f>
        <v>12.428571428571429</v>
      </c>
      <c r="V182" s="21">
        <v>7695.22</v>
      </c>
      <c r="W182" s="21">
        <v>511.06</v>
      </c>
      <c r="X182" s="21">
        <f>ROUND(0.7*Table1[[#This Row],[E&amp;D Rate per unit]]*R182*Table1[[#This Row],[Quantity]],2)</f>
        <v>5386.65</v>
      </c>
      <c r="Y182" s="21">
        <f t="shared" si="28"/>
        <v>6351.75</v>
      </c>
      <c r="Z182" s="21">
        <f>ROUND(0.3*T182*Table1[[#This Row],[E&amp;D Rate per unit]]*Table1[[#This Row],[Quantity]],2)</f>
        <v>0</v>
      </c>
      <c r="AA182" s="21">
        <f t="shared" si="29"/>
        <v>11738.4</v>
      </c>
      <c r="AB182" s="129">
        <v>9475.1299999999992</v>
      </c>
      <c r="AC182" s="129">
        <f>Table1[[#This Row],[Total Amount]]-Table1[[#This Row],[Previous Amount]]</f>
        <v>2263.2700000000004</v>
      </c>
      <c r="AD182" s="132" t="s">
        <v>480</v>
      </c>
    </row>
    <row r="183" spans="1:30" ht="30" customHeight="1" x14ac:dyDescent="0.3">
      <c r="A183" s="92" t="s">
        <v>89</v>
      </c>
      <c r="B183" s="92" t="s">
        <v>97</v>
      </c>
      <c r="C183" s="16" t="s">
        <v>320</v>
      </c>
      <c r="D183" s="16">
        <v>77690</v>
      </c>
      <c r="E183" s="16">
        <v>76781</v>
      </c>
      <c r="F183" s="17" t="s">
        <v>321</v>
      </c>
      <c r="G183" s="17" t="s">
        <v>190</v>
      </c>
      <c r="H183" s="16" t="s">
        <v>220</v>
      </c>
      <c r="I183" s="16">
        <v>1</v>
      </c>
      <c r="J183" s="16">
        <v>1.5</v>
      </c>
      <c r="K183" s="16">
        <v>1.5</v>
      </c>
      <c r="L183" s="16">
        <v>1</v>
      </c>
      <c r="M183" s="16">
        <v>1</v>
      </c>
      <c r="N183" s="93" t="s">
        <v>221</v>
      </c>
      <c r="O183" s="93">
        <f t="shared" si="27"/>
        <v>1</v>
      </c>
      <c r="P183" s="18">
        <v>44866</v>
      </c>
      <c r="Q183" s="18">
        <v>44868</v>
      </c>
      <c r="R183" s="19">
        <v>1</v>
      </c>
      <c r="S183" s="19">
        <v>1</v>
      </c>
      <c r="T183" s="19">
        <v>1</v>
      </c>
      <c r="U183" s="20">
        <f>IF(ISBLANK(Table1[[#This Row],[OHC Date]]),$B$7-Table1[[#This Row],[HOC Date]]+1,Table1[[#This Row],[OHC Date]]-Table1[[#This Row],[HOC Date]]+1)/7</f>
        <v>0.42857142857142855</v>
      </c>
      <c r="V183" s="21">
        <v>63.34</v>
      </c>
      <c r="W183" s="21">
        <v>7.28</v>
      </c>
      <c r="X183" s="21">
        <f>ROUND(0.7*Table1[[#This Row],[E&amp;D Rate per unit]]*R183*Table1[[#This Row],[Quantity]],2)</f>
        <v>44.34</v>
      </c>
      <c r="Y183" s="21">
        <f t="shared" si="28"/>
        <v>3.12</v>
      </c>
      <c r="Z183" s="21">
        <f>ROUND(0.3*T183*Table1[[#This Row],[E&amp;D Rate per unit]]*Table1[[#This Row],[Quantity]],2)</f>
        <v>19</v>
      </c>
      <c r="AA183" s="21">
        <f t="shared" si="29"/>
        <v>66.459999999999994</v>
      </c>
      <c r="AB183" s="129">
        <v>66.459999999999994</v>
      </c>
      <c r="AC183" s="129">
        <f>Table1[[#This Row],[Total Amount]]-Table1[[#This Row],[Previous Amount]]</f>
        <v>0</v>
      </c>
      <c r="AD183" s="127"/>
    </row>
    <row r="184" spans="1:30" ht="30" customHeight="1" x14ac:dyDescent="0.3">
      <c r="A184" s="131" t="s">
        <v>478</v>
      </c>
      <c r="B184" s="92" t="s">
        <v>97</v>
      </c>
      <c r="C184" s="16">
        <v>45</v>
      </c>
      <c r="D184" s="16">
        <v>77691</v>
      </c>
      <c r="E184" s="16"/>
      <c r="F184" s="17" t="s">
        <v>318</v>
      </c>
      <c r="G184" s="17" t="s">
        <v>200</v>
      </c>
      <c r="H184" s="16" t="s">
        <v>319</v>
      </c>
      <c r="I184" s="16">
        <v>1</v>
      </c>
      <c r="J184" s="16"/>
      <c r="K184" s="16"/>
      <c r="L184" s="16"/>
      <c r="M184" s="16"/>
      <c r="N184" s="93" t="s">
        <v>56</v>
      </c>
      <c r="O184" s="93">
        <f t="shared" si="27"/>
        <v>1</v>
      </c>
      <c r="P184" s="188">
        <v>44866</v>
      </c>
      <c r="Q184" s="18"/>
      <c r="R184" s="19">
        <v>1</v>
      </c>
      <c r="S184" s="19">
        <v>1</v>
      </c>
      <c r="T184" s="19">
        <v>0</v>
      </c>
      <c r="U184" s="20">
        <f>IF(ISBLANK(Table1[[#This Row],[OHC Date]]),$B$7-Table1[[#This Row],[HOC Date]]+1,Table1[[#This Row],[OHC Date]]-Table1[[#This Row],[HOC Date]]+1)/7</f>
        <v>12.285714285714286</v>
      </c>
      <c r="V184" s="21">
        <v>7695.22</v>
      </c>
      <c r="W184" s="21">
        <v>511.06</v>
      </c>
      <c r="X184" s="21">
        <f>ROUND(0.7*Table1[[#This Row],[E&amp;D Rate per unit]]*R184*Table1[[#This Row],[Quantity]],2)</f>
        <v>5386.65</v>
      </c>
      <c r="Y184" s="21">
        <f t="shared" si="28"/>
        <v>6278.74</v>
      </c>
      <c r="Z184" s="21">
        <f>ROUND(0.3*T184*Table1[[#This Row],[E&amp;D Rate per unit]]*Table1[[#This Row],[Quantity]],2)</f>
        <v>0</v>
      </c>
      <c r="AA184" s="21">
        <f t="shared" si="29"/>
        <v>11665.39</v>
      </c>
      <c r="AB184" s="129">
        <v>9402.1200000000008</v>
      </c>
      <c r="AC184" s="129">
        <f>Table1[[#This Row],[Total Amount]]-Table1[[#This Row],[Previous Amount]]</f>
        <v>2263.2699999999986</v>
      </c>
      <c r="AD184" s="132" t="s">
        <v>480</v>
      </c>
    </row>
    <row r="185" spans="1:30" ht="30" customHeight="1" x14ac:dyDescent="0.3">
      <c r="A185" s="92" t="s">
        <v>89</v>
      </c>
      <c r="B185" s="92" t="s">
        <v>97</v>
      </c>
      <c r="C185" s="16" t="s">
        <v>322</v>
      </c>
      <c r="D185" s="16">
        <v>77692</v>
      </c>
      <c r="E185" s="16">
        <v>80536</v>
      </c>
      <c r="F185" s="17" t="s">
        <v>334</v>
      </c>
      <c r="G185" s="17" t="s">
        <v>190</v>
      </c>
      <c r="H185" s="102" t="s">
        <v>127</v>
      </c>
      <c r="I185" s="16">
        <v>1</v>
      </c>
      <c r="J185" s="16">
        <v>1.5</v>
      </c>
      <c r="K185" s="16">
        <v>0.75</v>
      </c>
      <c r="L185" s="16">
        <v>1</v>
      </c>
      <c r="M185" s="16">
        <v>2</v>
      </c>
      <c r="N185" s="93" t="s">
        <v>160</v>
      </c>
      <c r="O185" s="93">
        <f t="shared" si="27"/>
        <v>1.1299999999999999</v>
      </c>
      <c r="P185" s="18">
        <v>44863</v>
      </c>
      <c r="Q185" s="18">
        <v>44893</v>
      </c>
      <c r="R185" s="19">
        <v>1</v>
      </c>
      <c r="S185" s="19">
        <v>1</v>
      </c>
      <c r="T185" s="19">
        <v>1</v>
      </c>
      <c r="U185" s="20">
        <f>IF(ISBLANK(Table1[[#This Row],[OHC Date]]),$B$7-Table1[[#This Row],[HOC Date]]+1,Table1[[#This Row],[OHC Date]]-Table1[[#This Row],[HOC Date]]+1)/7</f>
        <v>4.4285714285714288</v>
      </c>
      <c r="V185" s="21">
        <v>36.520000000000003</v>
      </c>
      <c r="W185" s="21">
        <v>2.94</v>
      </c>
      <c r="X185" s="21">
        <f>ROUND(0.7*Table1[[#This Row],[E&amp;D Rate per unit]]*R185*Table1[[#This Row],[Quantity]],2)</f>
        <v>28.89</v>
      </c>
      <c r="Y185" s="21">
        <f t="shared" si="28"/>
        <v>14.71</v>
      </c>
      <c r="Z185" s="21">
        <f>ROUND(0.3*T185*Table1[[#This Row],[E&amp;D Rate per unit]]*Table1[[#This Row],[Quantity]],2)</f>
        <v>12.38</v>
      </c>
      <c r="AA185" s="21">
        <f t="shared" si="29"/>
        <v>55.98</v>
      </c>
      <c r="AB185" s="129">
        <v>55.98</v>
      </c>
      <c r="AC185" s="129">
        <f>Table1[[#This Row],[Total Amount]]-Table1[[#This Row],[Previous Amount]]</f>
        <v>0</v>
      </c>
      <c r="AD185" s="127"/>
    </row>
    <row r="186" spans="1:30" ht="30" customHeight="1" x14ac:dyDescent="0.3">
      <c r="A186" s="92" t="s">
        <v>89</v>
      </c>
      <c r="B186" s="92" t="s">
        <v>97</v>
      </c>
      <c r="C186" s="16" t="s">
        <v>323</v>
      </c>
      <c r="D186" s="16">
        <v>77693</v>
      </c>
      <c r="E186" s="16">
        <v>76790</v>
      </c>
      <c r="F186" s="17" t="s">
        <v>334</v>
      </c>
      <c r="G186" s="17" t="s">
        <v>190</v>
      </c>
      <c r="H186" s="102" t="s">
        <v>127</v>
      </c>
      <c r="I186" s="16">
        <v>1</v>
      </c>
      <c r="J186" s="16">
        <v>1.5</v>
      </c>
      <c r="K186" s="16">
        <v>1</v>
      </c>
      <c r="L186" s="16">
        <v>1</v>
      </c>
      <c r="M186" s="16">
        <v>1</v>
      </c>
      <c r="N186" s="93" t="s">
        <v>160</v>
      </c>
      <c r="O186" s="93">
        <f t="shared" si="27"/>
        <v>1.5</v>
      </c>
      <c r="P186" s="18">
        <v>44867</v>
      </c>
      <c r="Q186" s="18">
        <v>44869</v>
      </c>
      <c r="R186" s="19">
        <v>1</v>
      </c>
      <c r="S186" s="19">
        <v>1</v>
      </c>
      <c r="T186" s="19">
        <v>1</v>
      </c>
      <c r="U186" s="20">
        <f>IF(ISBLANK(Table1[[#This Row],[OHC Date]]),$B$7-Table1[[#This Row],[HOC Date]]+1,Table1[[#This Row],[OHC Date]]-Table1[[#This Row],[HOC Date]]+1)/7</f>
        <v>0.42857142857142855</v>
      </c>
      <c r="V186" s="21">
        <v>36.520000000000003</v>
      </c>
      <c r="W186" s="21">
        <v>2.94</v>
      </c>
      <c r="X186" s="21">
        <f>ROUND(0.7*Table1[[#This Row],[E&amp;D Rate per unit]]*R186*Table1[[#This Row],[Quantity]],2)</f>
        <v>38.35</v>
      </c>
      <c r="Y186" s="21">
        <f t="shared" si="28"/>
        <v>1.89</v>
      </c>
      <c r="Z186" s="21">
        <f>ROUND(0.3*T186*Table1[[#This Row],[E&amp;D Rate per unit]]*Table1[[#This Row],[Quantity]],2)</f>
        <v>16.43</v>
      </c>
      <c r="AA186" s="21">
        <f t="shared" si="29"/>
        <v>56.67</v>
      </c>
      <c r="AB186" s="129">
        <v>56.67</v>
      </c>
      <c r="AC186" s="129">
        <f>Table1[[#This Row],[Total Amount]]-Table1[[#This Row],[Previous Amount]]</f>
        <v>0</v>
      </c>
      <c r="AD186" s="127"/>
    </row>
    <row r="187" spans="1:30" ht="30" customHeight="1" x14ac:dyDescent="0.3">
      <c r="A187" s="92" t="s">
        <v>89</v>
      </c>
      <c r="B187" s="92" t="s">
        <v>97</v>
      </c>
      <c r="C187" s="16">
        <v>46</v>
      </c>
      <c r="D187" s="16">
        <v>77694</v>
      </c>
      <c r="E187" s="16">
        <v>80539</v>
      </c>
      <c r="F187" s="17" t="s">
        <v>324</v>
      </c>
      <c r="G187" s="17" t="s">
        <v>226</v>
      </c>
      <c r="H187" s="16" t="s">
        <v>220</v>
      </c>
      <c r="I187" s="16">
        <v>1</v>
      </c>
      <c r="J187" s="16">
        <v>2.5</v>
      </c>
      <c r="K187" s="16">
        <v>1.3</v>
      </c>
      <c r="L187" s="16">
        <v>4</v>
      </c>
      <c r="M187" s="16">
        <v>1</v>
      </c>
      <c r="N187" s="93" t="s">
        <v>221</v>
      </c>
      <c r="O187" s="93">
        <f t="shared" si="27"/>
        <v>4</v>
      </c>
      <c r="P187" s="18">
        <v>44868</v>
      </c>
      <c r="Q187" s="18">
        <v>44891</v>
      </c>
      <c r="R187" s="19">
        <v>1</v>
      </c>
      <c r="S187" s="19">
        <v>1</v>
      </c>
      <c r="T187" s="19">
        <v>1</v>
      </c>
      <c r="U187" s="20">
        <f>IF(ISBLANK(Table1[[#This Row],[OHC Date]]),$B$7-Table1[[#This Row],[HOC Date]]+1,Table1[[#This Row],[OHC Date]]-Table1[[#This Row],[HOC Date]]+1)/7</f>
        <v>3.4285714285714284</v>
      </c>
      <c r="V187" s="21">
        <v>63.34</v>
      </c>
      <c r="W187" s="21">
        <v>7.28</v>
      </c>
      <c r="X187" s="21">
        <f>ROUND(0.7*Table1[[#This Row],[E&amp;D Rate per unit]]*R187*Table1[[#This Row],[Quantity]],2)</f>
        <v>177.35</v>
      </c>
      <c r="Y187" s="21">
        <f t="shared" si="28"/>
        <v>99.84</v>
      </c>
      <c r="Z187" s="21">
        <f>ROUND(0.3*T187*Table1[[#This Row],[E&amp;D Rate per unit]]*Table1[[#This Row],[Quantity]],2)</f>
        <v>76.010000000000005</v>
      </c>
      <c r="AA187" s="21">
        <f t="shared" si="29"/>
        <v>353.2</v>
      </c>
      <c r="AB187" s="129">
        <v>353.2</v>
      </c>
      <c r="AC187" s="129">
        <f>Table1[[#This Row],[Total Amount]]-Table1[[#This Row],[Previous Amount]]</f>
        <v>0</v>
      </c>
      <c r="AD187" s="127"/>
    </row>
    <row r="188" spans="1:30" ht="30" customHeight="1" x14ac:dyDescent="0.3">
      <c r="A188" s="92" t="s">
        <v>89</v>
      </c>
      <c r="B188" s="92" t="s">
        <v>97</v>
      </c>
      <c r="C188" s="16">
        <v>46</v>
      </c>
      <c r="D188" s="16">
        <v>77694</v>
      </c>
      <c r="E188" s="16">
        <v>80539</v>
      </c>
      <c r="F188" s="17" t="s">
        <v>324</v>
      </c>
      <c r="G188" s="17" t="s">
        <v>226</v>
      </c>
      <c r="H188" s="16" t="s">
        <v>176</v>
      </c>
      <c r="I188" s="16">
        <v>1</v>
      </c>
      <c r="J188" s="16">
        <v>2.5</v>
      </c>
      <c r="K188" s="16">
        <v>1.3</v>
      </c>
      <c r="L188" s="16">
        <v>1</v>
      </c>
      <c r="M188" s="16">
        <v>1</v>
      </c>
      <c r="N188" s="93" t="s">
        <v>160</v>
      </c>
      <c r="O188" s="93">
        <f t="shared" ref="O188" si="30">ROUND(IF(N188="m3",I188*J188*K188*L188,IF(N188="m2-LxH",I188*J188*L188,IF(N188="m2-LxW",I188*J188*K188,IF(N188="rm",I188*L188,IF(N188="lm",I188*J188,IF(N188="unit",I188,"NA")))))),2)</f>
        <v>3.25</v>
      </c>
      <c r="P188" s="18">
        <v>44868</v>
      </c>
      <c r="Q188" s="18">
        <v>44891</v>
      </c>
      <c r="R188" s="19">
        <v>1</v>
      </c>
      <c r="S188" s="19">
        <v>1</v>
      </c>
      <c r="T188" s="19">
        <v>1</v>
      </c>
      <c r="U188" s="20">
        <f>IF(ISBLANK(Table1[[#This Row],[OHC Date]]),$B$7-Table1[[#This Row],[HOC Date]]+1,Table1[[#This Row],[OHC Date]]-Table1[[#This Row],[HOC Date]]+1)/7</f>
        <v>3.4285714285714284</v>
      </c>
      <c r="V188" s="21">
        <v>6.63</v>
      </c>
      <c r="W188" s="21">
        <v>0.7</v>
      </c>
      <c r="X188" s="21">
        <f>ROUND(0.7*Table1[[#This Row],[E&amp;D Rate per unit]]*R188*Table1[[#This Row],[Quantity]],2)</f>
        <v>15.08</v>
      </c>
      <c r="Y188" s="21">
        <f t="shared" ref="Y188" si="31">ROUND(O188*U188*W188*S188,2)</f>
        <v>7.8</v>
      </c>
      <c r="Z188" s="21">
        <f>ROUND(0.3*T188*Table1[[#This Row],[E&amp;D Rate per unit]]*Table1[[#This Row],[Quantity]],2)</f>
        <v>6.46</v>
      </c>
      <c r="AA188" s="21">
        <f t="shared" ref="AA188" si="32">ROUND(X188+Z188+Y188,2)</f>
        <v>29.34</v>
      </c>
      <c r="AB188" s="129">
        <v>29.34</v>
      </c>
      <c r="AC188" s="129">
        <f>Table1[[#This Row],[Total Amount]]-Table1[[#This Row],[Previous Amount]]</f>
        <v>0</v>
      </c>
      <c r="AD188" s="127"/>
    </row>
    <row r="189" spans="1:30" ht="30" customHeight="1" x14ac:dyDescent="0.3">
      <c r="A189" s="92" t="s">
        <v>89</v>
      </c>
      <c r="B189" s="92" t="s">
        <v>97</v>
      </c>
      <c r="C189" s="102">
        <v>47</v>
      </c>
      <c r="D189" s="102">
        <v>77695</v>
      </c>
      <c r="E189" s="102">
        <v>80578</v>
      </c>
      <c r="F189" s="103" t="s">
        <v>315</v>
      </c>
      <c r="G189" s="17" t="s">
        <v>226</v>
      </c>
      <c r="H189" s="102" t="s">
        <v>220</v>
      </c>
      <c r="I189" s="102">
        <v>1</v>
      </c>
      <c r="J189" s="102">
        <v>2.5</v>
      </c>
      <c r="K189" s="102">
        <v>1.5</v>
      </c>
      <c r="L189" s="102">
        <v>3</v>
      </c>
      <c r="M189" s="102">
        <v>1</v>
      </c>
      <c r="N189" s="104" t="s">
        <v>221</v>
      </c>
      <c r="O189" s="104">
        <f t="shared" ref="O189:O228" si="33">ROUND(IF(N189="m3",I189*J189*K189*L189,IF(N189="m2-LxH",I189*J189*L189,IF(N189="m2-LxW",I189*J189*K189,IF(N189="rm",I189*L189,IF(N189="lm",I189*J189,IF(N189="unit",I189,"NA")))))),2)</f>
        <v>3</v>
      </c>
      <c r="P189" s="18">
        <v>44868</v>
      </c>
      <c r="Q189" s="118">
        <v>44915</v>
      </c>
      <c r="R189" s="105">
        <v>1</v>
      </c>
      <c r="S189" s="105">
        <v>1</v>
      </c>
      <c r="T189" s="105">
        <v>1</v>
      </c>
      <c r="U189" s="106">
        <f>IF(ISBLANK(Table1[[#This Row],[OHC Date]]),$B$7-Table1[[#This Row],[HOC Date]]+1,Table1[[#This Row],[OHC Date]]-Table1[[#This Row],[HOC Date]]+1)/7</f>
        <v>6.8571428571428568</v>
      </c>
      <c r="V189" s="107">
        <v>63.34</v>
      </c>
      <c r="W189" s="107">
        <v>7.28</v>
      </c>
      <c r="X189" s="107">
        <f>ROUND(0.7*Table1[[#This Row],[E&amp;D Rate per unit]]*R189*Table1[[#This Row],[Quantity]],2)</f>
        <v>133.01</v>
      </c>
      <c r="Y189" s="107">
        <f t="shared" ref="Y189:Y228" si="34">ROUND(O189*U189*W189*S189,2)</f>
        <v>149.76</v>
      </c>
      <c r="Z189" s="107">
        <f>ROUND(0.3*T189*Table1[[#This Row],[E&amp;D Rate per unit]]*Table1[[#This Row],[Quantity]],2)</f>
        <v>57.01</v>
      </c>
      <c r="AA189" s="107">
        <f t="shared" ref="AA189:AA228" si="35">ROUND(X189+Z189+Y189,2)</f>
        <v>339.78</v>
      </c>
      <c r="AB189" s="126">
        <v>339.78</v>
      </c>
      <c r="AC189" s="126">
        <f>Table1[[#This Row],[Total Amount]]-Table1[[#This Row],[Previous Amount]]</f>
        <v>0</v>
      </c>
      <c r="AD189" s="108"/>
    </row>
    <row r="190" spans="1:30" ht="30" customHeight="1" x14ac:dyDescent="0.3">
      <c r="A190" s="92" t="s">
        <v>89</v>
      </c>
      <c r="B190" s="92" t="s">
        <v>97</v>
      </c>
      <c r="C190" s="102">
        <v>48</v>
      </c>
      <c r="D190" s="102">
        <v>77696</v>
      </c>
      <c r="E190" s="102">
        <v>80526</v>
      </c>
      <c r="F190" s="103" t="s">
        <v>325</v>
      </c>
      <c r="G190" s="17" t="s">
        <v>200</v>
      </c>
      <c r="H190" s="102" t="s">
        <v>119</v>
      </c>
      <c r="I190" s="102">
        <v>1</v>
      </c>
      <c r="J190" s="102">
        <v>11.8</v>
      </c>
      <c r="K190" s="102">
        <v>3.8</v>
      </c>
      <c r="L190" s="102">
        <v>3.5</v>
      </c>
      <c r="M190" s="102">
        <v>1</v>
      </c>
      <c r="N190" s="104" t="s">
        <v>224</v>
      </c>
      <c r="O190" s="104">
        <f t="shared" si="33"/>
        <v>156.94</v>
      </c>
      <c r="P190" s="18">
        <v>44868</v>
      </c>
      <c r="Q190" s="118">
        <v>44882</v>
      </c>
      <c r="R190" s="105">
        <v>1</v>
      </c>
      <c r="S190" s="105">
        <v>1</v>
      </c>
      <c r="T190" s="105">
        <v>1</v>
      </c>
      <c r="U190" s="106">
        <f>IF(ISBLANK(Table1[[#This Row],[OHC Date]]),$B$7-Table1[[#This Row],[HOC Date]]+1,Table1[[#This Row],[OHC Date]]-Table1[[#This Row],[HOC Date]]+1)/7</f>
        <v>2.1428571428571428</v>
      </c>
      <c r="V190" s="107">
        <v>7.08</v>
      </c>
      <c r="W190" s="107">
        <v>0.49</v>
      </c>
      <c r="X190" s="107">
        <f>ROUND(0.7*Table1[[#This Row],[E&amp;D Rate per unit]]*R190*Table1[[#This Row],[Quantity]],2)</f>
        <v>777.79</v>
      </c>
      <c r="Y190" s="107">
        <f t="shared" si="34"/>
        <v>164.79</v>
      </c>
      <c r="Z190" s="107">
        <f>ROUND(0.3*T190*Table1[[#This Row],[E&amp;D Rate per unit]]*Table1[[#This Row],[Quantity]],2)</f>
        <v>333.34</v>
      </c>
      <c r="AA190" s="107">
        <f t="shared" si="35"/>
        <v>1275.92</v>
      </c>
      <c r="AB190" s="126">
        <v>1275.92</v>
      </c>
      <c r="AC190" s="126">
        <f>Table1[[#This Row],[Total Amount]]-Table1[[#This Row],[Previous Amount]]</f>
        <v>0</v>
      </c>
      <c r="AD190" s="108"/>
    </row>
    <row r="191" spans="1:30" ht="30" customHeight="1" x14ac:dyDescent="0.3">
      <c r="A191" s="92" t="s">
        <v>89</v>
      </c>
      <c r="B191" s="92" t="s">
        <v>97</v>
      </c>
      <c r="C191" s="102">
        <v>49</v>
      </c>
      <c r="D191" s="102">
        <v>77697</v>
      </c>
      <c r="E191" s="102">
        <v>80508</v>
      </c>
      <c r="F191" s="103" t="s">
        <v>326</v>
      </c>
      <c r="G191" s="17" t="s">
        <v>226</v>
      </c>
      <c r="H191" s="102" t="s">
        <v>220</v>
      </c>
      <c r="I191" s="102">
        <v>1</v>
      </c>
      <c r="J191" s="102">
        <v>2.5</v>
      </c>
      <c r="K191" s="102">
        <v>1.3</v>
      </c>
      <c r="L191" s="102">
        <v>4.2</v>
      </c>
      <c r="M191" s="102">
        <v>1</v>
      </c>
      <c r="N191" s="104" t="s">
        <v>221</v>
      </c>
      <c r="O191" s="104">
        <f t="shared" si="33"/>
        <v>4.2</v>
      </c>
      <c r="P191" s="18">
        <v>44868</v>
      </c>
      <c r="Q191" s="118">
        <v>44877</v>
      </c>
      <c r="R191" s="105">
        <v>1</v>
      </c>
      <c r="S191" s="105">
        <v>1</v>
      </c>
      <c r="T191" s="105">
        <v>1</v>
      </c>
      <c r="U191" s="106">
        <f>IF(ISBLANK(Table1[[#This Row],[OHC Date]]),$B$7-Table1[[#This Row],[HOC Date]]+1,Table1[[#This Row],[OHC Date]]-Table1[[#This Row],[HOC Date]]+1)/7</f>
        <v>1.4285714285714286</v>
      </c>
      <c r="V191" s="107">
        <v>63.34</v>
      </c>
      <c r="W191" s="107">
        <v>7.28</v>
      </c>
      <c r="X191" s="107">
        <f>ROUND(0.7*Table1[[#This Row],[E&amp;D Rate per unit]]*R191*Table1[[#This Row],[Quantity]],2)</f>
        <v>186.22</v>
      </c>
      <c r="Y191" s="107">
        <f t="shared" si="34"/>
        <v>43.68</v>
      </c>
      <c r="Z191" s="107">
        <f>ROUND(0.3*T191*Table1[[#This Row],[E&amp;D Rate per unit]]*Table1[[#This Row],[Quantity]],2)</f>
        <v>79.81</v>
      </c>
      <c r="AA191" s="107">
        <f t="shared" si="35"/>
        <v>309.70999999999998</v>
      </c>
      <c r="AB191" s="126">
        <v>309.70999999999998</v>
      </c>
      <c r="AC191" s="126">
        <f>Table1[[#This Row],[Total Amount]]-Table1[[#This Row],[Previous Amount]]</f>
        <v>0</v>
      </c>
      <c r="AD191" s="108"/>
    </row>
    <row r="192" spans="1:30" ht="30" customHeight="1" x14ac:dyDescent="0.3">
      <c r="A192" s="92" t="s">
        <v>89</v>
      </c>
      <c r="B192" s="92" t="s">
        <v>97</v>
      </c>
      <c r="C192" s="102">
        <v>49</v>
      </c>
      <c r="D192" s="102">
        <v>77697</v>
      </c>
      <c r="E192" s="102">
        <v>80508</v>
      </c>
      <c r="F192" s="103" t="s">
        <v>326</v>
      </c>
      <c r="G192" s="17" t="s">
        <v>226</v>
      </c>
      <c r="H192" s="102" t="s">
        <v>176</v>
      </c>
      <c r="I192" s="102">
        <v>1</v>
      </c>
      <c r="J192" s="102">
        <v>2.5</v>
      </c>
      <c r="K192" s="102">
        <v>1.3</v>
      </c>
      <c r="L192" s="102">
        <v>1</v>
      </c>
      <c r="M192" s="102">
        <v>1</v>
      </c>
      <c r="N192" s="104" t="s">
        <v>160</v>
      </c>
      <c r="O192" s="104">
        <f t="shared" si="33"/>
        <v>3.25</v>
      </c>
      <c r="P192" s="18">
        <v>44868</v>
      </c>
      <c r="Q192" s="118">
        <v>44877</v>
      </c>
      <c r="R192" s="105">
        <v>1</v>
      </c>
      <c r="S192" s="105">
        <v>1</v>
      </c>
      <c r="T192" s="105">
        <v>1</v>
      </c>
      <c r="U192" s="106">
        <f>IF(ISBLANK(Table1[[#This Row],[OHC Date]]),$B$7-Table1[[#This Row],[HOC Date]]+1,Table1[[#This Row],[OHC Date]]-Table1[[#This Row],[HOC Date]]+1)/7</f>
        <v>1.4285714285714286</v>
      </c>
      <c r="V192" s="107">
        <v>6.63</v>
      </c>
      <c r="W192" s="107">
        <v>0.7</v>
      </c>
      <c r="X192" s="107">
        <f>ROUND(0.7*Table1[[#This Row],[E&amp;D Rate per unit]]*R192*Table1[[#This Row],[Quantity]],2)</f>
        <v>15.08</v>
      </c>
      <c r="Y192" s="107">
        <f t="shared" si="34"/>
        <v>3.25</v>
      </c>
      <c r="Z192" s="107">
        <f>ROUND(0.3*T192*Table1[[#This Row],[E&amp;D Rate per unit]]*Table1[[#This Row],[Quantity]],2)</f>
        <v>6.46</v>
      </c>
      <c r="AA192" s="107">
        <f t="shared" si="35"/>
        <v>24.79</v>
      </c>
      <c r="AB192" s="126">
        <v>24.79</v>
      </c>
      <c r="AC192" s="126">
        <f>Table1[[#This Row],[Total Amount]]-Table1[[#This Row],[Previous Amount]]</f>
        <v>0</v>
      </c>
      <c r="AD192" s="108"/>
    </row>
    <row r="193" spans="1:30" ht="30" customHeight="1" x14ac:dyDescent="0.3">
      <c r="A193" s="92" t="s">
        <v>89</v>
      </c>
      <c r="B193" s="92" t="s">
        <v>97</v>
      </c>
      <c r="C193" s="102">
        <v>50</v>
      </c>
      <c r="D193" s="102">
        <v>77698</v>
      </c>
      <c r="E193" s="102">
        <v>80529</v>
      </c>
      <c r="F193" s="103" t="s">
        <v>325</v>
      </c>
      <c r="G193" s="17" t="s">
        <v>200</v>
      </c>
      <c r="H193" s="102" t="s">
        <v>220</v>
      </c>
      <c r="I193" s="102">
        <v>1</v>
      </c>
      <c r="J193" s="102">
        <v>2.5</v>
      </c>
      <c r="K193" s="102">
        <v>2.5</v>
      </c>
      <c r="L193" s="102">
        <v>3.5</v>
      </c>
      <c r="M193" s="102">
        <v>1</v>
      </c>
      <c r="N193" s="104" t="s">
        <v>221</v>
      </c>
      <c r="O193" s="104">
        <f t="shared" si="33"/>
        <v>3.5</v>
      </c>
      <c r="P193" s="18">
        <v>44868</v>
      </c>
      <c r="Q193" s="118">
        <v>44883</v>
      </c>
      <c r="R193" s="105">
        <v>1</v>
      </c>
      <c r="S193" s="105">
        <v>1</v>
      </c>
      <c r="T193" s="105">
        <v>1</v>
      </c>
      <c r="U193" s="106">
        <f>IF(ISBLANK(Table1[[#This Row],[OHC Date]]),$B$7-Table1[[#This Row],[HOC Date]]+1,Table1[[#This Row],[OHC Date]]-Table1[[#This Row],[HOC Date]]+1)/7</f>
        <v>2.2857142857142856</v>
      </c>
      <c r="V193" s="107">
        <v>63.34</v>
      </c>
      <c r="W193" s="107">
        <v>7.28</v>
      </c>
      <c r="X193" s="107">
        <f>ROUND(0.7*Table1[[#This Row],[E&amp;D Rate per unit]]*R193*Table1[[#This Row],[Quantity]],2)</f>
        <v>155.18</v>
      </c>
      <c r="Y193" s="107">
        <f t="shared" si="34"/>
        <v>58.24</v>
      </c>
      <c r="Z193" s="107">
        <f>ROUND(0.3*T193*Table1[[#This Row],[E&amp;D Rate per unit]]*Table1[[#This Row],[Quantity]],2)</f>
        <v>66.510000000000005</v>
      </c>
      <c r="AA193" s="107">
        <f t="shared" si="35"/>
        <v>279.93</v>
      </c>
      <c r="AB193" s="126">
        <v>279.93</v>
      </c>
      <c r="AC193" s="126">
        <f>Table1[[#This Row],[Total Amount]]-Table1[[#This Row],[Previous Amount]]</f>
        <v>0</v>
      </c>
      <c r="AD193" s="108"/>
    </row>
    <row r="194" spans="1:30" ht="30" customHeight="1" x14ac:dyDescent="0.3">
      <c r="A194" s="92" t="s">
        <v>89</v>
      </c>
      <c r="B194" s="92" t="s">
        <v>97</v>
      </c>
      <c r="C194" s="102">
        <v>51</v>
      </c>
      <c r="D194" s="102">
        <v>77699</v>
      </c>
      <c r="E194" s="102">
        <v>80510</v>
      </c>
      <c r="F194" s="103" t="s">
        <v>325</v>
      </c>
      <c r="G194" s="17" t="s">
        <v>200</v>
      </c>
      <c r="H194" s="102" t="s">
        <v>220</v>
      </c>
      <c r="I194" s="102">
        <v>1</v>
      </c>
      <c r="J194" s="102">
        <v>2.5</v>
      </c>
      <c r="K194" s="102">
        <v>2.5</v>
      </c>
      <c r="L194" s="102">
        <v>3.5</v>
      </c>
      <c r="M194" s="102">
        <v>1</v>
      </c>
      <c r="N194" s="104" t="s">
        <v>221</v>
      </c>
      <c r="O194" s="104">
        <f t="shared" si="33"/>
        <v>3.5</v>
      </c>
      <c r="P194" s="18">
        <v>44868</v>
      </c>
      <c r="Q194" s="118">
        <v>44876</v>
      </c>
      <c r="R194" s="105">
        <v>1</v>
      </c>
      <c r="S194" s="105">
        <v>1</v>
      </c>
      <c r="T194" s="105">
        <v>1</v>
      </c>
      <c r="U194" s="106">
        <f>IF(ISBLANK(Table1[[#This Row],[OHC Date]]),$B$7-Table1[[#This Row],[HOC Date]]+1,Table1[[#This Row],[OHC Date]]-Table1[[#This Row],[HOC Date]]+1)/7</f>
        <v>1.2857142857142858</v>
      </c>
      <c r="V194" s="107">
        <v>63.34</v>
      </c>
      <c r="W194" s="107">
        <v>7.28</v>
      </c>
      <c r="X194" s="107">
        <f>ROUND(0.7*Table1[[#This Row],[E&amp;D Rate per unit]]*R194*Table1[[#This Row],[Quantity]],2)</f>
        <v>155.18</v>
      </c>
      <c r="Y194" s="107">
        <f t="shared" si="34"/>
        <v>32.76</v>
      </c>
      <c r="Z194" s="107">
        <f>ROUND(0.3*T194*Table1[[#This Row],[E&amp;D Rate per unit]]*Table1[[#This Row],[Quantity]],2)</f>
        <v>66.510000000000005</v>
      </c>
      <c r="AA194" s="107">
        <f t="shared" si="35"/>
        <v>254.45</v>
      </c>
      <c r="AB194" s="126">
        <v>254.45</v>
      </c>
      <c r="AC194" s="126">
        <f>Table1[[#This Row],[Total Amount]]-Table1[[#This Row],[Previous Amount]]</f>
        <v>0</v>
      </c>
      <c r="AD194" s="108"/>
    </row>
    <row r="195" spans="1:30" ht="30" customHeight="1" x14ac:dyDescent="0.3">
      <c r="A195" s="92" t="s">
        <v>89</v>
      </c>
      <c r="B195" s="92" t="s">
        <v>97</v>
      </c>
      <c r="C195" s="102" t="s">
        <v>327</v>
      </c>
      <c r="D195" s="102">
        <v>77700</v>
      </c>
      <c r="E195" s="102"/>
      <c r="F195" s="103" t="s">
        <v>238</v>
      </c>
      <c r="G195" s="17" t="s">
        <v>190</v>
      </c>
      <c r="H195" s="102" t="s">
        <v>126</v>
      </c>
      <c r="I195" s="102">
        <v>1</v>
      </c>
      <c r="J195" s="102">
        <v>9</v>
      </c>
      <c r="K195" s="102">
        <v>0.25</v>
      </c>
      <c r="L195" s="102">
        <v>1</v>
      </c>
      <c r="M195" s="102">
        <v>2</v>
      </c>
      <c r="N195" s="104" t="s">
        <v>160</v>
      </c>
      <c r="O195" s="104">
        <f t="shared" si="33"/>
        <v>2.25</v>
      </c>
      <c r="P195" s="188">
        <v>44868</v>
      </c>
      <c r="Q195" s="118"/>
      <c r="R195" s="105">
        <v>1</v>
      </c>
      <c r="S195" s="105">
        <v>1</v>
      </c>
      <c r="T195" s="105">
        <v>0</v>
      </c>
      <c r="U195" s="106">
        <f>IF(ISBLANK(Table1[[#This Row],[OHC Date]]),$B$7-Table1[[#This Row],[HOC Date]]+1,Table1[[#This Row],[OHC Date]]-Table1[[#This Row],[HOC Date]]+1)/7</f>
        <v>12</v>
      </c>
      <c r="V195" s="107">
        <v>32.75</v>
      </c>
      <c r="W195" s="107">
        <v>1.05</v>
      </c>
      <c r="X195" s="107">
        <f>ROUND(0.7*Table1[[#This Row],[E&amp;D Rate per unit]]*R195*Table1[[#This Row],[Quantity]],2)</f>
        <v>51.58</v>
      </c>
      <c r="Y195" s="107">
        <f t="shared" si="34"/>
        <v>28.35</v>
      </c>
      <c r="Z195" s="107">
        <f>ROUND(0.3*T195*Table1[[#This Row],[E&amp;D Rate per unit]]*Table1[[#This Row],[Quantity]],2)</f>
        <v>0</v>
      </c>
      <c r="AA195" s="107">
        <f t="shared" si="35"/>
        <v>79.930000000000007</v>
      </c>
      <c r="AB195" s="126">
        <v>69.47</v>
      </c>
      <c r="AC195" s="126">
        <f>Table1[[#This Row],[Total Amount]]-Table1[[#This Row],[Previous Amount]]</f>
        <v>10.460000000000008</v>
      </c>
      <c r="AD195" s="108"/>
    </row>
    <row r="196" spans="1:30" ht="30" customHeight="1" x14ac:dyDescent="0.3">
      <c r="A196" s="92" t="s">
        <v>89</v>
      </c>
      <c r="B196" s="92" t="s">
        <v>97</v>
      </c>
      <c r="C196" s="102" t="s">
        <v>328</v>
      </c>
      <c r="D196" s="102">
        <v>77551</v>
      </c>
      <c r="E196" s="102">
        <v>76791</v>
      </c>
      <c r="F196" s="103" t="s">
        <v>238</v>
      </c>
      <c r="G196" s="17" t="s">
        <v>159</v>
      </c>
      <c r="H196" s="102" t="s">
        <v>127</v>
      </c>
      <c r="I196" s="102">
        <v>1</v>
      </c>
      <c r="J196" s="102">
        <v>10.8</v>
      </c>
      <c r="K196" s="102">
        <v>1</v>
      </c>
      <c r="L196" s="102">
        <v>1</v>
      </c>
      <c r="M196" s="102">
        <v>1</v>
      </c>
      <c r="N196" s="104" t="s">
        <v>160</v>
      </c>
      <c r="O196" s="104">
        <f t="shared" si="33"/>
        <v>10.8</v>
      </c>
      <c r="P196" s="18">
        <v>44868</v>
      </c>
      <c r="Q196" s="118">
        <v>44870</v>
      </c>
      <c r="R196" s="105">
        <v>1</v>
      </c>
      <c r="S196" s="105">
        <v>1</v>
      </c>
      <c r="T196" s="105">
        <v>1</v>
      </c>
      <c r="U196" s="106">
        <f>IF(ISBLANK(Table1[[#This Row],[OHC Date]]),$B$7-Table1[[#This Row],[HOC Date]]+1,Table1[[#This Row],[OHC Date]]-Table1[[#This Row],[HOC Date]]+1)/7</f>
        <v>0.42857142857142855</v>
      </c>
      <c r="V196" s="107">
        <v>36.520000000000003</v>
      </c>
      <c r="W196" s="107">
        <v>2.94</v>
      </c>
      <c r="X196" s="107">
        <f>ROUND(0.7*Table1[[#This Row],[E&amp;D Rate per unit]]*R196*Table1[[#This Row],[Quantity]],2)</f>
        <v>276.08999999999997</v>
      </c>
      <c r="Y196" s="107">
        <f t="shared" si="34"/>
        <v>13.61</v>
      </c>
      <c r="Z196" s="107">
        <f>ROUND(0.3*T196*Table1[[#This Row],[E&amp;D Rate per unit]]*Table1[[#This Row],[Quantity]],2)</f>
        <v>118.32</v>
      </c>
      <c r="AA196" s="107">
        <f t="shared" si="35"/>
        <v>408.02</v>
      </c>
      <c r="AB196" s="126">
        <v>408.02</v>
      </c>
      <c r="AC196" s="126">
        <f>Table1[[#This Row],[Total Amount]]-Table1[[#This Row],[Previous Amount]]</f>
        <v>0</v>
      </c>
      <c r="AD196" s="108"/>
    </row>
    <row r="197" spans="1:30" ht="30" customHeight="1" x14ac:dyDescent="0.3">
      <c r="A197" s="92" t="s">
        <v>89</v>
      </c>
      <c r="B197" s="92" t="s">
        <v>97</v>
      </c>
      <c r="C197" s="102" t="s">
        <v>329</v>
      </c>
      <c r="D197" s="102">
        <v>77552</v>
      </c>
      <c r="E197" s="102">
        <v>76797</v>
      </c>
      <c r="F197" s="103" t="s">
        <v>330</v>
      </c>
      <c r="G197" s="17" t="s">
        <v>200</v>
      </c>
      <c r="H197" s="102" t="s">
        <v>220</v>
      </c>
      <c r="I197" s="102">
        <v>1</v>
      </c>
      <c r="J197" s="102">
        <v>1</v>
      </c>
      <c r="K197" s="102">
        <v>1</v>
      </c>
      <c r="L197" s="102">
        <v>1.5</v>
      </c>
      <c r="M197" s="102">
        <v>1</v>
      </c>
      <c r="N197" s="104" t="s">
        <v>221</v>
      </c>
      <c r="O197" s="104">
        <f t="shared" si="33"/>
        <v>1.5</v>
      </c>
      <c r="P197" s="18">
        <v>44868</v>
      </c>
      <c r="Q197" s="118">
        <v>44874</v>
      </c>
      <c r="R197" s="105">
        <v>1</v>
      </c>
      <c r="S197" s="105">
        <v>1</v>
      </c>
      <c r="T197" s="105">
        <v>1</v>
      </c>
      <c r="U197" s="106">
        <f>IF(ISBLANK(Table1[[#This Row],[OHC Date]]),$B$7-Table1[[#This Row],[HOC Date]]+1,Table1[[#This Row],[OHC Date]]-Table1[[#This Row],[HOC Date]]+1)/7</f>
        <v>1</v>
      </c>
      <c r="V197" s="107">
        <v>63.34</v>
      </c>
      <c r="W197" s="107">
        <v>7.28</v>
      </c>
      <c r="X197" s="107">
        <f>ROUND(0.7*Table1[[#This Row],[E&amp;D Rate per unit]]*R197*Table1[[#This Row],[Quantity]],2)</f>
        <v>66.510000000000005</v>
      </c>
      <c r="Y197" s="107">
        <f t="shared" si="34"/>
        <v>10.92</v>
      </c>
      <c r="Z197" s="107">
        <f>ROUND(0.3*T197*Table1[[#This Row],[E&amp;D Rate per unit]]*Table1[[#This Row],[Quantity]],2)</f>
        <v>28.5</v>
      </c>
      <c r="AA197" s="107">
        <f t="shared" si="35"/>
        <v>105.93</v>
      </c>
      <c r="AB197" s="126">
        <v>105.93</v>
      </c>
      <c r="AC197" s="126">
        <f>Table1[[#This Row],[Total Amount]]-Table1[[#This Row],[Previous Amount]]</f>
        <v>0</v>
      </c>
      <c r="AD197" s="108"/>
    </row>
    <row r="198" spans="1:30" ht="30" customHeight="1" x14ac:dyDescent="0.3">
      <c r="A198" s="92" t="s">
        <v>89</v>
      </c>
      <c r="B198" s="92" t="s">
        <v>97</v>
      </c>
      <c r="C198" s="102" t="s">
        <v>331</v>
      </c>
      <c r="D198" s="102">
        <v>77553</v>
      </c>
      <c r="E198" s="102">
        <v>76798</v>
      </c>
      <c r="F198" s="103" t="s">
        <v>330</v>
      </c>
      <c r="G198" s="17" t="s">
        <v>200</v>
      </c>
      <c r="H198" s="102" t="s">
        <v>220</v>
      </c>
      <c r="I198" s="102">
        <v>1</v>
      </c>
      <c r="J198" s="102">
        <v>1</v>
      </c>
      <c r="K198" s="102">
        <v>1</v>
      </c>
      <c r="L198" s="102">
        <v>1.5</v>
      </c>
      <c r="M198" s="102">
        <v>1</v>
      </c>
      <c r="N198" s="104" t="s">
        <v>221</v>
      </c>
      <c r="O198" s="104">
        <f t="shared" si="33"/>
        <v>1.5</v>
      </c>
      <c r="P198" s="18">
        <v>44868</v>
      </c>
      <c r="Q198" s="118">
        <v>44874</v>
      </c>
      <c r="R198" s="105">
        <v>1</v>
      </c>
      <c r="S198" s="105">
        <v>1</v>
      </c>
      <c r="T198" s="105">
        <v>1</v>
      </c>
      <c r="U198" s="106">
        <f>IF(ISBLANK(Table1[[#This Row],[OHC Date]]),$B$7-Table1[[#This Row],[HOC Date]]+1,Table1[[#This Row],[OHC Date]]-Table1[[#This Row],[HOC Date]]+1)/7</f>
        <v>1</v>
      </c>
      <c r="V198" s="107">
        <v>63.34</v>
      </c>
      <c r="W198" s="107">
        <v>7.28</v>
      </c>
      <c r="X198" s="107">
        <f>ROUND(0.7*Table1[[#This Row],[E&amp;D Rate per unit]]*R198*Table1[[#This Row],[Quantity]],2)</f>
        <v>66.510000000000005</v>
      </c>
      <c r="Y198" s="107">
        <f t="shared" si="34"/>
        <v>10.92</v>
      </c>
      <c r="Z198" s="107">
        <f>ROUND(0.3*T198*Table1[[#This Row],[E&amp;D Rate per unit]]*Table1[[#This Row],[Quantity]],2)</f>
        <v>28.5</v>
      </c>
      <c r="AA198" s="107">
        <f t="shared" si="35"/>
        <v>105.93</v>
      </c>
      <c r="AB198" s="126">
        <v>105.93</v>
      </c>
      <c r="AC198" s="126">
        <f>Table1[[#This Row],[Total Amount]]-Table1[[#This Row],[Previous Amount]]</f>
        <v>0</v>
      </c>
      <c r="AD198" s="108"/>
    </row>
    <row r="199" spans="1:30" ht="30" customHeight="1" x14ac:dyDescent="0.3">
      <c r="A199" s="92" t="s">
        <v>89</v>
      </c>
      <c r="B199" s="92" t="s">
        <v>97</v>
      </c>
      <c r="C199" s="102">
        <v>52</v>
      </c>
      <c r="D199" s="102">
        <v>77554</v>
      </c>
      <c r="E199" s="102">
        <v>80523</v>
      </c>
      <c r="F199" s="103" t="s">
        <v>325</v>
      </c>
      <c r="G199" s="17" t="s">
        <v>200</v>
      </c>
      <c r="H199" s="102" t="s">
        <v>220</v>
      </c>
      <c r="I199" s="102">
        <v>1</v>
      </c>
      <c r="J199" s="102">
        <v>2.5</v>
      </c>
      <c r="K199" s="102">
        <v>2.5</v>
      </c>
      <c r="L199" s="102">
        <v>3.5</v>
      </c>
      <c r="M199" s="102">
        <v>1</v>
      </c>
      <c r="N199" s="104" t="s">
        <v>221</v>
      </c>
      <c r="O199" s="104">
        <f t="shared" si="33"/>
        <v>3.5</v>
      </c>
      <c r="P199" s="18">
        <v>44869</v>
      </c>
      <c r="Q199" s="118">
        <v>44881</v>
      </c>
      <c r="R199" s="105">
        <v>1</v>
      </c>
      <c r="S199" s="105">
        <v>1</v>
      </c>
      <c r="T199" s="105">
        <v>1</v>
      </c>
      <c r="U199" s="106">
        <f>IF(ISBLANK(Table1[[#This Row],[OHC Date]]),$B$7-Table1[[#This Row],[HOC Date]]+1,Table1[[#This Row],[OHC Date]]-Table1[[#This Row],[HOC Date]]+1)/7</f>
        <v>1.8571428571428572</v>
      </c>
      <c r="V199" s="107">
        <v>63.34</v>
      </c>
      <c r="W199" s="107">
        <v>7.28</v>
      </c>
      <c r="X199" s="107">
        <f>ROUND(0.7*Table1[[#This Row],[E&amp;D Rate per unit]]*R199*Table1[[#This Row],[Quantity]],2)</f>
        <v>155.18</v>
      </c>
      <c r="Y199" s="107">
        <f t="shared" si="34"/>
        <v>47.32</v>
      </c>
      <c r="Z199" s="107">
        <f>ROUND(0.3*T199*Table1[[#This Row],[E&amp;D Rate per unit]]*Table1[[#This Row],[Quantity]],2)</f>
        <v>66.510000000000005</v>
      </c>
      <c r="AA199" s="107">
        <f t="shared" si="35"/>
        <v>269.01</v>
      </c>
      <c r="AB199" s="126">
        <v>269.01</v>
      </c>
      <c r="AC199" s="126">
        <f>Table1[[#This Row],[Total Amount]]-Table1[[#This Row],[Previous Amount]]</f>
        <v>0</v>
      </c>
      <c r="AD199" s="108"/>
    </row>
    <row r="200" spans="1:30" ht="30" customHeight="1" x14ac:dyDescent="0.3">
      <c r="A200" s="92" t="s">
        <v>89</v>
      </c>
      <c r="B200" s="92" t="s">
        <v>97</v>
      </c>
      <c r="C200" s="102" t="s">
        <v>332</v>
      </c>
      <c r="D200" s="102">
        <v>77555</v>
      </c>
      <c r="E200" s="102">
        <v>80502</v>
      </c>
      <c r="F200" s="103" t="s">
        <v>333</v>
      </c>
      <c r="G200" s="17" t="s">
        <v>190</v>
      </c>
      <c r="H200" s="102" t="s">
        <v>127</v>
      </c>
      <c r="I200" s="102">
        <v>1</v>
      </c>
      <c r="J200" s="102">
        <v>2</v>
      </c>
      <c r="K200" s="102">
        <v>1.5</v>
      </c>
      <c r="L200" s="102">
        <v>1</v>
      </c>
      <c r="M200" s="102">
        <v>1</v>
      </c>
      <c r="N200" s="104" t="s">
        <v>160</v>
      </c>
      <c r="O200" s="104">
        <f t="shared" si="33"/>
        <v>3</v>
      </c>
      <c r="P200" s="18">
        <v>44869</v>
      </c>
      <c r="Q200" s="118">
        <v>44874</v>
      </c>
      <c r="R200" s="105">
        <v>1</v>
      </c>
      <c r="S200" s="105">
        <v>1</v>
      </c>
      <c r="T200" s="105">
        <v>1</v>
      </c>
      <c r="U200" s="106">
        <f>IF(ISBLANK(Table1[[#This Row],[OHC Date]]),$B$7-Table1[[#This Row],[HOC Date]]+1,Table1[[#This Row],[OHC Date]]-Table1[[#This Row],[HOC Date]]+1)/7</f>
        <v>0.8571428571428571</v>
      </c>
      <c r="V200" s="107">
        <v>36.520000000000003</v>
      </c>
      <c r="W200" s="107">
        <v>2.94</v>
      </c>
      <c r="X200" s="107">
        <f>ROUND(0.7*Table1[[#This Row],[E&amp;D Rate per unit]]*R200*Table1[[#This Row],[Quantity]],2)</f>
        <v>76.69</v>
      </c>
      <c r="Y200" s="107">
        <f t="shared" si="34"/>
        <v>7.56</v>
      </c>
      <c r="Z200" s="107">
        <f>ROUND(0.3*T200*Table1[[#This Row],[E&amp;D Rate per unit]]*Table1[[#This Row],[Quantity]],2)</f>
        <v>32.869999999999997</v>
      </c>
      <c r="AA200" s="107">
        <f t="shared" si="35"/>
        <v>117.12</v>
      </c>
      <c r="AB200" s="126">
        <v>117.12</v>
      </c>
      <c r="AC200" s="126">
        <f>Table1[[#This Row],[Total Amount]]-Table1[[#This Row],[Previous Amount]]</f>
        <v>0</v>
      </c>
      <c r="AD200" s="108"/>
    </row>
    <row r="201" spans="1:30" ht="30" customHeight="1" x14ac:dyDescent="0.3">
      <c r="A201" s="92" t="s">
        <v>89</v>
      </c>
      <c r="B201" s="92" t="s">
        <v>97</v>
      </c>
      <c r="C201" s="102">
        <v>53</v>
      </c>
      <c r="D201" s="102">
        <v>77556</v>
      </c>
      <c r="E201" s="102">
        <v>80511</v>
      </c>
      <c r="F201" s="103" t="s">
        <v>335</v>
      </c>
      <c r="G201" s="17" t="s">
        <v>336</v>
      </c>
      <c r="H201" s="151" t="s">
        <v>123</v>
      </c>
      <c r="I201" s="102">
        <v>1</v>
      </c>
      <c r="J201" s="102">
        <v>2.5</v>
      </c>
      <c r="K201" s="102">
        <v>1.8</v>
      </c>
      <c r="L201" s="102">
        <v>2</v>
      </c>
      <c r="M201" s="102"/>
      <c r="N201" s="104" t="s">
        <v>224</v>
      </c>
      <c r="O201" s="104">
        <f t="shared" si="33"/>
        <v>9</v>
      </c>
      <c r="P201" s="18">
        <v>44869</v>
      </c>
      <c r="Q201" s="118">
        <v>44876</v>
      </c>
      <c r="R201" s="105">
        <v>1</v>
      </c>
      <c r="S201" s="105">
        <v>1</v>
      </c>
      <c r="T201" s="105">
        <v>1</v>
      </c>
      <c r="U201" s="106">
        <f>IF(ISBLANK(Table1[[#This Row],[OHC Date]]),$B$7-Table1[[#This Row],[HOC Date]]+1,Table1[[#This Row],[OHC Date]]-Table1[[#This Row],[HOC Date]]+1)/7</f>
        <v>1.1428571428571428</v>
      </c>
      <c r="V201" s="107">
        <v>5.29</v>
      </c>
      <c r="W201" s="107">
        <v>0.35</v>
      </c>
      <c r="X201" s="107">
        <f>ROUND(0.7*Table1[[#This Row],[E&amp;D Rate per unit]]*R201*Table1[[#This Row],[Quantity]],2)</f>
        <v>33.33</v>
      </c>
      <c r="Y201" s="107">
        <f t="shared" si="34"/>
        <v>3.6</v>
      </c>
      <c r="Z201" s="107">
        <f>ROUND(0.3*T201*Table1[[#This Row],[E&amp;D Rate per unit]]*Table1[[#This Row],[Quantity]],2)</f>
        <v>14.28</v>
      </c>
      <c r="AA201" s="107">
        <f t="shared" si="35"/>
        <v>51.21</v>
      </c>
      <c r="AB201" s="126">
        <v>51.21</v>
      </c>
      <c r="AC201" s="126">
        <f>Table1[[#This Row],[Total Amount]]-Table1[[#This Row],[Previous Amount]]</f>
        <v>0</v>
      </c>
      <c r="AD201" s="108"/>
    </row>
    <row r="202" spans="1:30" ht="30" customHeight="1" x14ac:dyDescent="0.3">
      <c r="A202" s="92" t="s">
        <v>89</v>
      </c>
      <c r="B202" s="92" t="s">
        <v>97</v>
      </c>
      <c r="C202" s="102" t="s">
        <v>337</v>
      </c>
      <c r="D202" s="102">
        <v>77557</v>
      </c>
      <c r="E202" s="102">
        <v>80511</v>
      </c>
      <c r="F202" s="103" t="s">
        <v>338</v>
      </c>
      <c r="G202" s="17" t="s">
        <v>336</v>
      </c>
      <c r="H202" s="102" t="s">
        <v>339</v>
      </c>
      <c r="I202" s="102">
        <v>1</v>
      </c>
      <c r="J202" s="102">
        <v>6</v>
      </c>
      <c r="K202" s="102"/>
      <c r="L202" s="102">
        <v>1.5</v>
      </c>
      <c r="M202" s="102"/>
      <c r="N202" s="104" t="s">
        <v>283</v>
      </c>
      <c r="O202" s="104">
        <f t="shared" si="33"/>
        <v>6</v>
      </c>
      <c r="P202" s="18">
        <v>44869</v>
      </c>
      <c r="Q202" s="118">
        <v>44876</v>
      </c>
      <c r="R202" s="105">
        <v>1</v>
      </c>
      <c r="S202" s="105">
        <v>1</v>
      </c>
      <c r="T202" s="105">
        <v>1</v>
      </c>
      <c r="U202" s="106">
        <f>IF(ISBLANK(Table1[[#This Row],[OHC Date]]),$B$7-Table1[[#This Row],[HOC Date]]+1,Table1[[#This Row],[OHC Date]]-Table1[[#This Row],[HOC Date]]+1)/7</f>
        <v>1.1428571428571428</v>
      </c>
      <c r="V202" s="107">
        <v>15</v>
      </c>
      <c r="W202" s="107">
        <v>0.91</v>
      </c>
      <c r="X202" s="107">
        <f>ROUND(0.7*Table1[[#This Row],[E&amp;D Rate per unit]]*R202*Table1[[#This Row],[Quantity]],2)</f>
        <v>63</v>
      </c>
      <c r="Y202" s="107">
        <f t="shared" si="34"/>
        <v>6.24</v>
      </c>
      <c r="Z202" s="107">
        <f>ROUND(0.3*T202*Table1[[#This Row],[E&amp;D Rate per unit]]*Table1[[#This Row],[Quantity]],2)</f>
        <v>27</v>
      </c>
      <c r="AA202" s="107">
        <f t="shared" si="35"/>
        <v>96.24</v>
      </c>
      <c r="AB202" s="126">
        <v>96.24</v>
      </c>
      <c r="AC202" s="126">
        <f>Table1[[#This Row],[Total Amount]]-Table1[[#This Row],[Previous Amount]]</f>
        <v>0</v>
      </c>
      <c r="AD202" s="108"/>
    </row>
    <row r="203" spans="1:30" ht="30" customHeight="1" x14ac:dyDescent="0.3">
      <c r="A203" s="92" t="s">
        <v>89</v>
      </c>
      <c r="B203" s="92" t="s">
        <v>97</v>
      </c>
      <c r="C203" s="102">
        <v>54</v>
      </c>
      <c r="D203" s="102">
        <v>77558</v>
      </c>
      <c r="E203" s="102">
        <v>80527</v>
      </c>
      <c r="F203" s="103" t="s">
        <v>325</v>
      </c>
      <c r="G203" s="17" t="s">
        <v>200</v>
      </c>
      <c r="H203" s="102" t="s">
        <v>220</v>
      </c>
      <c r="I203" s="102">
        <v>1</v>
      </c>
      <c r="J203" s="102">
        <v>2.5</v>
      </c>
      <c r="K203" s="102">
        <v>2.5</v>
      </c>
      <c r="L203" s="102">
        <v>3.5</v>
      </c>
      <c r="M203" s="102">
        <v>1</v>
      </c>
      <c r="N203" s="104" t="s">
        <v>221</v>
      </c>
      <c r="O203" s="104">
        <f t="shared" si="33"/>
        <v>3.5</v>
      </c>
      <c r="P203" s="18">
        <v>44869</v>
      </c>
      <c r="Q203" s="118">
        <v>44882</v>
      </c>
      <c r="R203" s="105">
        <v>1</v>
      </c>
      <c r="S203" s="105">
        <v>1</v>
      </c>
      <c r="T203" s="105">
        <v>1</v>
      </c>
      <c r="U203" s="106">
        <f>IF(ISBLANK(Table1[[#This Row],[OHC Date]]),$B$7-Table1[[#This Row],[HOC Date]]+1,Table1[[#This Row],[OHC Date]]-Table1[[#This Row],[HOC Date]]+1)/7</f>
        <v>2</v>
      </c>
      <c r="V203" s="107">
        <v>63.34</v>
      </c>
      <c r="W203" s="107">
        <v>7.28</v>
      </c>
      <c r="X203" s="107">
        <f>ROUND(0.7*Table1[[#This Row],[E&amp;D Rate per unit]]*R203*Table1[[#This Row],[Quantity]],2)</f>
        <v>155.18</v>
      </c>
      <c r="Y203" s="107">
        <f t="shared" si="34"/>
        <v>50.96</v>
      </c>
      <c r="Z203" s="107">
        <f>ROUND(0.3*T203*Table1[[#This Row],[E&amp;D Rate per unit]]*Table1[[#This Row],[Quantity]],2)</f>
        <v>66.510000000000005</v>
      </c>
      <c r="AA203" s="107">
        <f t="shared" si="35"/>
        <v>272.64999999999998</v>
      </c>
      <c r="AB203" s="126">
        <v>272.64999999999998</v>
      </c>
      <c r="AC203" s="126">
        <f>Table1[[#This Row],[Total Amount]]-Table1[[#This Row],[Previous Amount]]</f>
        <v>0</v>
      </c>
      <c r="AD203" s="108"/>
    </row>
    <row r="204" spans="1:30" ht="30" customHeight="1" x14ac:dyDescent="0.3">
      <c r="A204" s="92" t="s">
        <v>89</v>
      </c>
      <c r="B204" s="92" t="s">
        <v>97</v>
      </c>
      <c r="C204" s="102" t="s">
        <v>340</v>
      </c>
      <c r="D204" s="102">
        <v>77559</v>
      </c>
      <c r="E204" s="102">
        <v>80540</v>
      </c>
      <c r="F204" s="103" t="s">
        <v>341</v>
      </c>
      <c r="G204" s="17" t="s">
        <v>226</v>
      </c>
      <c r="H204" s="102" t="s">
        <v>220</v>
      </c>
      <c r="I204" s="102">
        <v>1</v>
      </c>
      <c r="J204" s="102">
        <v>1.8</v>
      </c>
      <c r="K204" s="102">
        <v>1.3</v>
      </c>
      <c r="L204" s="102">
        <v>4</v>
      </c>
      <c r="M204" s="102">
        <v>1</v>
      </c>
      <c r="N204" s="104" t="s">
        <v>221</v>
      </c>
      <c r="O204" s="104">
        <f t="shared" si="33"/>
        <v>4</v>
      </c>
      <c r="P204" s="18">
        <v>44870</v>
      </c>
      <c r="Q204" s="118">
        <v>44891</v>
      </c>
      <c r="R204" s="105">
        <v>1</v>
      </c>
      <c r="S204" s="105">
        <v>1</v>
      </c>
      <c r="T204" s="105">
        <v>1</v>
      </c>
      <c r="U204" s="106">
        <f>IF(ISBLANK(Table1[[#This Row],[OHC Date]]),$B$7-Table1[[#This Row],[HOC Date]]+1,Table1[[#This Row],[OHC Date]]-Table1[[#This Row],[HOC Date]]+1)/7</f>
        <v>3.1428571428571428</v>
      </c>
      <c r="V204" s="107">
        <v>63.34</v>
      </c>
      <c r="W204" s="107">
        <v>7.28</v>
      </c>
      <c r="X204" s="107">
        <f>ROUND(0.7*Table1[[#This Row],[E&amp;D Rate per unit]]*R204*Table1[[#This Row],[Quantity]],2)</f>
        <v>177.35</v>
      </c>
      <c r="Y204" s="107">
        <f t="shared" si="34"/>
        <v>91.52</v>
      </c>
      <c r="Z204" s="107">
        <f>ROUND(0.3*T204*Table1[[#This Row],[E&amp;D Rate per unit]]*Table1[[#This Row],[Quantity]],2)</f>
        <v>76.010000000000005</v>
      </c>
      <c r="AA204" s="107">
        <f t="shared" si="35"/>
        <v>344.88</v>
      </c>
      <c r="AB204" s="126">
        <v>344.88</v>
      </c>
      <c r="AC204" s="126">
        <f>Table1[[#This Row],[Total Amount]]-Table1[[#This Row],[Previous Amount]]</f>
        <v>0</v>
      </c>
      <c r="AD204" s="108"/>
    </row>
    <row r="205" spans="1:30" ht="30" customHeight="1" x14ac:dyDescent="0.3">
      <c r="A205" s="92" t="s">
        <v>89</v>
      </c>
      <c r="B205" s="92" t="s">
        <v>97</v>
      </c>
      <c r="C205" s="102">
        <v>55</v>
      </c>
      <c r="D205" s="102">
        <v>77560</v>
      </c>
      <c r="E205" s="102">
        <v>80517</v>
      </c>
      <c r="F205" s="103" t="s">
        <v>341</v>
      </c>
      <c r="G205" s="17" t="s">
        <v>226</v>
      </c>
      <c r="H205" s="102" t="s">
        <v>205</v>
      </c>
      <c r="I205" s="102">
        <v>1</v>
      </c>
      <c r="J205" s="102">
        <v>3.8</v>
      </c>
      <c r="K205" s="102">
        <v>1.3</v>
      </c>
      <c r="L205" s="102">
        <v>2.5</v>
      </c>
      <c r="M205" s="102">
        <v>1</v>
      </c>
      <c r="N205" s="104" t="s">
        <v>206</v>
      </c>
      <c r="O205" s="104">
        <f t="shared" si="33"/>
        <v>9.5</v>
      </c>
      <c r="P205" s="18">
        <v>44870</v>
      </c>
      <c r="Q205" s="118">
        <v>44880</v>
      </c>
      <c r="R205" s="105">
        <v>1</v>
      </c>
      <c r="S205" s="105">
        <v>1</v>
      </c>
      <c r="T205" s="105">
        <v>1</v>
      </c>
      <c r="U205" s="106">
        <f>IF(ISBLANK(Table1[[#This Row],[OHC Date]]),$B$7-Table1[[#This Row],[HOC Date]]+1,Table1[[#This Row],[OHC Date]]-Table1[[#This Row],[HOC Date]]+1)/7</f>
        <v>1.5714285714285714</v>
      </c>
      <c r="V205" s="107">
        <v>12.01</v>
      </c>
      <c r="W205" s="107">
        <v>0.49</v>
      </c>
      <c r="X205" s="107">
        <f>ROUND(0.7*Table1[[#This Row],[E&amp;D Rate per unit]]*R205*Table1[[#This Row],[Quantity]],2)</f>
        <v>79.87</v>
      </c>
      <c r="Y205" s="107">
        <f t="shared" si="34"/>
        <v>7.32</v>
      </c>
      <c r="Z205" s="107">
        <f>ROUND(0.3*T205*Table1[[#This Row],[E&amp;D Rate per unit]]*Table1[[#This Row],[Quantity]],2)</f>
        <v>34.229999999999997</v>
      </c>
      <c r="AA205" s="107">
        <f t="shared" si="35"/>
        <v>121.42</v>
      </c>
      <c r="AB205" s="126">
        <v>121.42</v>
      </c>
      <c r="AC205" s="126">
        <f>Table1[[#This Row],[Total Amount]]-Table1[[#This Row],[Previous Amount]]</f>
        <v>0</v>
      </c>
      <c r="AD205" s="108"/>
    </row>
    <row r="206" spans="1:30" ht="30" customHeight="1" x14ac:dyDescent="0.3">
      <c r="A206" s="92" t="s">
        <v>89</v>
      </c>
      <c r="B206" s="92" t="s">
        <v>97</v>
      </c>
      <c r="C206" s="102">
        <v>56</v>
      </c>
      <c r="D206" s="102">
        <v>77561</v>
      </c>
      <c r="E206" s="102"/>
      <c r="F206" s="103" t="s">
        <v>289</v>
      </c>
      <c r="G206" s="17" t="s">
        <v>254</v>
      </c>
      <c r="H206" s="102" t="s">
        <v>220</v>
      </c>
      <c r="I206" s="102">
        <v>1</v>
      </c>
      <c r="J206" s="102">
        <v>2.5</v>
      </c>
      <c r="K206" s="102">
        <v>1.8</v>
      </c>
      <c r="L206" s="102">
        <v>4</v>
      </c>
      <c r="M206" s="102">
        <v>1</v>
      </c>
      <c r="N206" s="104" t="s">
        <v>221</v>
      </c>
      <c r="O206" s="104">
        <f t="shared" si="33"/>
        <v>4</v>
      </c>
      <c r="P206" s="188">
        <v>44870</v>
      </c>
      <c r="Q206" s="118"/>
      <c r="R206" s="105">
        <v>1</v>
      </c>
      <c r="S206" s="105">
        <v>1</v>
      </c>
      <c r="T206" s="105">
        <v>0</v>
      </c>
      <c r="U206" s="106">
        <f>IF(ISBLANK(Table1[[#This Row],[OHC Date]]),$B$7-Table1[[#This Row],[HOC Date]]+1,Table1[[#This Row],[OHC Date]]-Table1[[#This Row],[HOC Date]]+1)/7</f>
        <v>11.714285714285714</v>
      </c>
      <c r="V206" s="107">
        <v>63.34</v>
      </c>
      <c r="W206" s="107">
        <v>7.28</v>
      </c>
      <c r="X206" s="107">
        <f>ROUND(0.7*Table1[[#This Row],[E&amp;D Rate per unit]]*R206*Table1[[#This Row],[Quantity]],2)</f>
        <v>177.35</v>
      </c>
      <c r="Y206" s="107">
        <f t="shared" si="34"/>
        <v>341.12</v>
      </c>
      <c r="Z206" s="107">
        <f>ROUND(0.3*T206*Table1[[#This Row],[E&amp;D Rate per unit]]*Table1[[#This Row],[Quantity]],2)</f>
        <v>0</v>
      </c>
      <c r="AA206" s="107">
        <f t="shared" si="35"/>
        <v>518.47</v>
      </c>
      <c r="AB206" s="126">
        <v>389.51</v>
      </c>
      <c r="AC206" s="126">
        <f>Table1[[#This Row],[Total Amount]]-Table1[[#This Row],[Previous Amount]]</f>
        <v>128.96000000000004</v>
      </c>
      <c r="AD206" s="108"/>
    </row>
    <row r="207" spans="1:30" ht="30" customHeight="1" x14ac:dyDescent="0.3">
      <c r="A207" s="92" t="s">
        <v>89</v>
      </c>
      <c r="B207" s="92" t="s">
        <v>97</v>
      </c>
      <c r="C207" s="102">
        <v>56</v>
      </c>
      <c r="D207" s="102">
        <v>77561</v>
      </c>
      <c r="E207" s="102"/>
      <c r="F207" s="103" t="s">
        <v>289</v>
      </c>
      <c r="G207" s="17" t="s">
        <v>254</v>
      </c>
      <c r="H207" s="102" t="s">
        <v>176</v>
      </c>
      <c r="I207" s="102">
        <v>1</v>
      </c>
      <c r="J207" s="102">
        <v>2.5</v>
      </c>
      <c r="K207" s="102">
        <v>1.8</v>
      </c>
      <c r="L207" s="102">
        <v>1</v>
      </c>
      <c r="M207" s="102">
        <v>1</v>
      </c>
      <c r="N207" s="104" t="s">
        <v>160</v>
      </c>
      <c r="O207" s="104">
        <f t="shared" si="33"/>
        <v>4.5</v>
      </c>
      <c r="P207" s="188">
        <v>44870</v>
      </c>
      <c r="Q207" s="118"/>
      <c r="R207" s="105">
        <v>1</v>
      </c>
      <c r="S207" s="105">
        <v>1</v>
      </c>
      <c r="T207" s="105">
        <v>0</v>
      </c>
      <c r="U207" s="106">
        <f>IF(ISBLANK(Table1[[#This Row],[OHC Date]]),$B$7-Table1[[#This Row],[HOC Date]]+1,Table1[[#This Row],[OHC Date]]-Table1[[#This Row],[HOC Date]]+1)/7</f>
        <v>11.714285714285714</v>
      </c>
      <c r="V207" s="107">
        <v>6.63</v>
      </c>
      <c r="W207" s="107">
        <v>0.7</v>
      </c>
      <c r="X207" s="107">
        <f>ROUND(0.7*Table1[[#This Row],[E&amp;D Rate per unit]]*R207*Table1[[#This Row],[Quantity]],2)</f>
        <v>20.88</v>
      </c>
      <c r="Y207" s="107">
        <f t="shared" si="34"/>
        <v>36.9</v>
      </c>
      <c r="Z207" s="107">
        <f>ROUND(0.3*T207*Table1[[#This Row],[E&amp;D Rate per unit]]*Table1[[#This Row],[Quantity]],2)</f>
        <v>0</v>
      </c>
      <c r="AA207" s="107">
        <f t="shared" si="35"/>
        <v>57.78</v>
      </c>
      <c r="AB207" s="126">
        <v>43.83</v>
      </c>
      <c r="AC207" s="126">
        <f>Table1[[#This Row],[Total Amount]]-Table1[[#This Row],[Previous Amount]]</f>
        <v>13.950000000000003</v>
      </c>
      <c r="AD207" s="108"/>
    </row>
    <row r="208" spans="1:30" ht="30" customHeight="1" x14ac:dyDescent="0.3">
      <c r="A208" s="92" t="s">
        <v>89</v>
      </c>
      <c r="B208" s="92" t="s">
        <v>97</v>
      </c>
      <c r="C208" s="102" t="s">
        <v>342</v>
      </c>
      <c r="D208" s="102">
        <v>77562</v>
      </c>
      <c r="E208" s="102">
        <v>76799</v>
      </c>
      <c r="F208" s="103" t="s">
        <v>330</v>
      </c>
      <c r="G208" s="17" t="s">
        <v>200</v>
      </c>
      <c r="H208" s="102" t="s">
        <v>220</v>
      </c>
      <c r="I208" s="102">
        <v>1</v>
      </c>
      <c r="J208" s="102">
        <v>1</v>
      </c>
      <c r="K208" s="102">
        <v>1</v>
      </c>
      <c r="L208" s="102">
        <v>1.5</v>
      </c>
      <c r="M208" s="102">
        <v>1</v>
      </c>
      <c r="N208" s="104" t="s">
        <v>221</v>
      </c>
      <c r="O208" s="104">
        <f t="shared" si="33"/>
        <v>1.5</v>
      </c>
      <c r="P208" s="18">
        <v>44870</v>
      </c>
      <c r="Q208" s="118">
        <v>44874</v>
      </c>
      <c r="R208" s="105">
        <v>1</v>
      </c>
      <c r="S208" s="105">
        <v>1</v>
      </c>
      <c r="T208" s="105">
        <v>1</v>
      </c>
      <c r="U208" s="106">
        <f>IF(ISBLANK(Table1[[#This Row],[OHC Date]]),$B$7-Table1[[#This Row],[HOC Date]]+1,Table1[[#This Row],[OHC Date]]-Table1[[#This Row],[HOC Date]]+1)/7</f>
        <v>0.7142857142857143</v>
      </c>
      <c r="V208" s="107">
        <v>63.34</v>
      </c>
      <c r="W208" s="107">
        <v>7.28</v>
      </c>
      <c r="X208" s="107">
        <f>ROUND(0.7*Table1[[#This Row],[E&amp;D Rate per unit]]*R208*Table1[[#This Row],[Quantity]],2)</f>
        <v>66.510000000000005</v>
      </c>
      <c r="Y208" s="107">
        <f t="shared" si="34"/>
        <v>7.8</v>
      </c>
      <c r="Z208" s="107">
        <f>ROUND(0.3*T208*Table1[[#This Row],[E&amp;D Rate per unit]]*Table1[[#This Row],[Quantity]],2)</f>
        <v>28.5</v>
      </c>
      <c r="AA208" s="107">
        <f t="shared" si="35"/>
        <v>102.81</v>
      </c>
      <c r="AB208" s="126">
        <v>102.81</v>
      </c>
      <c r="AC208" s="126">
        <f>Table1[[#This Row],[Total Amount]]-Table1[[#This Row],[Previous Amount]]</f>
        <v>0</v>
      </c>
      <c r="AD208" s="108"/>
    </row>
    <row r="209" spans="1:30" ht="30" customHeight="1" x14ac:dyDescent="0.3">
      <c r="A209" s="92" t="s">
        <v>89</v>
      </c>
      <c r="B209" s="92" t="s">
        <v>97</v>
      </c>
      <c r="C209" s="102" t="s">
        <v>343</v>
      </c>
      <c r="D209" s="102">
        <v>77563</v>
      </c>
      <c r="E209" s="102">
        <v>76800</v>
      </c>
      <c r="F209" s="103" t="s">
        <v>330</v>
      </c>
      <c r="G209" s="17" t="s">
        <v>200</v>
      </c>
      <c r="H209" s="102" t="s">
        <v>220</v>
      </c>
      <c r="I209" s="102">
        <v>1</v>
      </c>
      <c r="J209" s="102">
        <v>1</v>
      </c>
      <c r="K209" s="102">
        <v>1</v>
      </c>
      <c r="L209" s="102">
        <v>1.5</v>
      </c>
      <c r="M209" s="102">
        <v>1</v>
      </c>
      <c r="N209" s="104" t="s">
        <v>221</v>
      </c>
      <c r="O209" s="104">
        <f t="shared" si="33"/>
        <v>1.5</v>
      </c>
      <c r="P209" s="18">
        <v>44870</v>
      </c>
      <c r="Q209" s="118">
        <v>44874</v>
      </c>
      <c r="R209" s="105">
        <v>1</v>
      </c>
      <c r="S209" s="105">
        <v>1</v>
      </c>
      <c r="T209" s="105">
        <v>1</v>
      </c>
      <c r="U209" s="106">
        <f>IF(ISBLANK(Table1[[#This Row],[OHC Date]]),$B$7-Table1[[#This Row],[HOC Date]]+1,Table1[[#This Row],[OHC Date]]-Table1[[#This Row],[HOC Date]]+1)/7</f>
        <v>0.7142857142857143</v>
      </c>
      <c r="V209" s="107">
        <v>63.34</v>
      </c>
      <c r="W209" s="107">
        <v>7.28</v>
      </c>
      <c r="X209" s="107">
        <f>ROUND(0.7*Table1[[#This Row],[E&amp;D Rate per unit]]*R209*Table1[[#This Row],[Quantity]],2)</f>
        <v>66.510000000000005</v>
      </c>
      <c r="Y209" s="107">
        <f t="shared" si="34"/>
        <v>7.8</v>
      </c>
      <c r="Z209" s="107">
        <f>ROUND(0.3*T209*Table1[[#This Row],[E&amp;D Rate per unit]]*Table1[[#This Row],[Quantity]],2)</f>
        <v>28.5</v>
      </c>
      <c r="AA209" s="107">
        <f t="shared" si="35"/>
        <v>102.81</v>
      </c>
      <c r="AB209" s="126">
        <v>102.81</v>
      </c>
      <c r="AC209" s="126">
        <f>Table1[[#This Row],[Total Amount]]-Table1[[#This Row],[Previous Amount]]</f>
        <v>0</v>
      </c>
      <c r="AD209" s="108"/>
    </row>
    <row r="210" spans="1:30" ht="30" customHeight="1" x14ac:dyDescent="0.3">
      <c r="A210" s="92" t="s">
        <v>89</v>
      </c>
      <c r="B210" s="92" t="s">
        <v>97</v>
      </c>
      <c r="C210" s="102">
        <v>57</v>
      </c>
      <c r="D210" s="102">
        <v>77564</v>
      </c>
      <c r="E210" s="102">
        <v>80549</v>
      </c>
      <c r="F210" s="103" t="s">
        <v>341</v>
      </c>
      <c r="G210" s="17" t="s">
        <v>226</v>
      </c>
      <c r="H210" s="102" t="s">
        <v>220</v>
      </c>
      <c r="I210" s="102">
        <v>1</v>
      </c>
      <c r="J210" s="102">
        <v>2.5</v>
      </c>
      <c r="K210" s="102">
        <v>1.3</v>
      </c>
      <c r="L210" s="102">
        <v>3.8</v>
      </c>
      <c r="M210" s="102">
        <v>1</v>
      </c>
      <c r="N210" s="104" t="s">
        <v>221</v>
      </c>
      <c r="O210" s="104">
        <f t="shared" si="33"/>
        <v>3.8</v>
      </c>
      <c r="P210" s="18">
        <v>44870</v>
      </c>
      <c r="Q210" s="118">
        <v>44900</v>
      </c>
      <c r="R210" s="105">
        <v>1</v>
      </c>
      <c r="S210" s="105">
        <v>1</v>
      </c>
      <c r="T210" s="105">
        <v>1</v>
      </c>
      <c r="U210" s="106">
        <f>IF(ISBLANK(Table1[[#This Row],[OHC Date]]),$B$7-Table1[[#This Row],[HOC Date]]+1,Table1[[#This Row],[OHC Date]]-Table1[[#This Row],[HOC Date]]+1)/7</f>
        <v>4.4285714285714288</v>
      </c>
      <c r="V210" s="107">
        <v>63.34</v>
      </c>
      <c r="W210" s="107">
        <v>7.28</v>
      </c>
      <c r="X210" s="107">
        <f>ROUND(0.7*Table1[[#This Row],[E&amp;D Rate per unit]]*R210*Table1[[#This Row],[Quantity]],2)</f>
        <v>168.48</v>
      </c>
      <c r="Y210" s="107">
        <f t="shared" si="34"/>
        <v>122.51</v>
      </c>
      <c r="Z210" s="107">
        <f>ROUND(0.3*T210*Table1[[#This Row],[E&amp;D Rate per unit]]*Table1[[#This Row],[Quantity]],2)</f>
        <v>72.209999999999994</v>
      </c>
      <c r="AA210" s="107">
        <f t="shared" si="35"/>
        <v>363.2</v>
      </c>
      <c r="AB210" s="126">
        <v>363.2</v>
      </c>
      <c r="AC210" s="126">
        <f>Table1[[#This Row],[Total Amount]]-Table1[[#This Row],[Previous Amount]]</f>
        <v>0</v>
      </c>
      <c r="AD210" s="108"/>
    </row>
    <row r="211" spans="1:30" ht="30" customHeight="1" x14ac:dyDescent="0.3">
      <c r="A211" s="92" t="s">
        <v>89</v>
      </c>
      <c r="B211" s="92" t="s">
        <v>97</v>
      </c>
      <c r="C211" s="102">
        <v>58</v>
      </c>
      <c r="D211" s="102">
        <v>77565</v>
      </c>
      <c r="E211" s="102">
        <v>80528</v>
      </c>
      <c r="F211" s="103" t="s">
        <v>325</v>
      </c>
      <c r="G211" s="17" t="s">
        <v>200</v>
      </c>
      <c r="H211" s="102" t="s">
        <v>118</v>
      </c>
      <c r="I211" s="102">
        <v>1</v>
      </c>
      <c r="J211" s="102">
        <v>3.8</v>
      </c>
      <c r="K211" s="102">
        <v>2.5</v>
      </c>
      <c r="L211" s="102">
        <v>3.5</v>
      </c>
      <c r="M211" s="102">
        <v>1</v>
      </c>
      <c r="N211" s="104" t="s">
        <v>206</v>
      </c>
      <c r="O211" s="104">
        <f t="shared" si="33"/>
        <v>13.3</v>
      </c>
      <c r="P211" s="18">
        <v>44872</v>
      </c>
      <c r="Q211" s="118">
        <v>44882</v>
      </c>
      <c r="R211" s="105">
        <v>1</v>
      </c>
      <c r="S211" s="105">
        <v>1</v>
      </c>
      <c r="T211" s="105">
        <v>1</v>
      </c>
      <c r="U211" s="106">
        <f>IF(ISBLANK(Table1[[#This Row],[OHC Date]]),$B$7-Table1[[#This Row],[HOC Date]]+1,Table1[[#This Row],[OHC Date]]-Table1[[#This Row],[HOC Date]]+1)/7</f>
        <v>1.5714285714285714</v>
      </c>
      <c r="V211" s="107">
        <v>16.760000000000002</v>
      </c>
      <c r="W211" s="107">
        <v>0.77</v>
      </c>
      <c r="X211" s="107">
        <f>ROUND(0.7*Table1[[#This Row],[E&amp;D Rate per unit]]*R211*Table1[[#This Row],[Quantity]],2)</f>
        <v>156.04</v>
      </c>
      <c r="Y211" s="107">
        <f t="shared" si="34"/>
        <v>16.09</v>
      </c>
      <c r="Z211" s="107">
        <f>ROUND(0.3*T211*Table1[[#This Row],[E&amp;D Rate per unit]]*Table1[[#This Row],[Quantity]],2)</f>
        <v>66.87</v>
      </c>
      <c r="AA211" s="107">
        <f t="shared" si="35"/>
        <v>239</v>
      </c>
      <c r="AB211" s="126">
        <v>239</v>
      </c>
      <c r="AC211" s="126">
        <f>Table1[[#This Row],[Total Amount]]-Table1[[#This Row],[Previous Amount]]</f>
        <v>0</v>
      </c>
      <c r="AD211" s="108"/>
    </row>
    <row r="212" spans="1:30" ht="30" customHeight="1" x14ac:dyDescent="0.3">
      <c r="A212" s="92" t="s">
        <v>89</v>
      </c>
      <c r="B212" s="92" t="s">
        <v>97</v>
      </c>
      <c r="C212" s="102">
        <v>59</v>
      </c>
      <c r="D212" s="102">
        <v>77566</v>
      </c>
      <c r="E212" s="102">
        <v>76794</v>
      </c>
      <c r="F212" s="103" t="s">
        <v>344</v>
      </c>
      <c r="G212" s="17" t="s">
        <v>226</v>
      </c>
      <c r="H212" s="102" t="s">
        <v>205</v>
      </c>
      <c r="I212" s="102">
        <v>1</v>
      </c>
      <c r="J212" s="102">
        <v>8.1</v>
      </c>
      <c r="K212" s="102">
        <v>1.3</v>
      </c>
      <c r="L212" s="102">
        <v>3</v>
      </c>
      <c r="M212" s="102">
        <v>1</v>
      </c>
      <c r="N212" s="104" t="s">
        <v>206</v>
      </c>
      <c r="O212" s="104">
        <f t="shared" si="33"/>
        <v>24.3</v>
      </c>
      <c r="P212" s="18">
        <v>44872</v>
      </c>
      <c r="Q212" s="118">
        <v>44873</v>
      </c>
      <c r="R212" s="105">
        <v>1</v>
      </c>
      <c r="S212" s="105">
        <v>1</v>
      </c>
      <c r="T212" s="105">
        <v>1</v>
      </c>
      <c r="U212" s="106">
        <f>IF(ISBLANK(Table1[[#This Row],[OHC Date]]),$B$7-Table1[[#This Row],[HOC Date]]+1,Table1[[#This Row],[OHC Date]]-Table1[[#This Row],[HOC Date]]+1)/7</f>
        <v>0.2857142857142857</v>
      </c>
      <c r="V212" s="107">
        <v>12.01</v>
      </c>
      <c r="W212" s="107">
        <v>0.49</v>
      </c>
      <c r="X212" s="107">
        <f>ROUND(0.7*Table1[[#This Row],[E&amp;D Rate per unit]]*R212*Table1[[#This Row],[Quantity]],2)</f>
        <v>204.29</v>
      </c>
      <c r="Y212" s="107">
        <f t="shared" si="34"/>
        <v>3.4</v>
      </c>
      <c r="Z212" s="107">
        <f>ROUND(0.3*T212*Table1[[#This Row],[E&amp;D Rate per unit]]*Table1[[#This Row],[Quantity]],2)</f>
        <v>87.55</v>
      </c>
      <c r="AA212" s="107">
        <f t="shared" si="35"/>
        <v>295.24</v>
      </c>
      <c r="AB212" s="126">
        <v>295.24</v>
      </c>
      <c r="AC212" s="126">
        <f>Table1[[#This Row],[Total Amount]]-Table1[[#This Row],[Previous Amount]]</f>
        <v>0</v>
      </c>
      <c r="AD212" s="108"/>
    </row>
    <row r="213" spans="1:30" ht="30" customHeight="1" x14ac:dyDescent="0.3">
      <c r="A213" s="92" t="s">
        <v>89</v>
      </c>
      <c r="B213" s="92" t="s">
        <v>97</v>
      </c>
      <c r="C213" s="102" t="s">
        <v>345</v>
      </c>
      <c r="D213" s="102">
        <v>77567</v>
      </c>
      <c r="E213" s="102">
        <v>80533</v>
      </c>
      <c r="F213" s="103" t="s">
        <v>238</v>
      </c>
      <c r="G213" s="17" t="s">
        <v>190</v>
      </c>
      <c r="H213" s="102" t="s">
        <v>127</v>
      </c>
      <c r="I213" s="102">
        <v>1</v>
      </c>
      <c r="J213" s="102">
        <v>10.8</v>
      </c>
      <c r="K213" s="102">
        <v>1</v>
      </c>
      <c r="L213" s="102">
        <v>1</v>
      </c>
      <c r="M213" s="102">
        <v>1</v>
      </c>
      <c r="N213" s="104" t="s">
        <v>160</v>
      </c>
      <c r="O213" s="104">
        <f t="shared" si="33"/>
        <v>10.8</v>
      </c>
      <c r="P213" s="18">
        <v>44870</v>
      </c>
      <c r="Q213" s="118">
        <v>44890</v>
      </c>
      <c r="R213" s="105">
        <v>1</v>
      </c>
      <c r="S213" s="105">
        <v>1</v>
      </c>
      <c r="T213" s="105">
        <v>1</v>
      </c>
      <c r="U213" s="106">
        <f>IF(ISBLANK(Table1[[#This Row],[OHC Date]]),$B$7-Table1[[#This Row],[HOC Date]]+1,Table1[[#This Row],[OHC Date]]-Table1[[#This Row],[HOC Date]]+1)/7</f>
        <v>3</v>
      </c>
      <c r="V213" s="107">
        <v>36.520000000000003</v>
      </c>
      <c r="W213" s="107">
        <v>2.94</v>
      </c>
      <c r="X213" s="107">
        <f>ROUND(0.7*Table1[[#This Row],[E&amp;D Rate per unit]]*R213*Table1[[#This Row],[Quantity]],2)</f>
        <v>276.08999999999997</v>
      </c>
      <c r="Y213" s="107">
        <f t="shared" si="34"/>
        <v>95.26</v>
      </c>
      <c r="Z213" s="107">
        <f>ROUND(0.3*T213*Table1[[#This Row],[E&amp;D Rate per unit]]*Table1[[#This Row],[Quantity]],2)</f>
        <v>118.32</v>
      </c>
      <c r="AA213" s="107">
        <f t="shared" si="35"/>
        <v>489.67</v>
      </c>
      <c r="AB213" s="126">
        <v>489.67</v>
      </c>
      <c r="AC213" s="126">
        <f>Table1[[#This Row],[Total Amount]]-Table1[[#This Row],[Previous Amount]]</f>
        <v>0</v>
      </c>
      <c r="AD213" s="108"/>
    </row>
    <row r="214" spans="1:30" ht="30" customHeight="1" x14ac:dyDescent="0.3">
      <c r="A214" s="92" t="s">
        <v>89</v>
      </c>
      <c r="B214" s="92" t="s">
        <v>97</v>
      </c>
      <c r="C214" s="102">
        <v>60</v>
      </c>
      <c r="D214" s="102">
        <v>77568</v>
      </c>
      <c r="E214" s="102">
        <v>80512</v>
      </c>
      <c r="F214" s="103" t="s">
        <v>338</v>
      </c>
      <c r="G214" s="17" t="s">
        <v>346</v>
      </c>
      <c r="H214" s="151" t="s">
        <v>123</v>
      </c>
      <c r="I214" s="102">
        <v>1</v>
      </c>
      <c r="J214" s="102">
        <v>2.5</v>
      </c>
      <c r="K214" s="102">
        <v>1.8</v>
      </c>
      <c r="L214" s="102">
        <v>2</v>
      </c>
      <c r="M214" s="102"/>
      <c r="N214" s="104" t="s">
        <v>224</v>
      </c>
      <c r="O214" s="104">
        <f t="shared" si="33"/>
        <v>9</v>
      </c>
      <c r="P214" s="18">
        <v>44872</v>
      </c>
      <c r="Q214" s="118">
        <v>44876</v>
      </c>
      <c r="R214" s="105">
        <v>1</v>
      </c>
      <c r="S214" s="105">
        <v>1</v>
      </c>
      <c r="T214" s="105">
        <v>1</v>
      </c>
      <c r="U214" s="106">
        <f>IF(ISBLANK(Table1[[#This Row],[OHC Date]]),$B$7-Table1[[#This Row],[HOC Date]]+1,Table1[[#This Row],[OHC Date]]-Table1[[#This Row],[HOC Date]]+1)/7</f>
        <v>0.7142857142857143</v>
      </c>
      <c r="V214" s="107">
        <v>5.29</v>
      </c>
      <c r="W214" s="107">
        <v>0.35</v>
      </c>
      <c r="X214" s="107">
        <f>ROUND(0.7*Table1[[#This Row],[E&amp;D Rate per unit]]*R214*Table1[[#This Row],[Quantity]],2)</f>
        <v>33.33</v>
      </c>
      <c r="Y214" s="107">
        <f t="shared" si="34"/>
        <v>2.25</v>
      </c>
      <c r="Z214" s="107">
        <f>ROUND(0.3*T214*Table1[[#This Row],[E&amp;D Rate per unit]]*Table1[[#This Row],[Quantity]],2)</f>
        <v>14.28</v>
      </c>
      <c r="AA214" s="107">
        <f t="shared" si="35"/>
        <v>49.86</v>
      </c>
      <c r="AB214" s="126">
        <v>49.86</v>
      </c>
      <c r="AC214" s="126">
        <f>Table1[[#This Row],[Total Amount]]-Table1[[#This Row],[Previous Amount]]</f>
        <v>0</v>
      </c>
      <c r="AD214" s="108"/>
    </row>
    <row r="215" spans="1:30" ht="30" customHeight="1" x14ac:dyDescent="0.3">
      <c r="A215" s="92" t="s">
        <v>89</v>
      </c>
      <c r="B215" s="92" t="s">
        <v>97</v>
      </c>
      <c r="C215" s="102" t="s">
        <v>347</v>
      </c>
      <c r="D215" s="102">
        <v>77569</v>
      </c>
      <c r="E215" s="102">
        <v>80512</v>
      </c>
      <c r="F215" s="103" t="s">
        <v>338</v>
      </c>
      <c r="G215" s="17" t="s">
        <v>346</v>
      </c>
      <c r="H215" s="102" t="s">
        <v>339</v>
      </c>
      <c r="I215" s="102">
        <v>1</v>
      </c>
      <c r="J215" s="102">
        <v>3</v>
      </c>
      <c r="K215" s="102"/>
      <c r="L215" s="102">
        <v>1.5</v>
      </c>
      <c r="M215" s="102"/>
      <c r="N215" s="104" t="s">
        <v>283</v>
      </c>
      <c r="O215" s="104">
        <f t="shared" si="33"/>
        <v>3</v>
      </c>
      <c r="P215" s="18">
        <v>44872</v>
      </c>
      <c r="Q215" s="118">
        <v>44876</v>
      </c>
      <c r="R215" s="105">
        <v>1</v>
      </c>
      <c r="S215" s="105">
        <v>1</v>
      </c>
      <c r="T215" s="105">
        <v>1</v>
      </c>
      <c r="U215" s="106">
        <f>IF(ISBLANK(Table1[[#This Row],[OHC Date]]),$B$7-Table1[[#This Row],[HOC Date]]+1,Table1[[#This Row],[OHC Date]]-Table1[[#This Row],[HOC Date]]+1)/7</f>
        <v>0.7142857142857143</v>
      </c>
      <c r="V215" s="107">
        <v>15</v>
      </c>
      <c r="W215" s="107">
        <v>0.91</v>
      </c>
      <c r="X215" s="107">
        <f>ROUND(0.7*Table1[[#This Row],[E&amp;D Rate per unit]]*R215*Table1[[#This Row],[Quantity]],2)</f>
        <v>31.5</v>
      </c>
      <c r="Y215" s="107">
        <f t="shared" si="34"/>
        <v>1.95</v>
      </c>
      <c r="Z215" s="107">
        <f>ROUND(0.3*T215*Table1[[#This Row],[E&amp;D Rate per unit]]*Table1[[#This Row],[Quantity]],2)</f>
        <v>13.5</v>
      </c>
      <c r="AA215" s="107">
        <f t="shared" si="35"/>
        <v>46.95</v>
      </c>
      <c r="AB215" s="126">
        <v>46.95</v>
      </c>
      <c r="AC215" s="126">
        <f>Table1[[#This Row],[Total Amount]]-Table1[[#This Row],[Previous Amount]]</f>
        <v>0</v>
      </c>
      <c r="AD215" s="108"/>
    </row>
    <row r="216" spans="1:30" ht="30" customHeight="1" x14ac:dyDescent="0.3">
      <c r="A216" s="131" t="s">
        <v>348</v>
      </c>
      <c r="B216" s="92" t="s">
        <v>97</v>
      </c>
      <c r="C216" s="102">
        <v>61</v>
      </c>
      <c r="D216" s="102">
        <v>77578</v>
      </c>
      <c r="E216" s="102">
        <v>80513</v>
      </c>
      <c r="F216" s="17" t="s">
        <v>350</v>
      </c>
      <c r="G216" s="17" t="s">
        <v>351</v>
      </c>
      <c r="H216" s="16" t="s">
        <v>352</v>
      </c>
      <c r="I216" s="102">
        <v>1</v>
      </c>
      <c r="J216" s="102">
        <v>24.3</v>
      </c>
      <c r="K216" s="102">
        <v>1</v>
      </c>
      <c r="L216" s="102">
        <v>4</v>
      </c>
      <c r="M216" s="102">
        <v>1</v>
      </c>
      <c r="N216" s="104" t="s">
        <v>206</v>
      </c>
      <c r="O216" s="104">
        <f t="shared" si="33"/>
        <v>97.2</v>
      </c>
      <c r="P216" s="18">
        <v>44872</v>
      </c>
      <c r="Q216" s="118">
        <v>44879</v>
      </c>
      <c r="R216" s="105">
        <v>1</v>
      </c>
      <c r="S216" s="105">
        <v>1</v>
      </c>
      <c r="T216" s="105">
        <v>1</v>
      </c>
      <c r="U216" s="106">
        <f>IF(ISBLANK(Table1[[#This Row],[OHC Date]]),$B$7-Table1[[#This Row],[HOC Date]]+1,Table1[[#This Row],[OHC Date]]-Table1[[#This Row],[HOC Date]]+1)/7</f>
        <v>1.1428571428571428</v>
      </c>
      <c r="V216" s="107">
        <v>115.4699</v>
      </c>
      <c r="W216" s="107">
        <v>2.27</v>
      </c>
      <c r="X216" s="107">
        <f>ROUND(0.7*Table1[[#This Row],[E&amp;D Rate per unit]]*R216*Table1[[#This Row],[Quantity]],2)</f>
        <v>7856.57</v>
      </c>
      <c r="Y216" s="107">
        <f t="shared" si="34"/>
        <v>252.16</v>
      </c>
      <c r="Z216" s="107">
        <f>ROUND(0.3*T216*Table1[[#This Row],[E&amp;D Rate per unit]]*Table1[[#This Row],[Quantity]],2)</f>
        <v>3367.1</v>
      </c>
      <c r="AA216" s="107">
        <f t="shared" si="35"/>
        <v>11475.83</v>
      </c>
      <c r="AB216" s="126">
        <v>11475.83</v>
      </c>
      <c r="AC216" s="126">
        <f>Table1[[#This Row],[Total Amount]]-Table1[[#This Row],[Previous Amount]]</f>
        <v>0</v>
      </c>
      <c r="AD216" s="132" t="s">
        <v>353</v>
      </c>
    </row>
    <row r="217" spans="1:30" ht="30" customHeight="1" x14ac:dyDescent="0.3">
      <c r="A217" s="101"/>
      <c r="B217" s="92" t="s">
        <v>97</v>
      </c>
      <c r="C217" s="102">
        <v>62</v>
      </c>
      <c r="D217" s="102">
        <v>77570</v>
      </c>
      <c r="E217" s="102"/>
      <c r="F217" s="17" t="s">
        <v>318</v>
      </c>
      <c r="G217" s="17" t="s">
        <v>226</v>
      </c>
      <c r="H217" s="16" t="s">
        <v>354</v>
      </c>
      <c r="I217" s="102">
        <v>1</v>
      </c>
      <c r="J217" s="102"/>
      <c r="K217" s="102"/>
      <c r="L217" s="102"/>
      <c r="M217" s="102"/>
      <c r="N217" s="104" t="s">
        <v>56</v>
      </c>
      <c r="O217" s="104">
        <f t="shared" si="33"/>
        <v>1</v>
      </c>
      <c r="P217" s="18">
        <v>44873</v>
      </c>
      <c r="Q217" s="118"/>
      <c r="R217" s="105">
        <v>1</v>
      </c>
      <c r="S217" s="105">
        <v>1</v>
      </c>
      <c r="T217" s="105">
        <v>0</v>
      </c>
      <c r="U217" s="106">
        <f>IF(ISBLANK(Table1[[#This Row],[OHC Date]]),$B$7-Table1[[#This Row],[HOC Date]]+1,Table1[[#This Row],[OHC Date]]-Table1[[#This Row],[HOC Date]]+1)/7</f>
        <v>11.285714285714286</v>
      </c>
      <c r="V217" s="107"/>
      <c r="W217" s="107"/>
      <c r="X217" s="107">
        <f>ROUND(0.7*Table1[[#This Row],[E&amp;D Rate per unit]]*R217*Table1[[#This Row],[Quantity]],2)</f>
        <v>0</v>
      </c>
      <c r="Y217" s="107">
        <f t="shared" si="34"/>
        <v>0</v>
      </c>
      <c r="Z217" s="107">
        <f>ROUND(0.3*T217*Table1[[#This Row],[E&amp;D Rate per unit]]*Table1[[#This Row],[Quantity]],2)</f>
        <v>0</v>
      </c>
      <c r="AA217" s="107">
        <f t="shared" si="35"/>
        <v>0</v>
      </c>
      <c r="AB217" s="126">
        <v>0</v>
      </c>
      <c r="AC217" s="126">
        <f>Table1[[#This Row],[Total Amount]]-Table1[[#This Row],[Previous Amount]]</f>
        <v>0</v>
      </c>
      <c r="AD217" s="108"/>
    </row>
    <row r="218" spans="1:30" ht="30" customHeight="1" x14ac:dyDescent="0.3">
      <c r="A218" s="101"/>
      <c r="B218" s="92" t="s">
        <v>97</v>
      </c>
      <c r="C218" s="102">
        <v>63</v>
      </c>
      <c r="D218" s="102">
        <v>77571</v>
      </c>
      <c r="E218" s="102"/>
      <c r="F218" s="17" t="s">
        <v>318</v>
      </c>
      <c r="G218" s="17" t="s">
        <v>226</v>
      </c>
      <c r="H218" s="16" t="s">
        <v>354</v>
      </c>
      <c r="I218" s="102">
        <v>1</v>
      </c>
      <c r="J218" s="102"/>
      <c r="K218" s="102"/>
      <c r="L218" s="102"/>
      <c r="M218" s="102"/>
      <c r="N218" s="93" t="s">
        <v>56</v>
      </c>
      <c r="O218" s="104">
        <f t="shared" si="33"/>
        <v>1</v>
      </c>
      <c r="P218" s="18">
        <v>44873</v>
      </c>
      <c r="Q218" s="118"/>
      <c r="R218" s="105">
        <v>1</v>
      </c>
      <c r="S218" s="105">
        <v>1</v>
      </c>
      <c r="T218" s="105">
        <v>0</v>
      </c>
      <c r="U218" s="106">
        <f>IF(ISBLANK(Table1[[#This Row],[OHC Date]]),$B$7-Table1[[#This Row],[HOC Date]]+1,Table1[[#This Row],[OHC Date]]-Table1[[#This Row],[HOC Date]]+1)/7</f>
        <v>11.285714285714286</v>
      </c>
      <c r="V218" s="107"/>
      <c r="W218" s="107"/>
      <c r="X218" s="107">
        <f>ROUND(0.7*Table1[[#This Row],[E&amp;D Rate per unit]]*R218*Table1[[#This Row],[Quantity]],2)</f>
        <v>0</v>
      </c>
      <c r="Y218" s="107">
        <f t="shared" si="34"/>
        <v>0</v>
      </c>
      <c r="Z218" s="107">
        <f>ROUND(0.3*T218*Table1[[#This Row],[E&amp;D Rate per unit]]*Table1[[#This Row],[Quantity]],2)</f>
        <v>0</v>
      </c>
      <c r="AA218" s="107">
        <f t="shared" si="35"/>
        <v>0</v>
      </c>
      <c r="AB218" s="126">
        <v>0</v>
      </c>
      <c r="AC218" s="126">
        <f>Table1[[#This Row],[Total Amount]]-Table1[[#This Row],[Previous Amount]]</f>
        <v>0</v>
      </c>
      <c r="AD218" s="108"/>
    </row>
    <row r="219" spans="1:30" ht="30" customHeight="1" x14ac:dyDescent="0.3">
      <c r="A219" s="101"/>
      <c r="B219" s="92" t="s">
        <v>97</v>
      </c>
      <c r="C219" s="102">
        <v>64</v>
      </c>
      <c r="D219" s="102">
        <v>77572</v>
      </c>
      <c r="E219" s="102"/>
      <c r="F219" s="17" t="s">
        <v>318</v>
      </c>
      <c r="G219" s="17" t="s">
        <v>355</v>
      </c>
      <c r="H219" s="16" t="s">
        <v>365</v>
      </c>
      <c r="I219" s="102">
        <v>1</v>
      </c>
      <c r="J219" s="102"/>
      <c r="K219" s="102"/>
      <c r="L219" s="102"/>
      <c r="M219" s="102"/>
      <c r="N219" s="93" t="s">
        <v>56</v>
      </c>
      <c r="O219" s="104">
        <f t="shared" si="33"/>
        <v>1</v>
      </c>
      <c r="P219" s="18">
        <v>44874</v>
      </c>
      <c r="Q219" s="118"/>
      <c r="R219" s="105">
        <v>1</v>
      </c>
      <c r="S219" s="105">
        <v>1</v>
      </c>
      <c r="T219" s="105">
        <v>0</v>
      </c>
      <c r="U219" s="106">
        <f>IF(ISBLANK(Table1[[#This Row],[OHC Date]]),$B$7-Table1[[#This Row],[HOC Date]]+1,Table1[[#This Row],[OHC Date]]-Table1[[#This Row],[HOC Date]]+1)/7</f>
        <v>11.142857142857142</v>
      </c>
      <c r="V219" s="107"/>
      <c r="W219" s="107"/>
      <c r="X219" s="107">
        <f>ROUND(0.7*Table1[[#This Row],[E&amp;D Rate per unit]]*R219*Table1[[#This Row],[Quantity]],2)</f>
        <v>0</v>
      </c>
      <c r="Y219" s="107">
        <f t="shared" si="34"/>
        <v>0</v>
      </c>
      <c r="Z219" s="107">
        <f>ROUND(0.3*T219*Table1[[#This Row],[E&amp;D Rate per unit]]*Table1[[#This Row],[Quantity]],2)</f>
        <v>0</v>
      </c>
      <c r="AA219" s="107">
        <f t="shared" si="35"/>
        <v>0</v>
      </c>
      <c r="AB219" s="126">
        <v>0</v>
      </c>
      <c r="AC219" s="126">
        <f>Table1[[#This Row],[Total Amount]]-Table1[[#This Row],[Previous Amount]]</f>
        <v>0</v>
      </c>
      <c r="AD219" s="108"/>
    </row>
    <row r="220" spans="1:30" ht="30" customHeight="1" x14ac:dyDescent="0.3">
      <c r="A220" s="101"/>
      <c r="B220" s="92" t="s">
        <v>97</v>
      </c>
      <c r="C220" s="102">
        <v>65</v>
      </c>
      <c r="D220" s="102">
        <v>77573</v>
      </c>
      <c r="E220" s="102"/>
      <c r="F220" s="17" t="s">
        <v>318</v>
      </c>
      <c r="G220" s="17" t="s">
        <v>355</v>
      </c>
      <c r="H220" s="16" t="s">
        <v>365</v>
      </c>
      <c r="I220" s="102">
        <v>1</v>
      </c>
      <c r="J220" s="102"/>
      <c r="K220" s="102"/>
      <c r="L220" s="102"/>
      <c r="M220" s="102"/>
      <c r="N220" s="93" t="s">
        <v>56</v>
      </c>
      <c r="O220" s="104">
        <f t="shared" si="33"/>
        <v>1</v>
      </c>
      <c r="P220" s="18">
        <v>44874</v>
      </c>
      <c r="Q220" s="118"/>
      <c r="R220" s="105">
        <v>1</v>
      </c>
      <c r="S220" s="105">
        <v>1</v>
      </c>
      <c r="T220" s="105">
        <v>0</v>
      </c>
      <c r="U220" s="106">
        <f>IF(ISBLANK(Table1[[#This Row],[OHC Date]]),$B$7-Table1[[#This Row],[HOC Date]]+1,Table1[[#This Row],[OHC Date]]-Table1[[#This Row],[HOC Date]]+1)/7</f>
        <v>11.142857142857142</v>
      </c>
      <c r="V220" s="107"/>
      <c r="W220" s="107"/>
      <c r="X220" s="107">
        <f>ROUND(0.7*Table1[[#This Row],[E&amp;D Rate per unit]]*R220*Table1[[#This Row],[Quantity]],2)</f>
        <v>0</v>
      </c>
      <c r="Y220" s="107">
        <f t="shared" si="34"/>
        <v>0</v>
      </c>
      <c r="Z220" s="107">
        <f>ROUND(0.3*T220*Table1[[#This Row],[E&amp;D Rate per unit]]*Table1[[#This Row],[Quantity]],2)</f>
        <v>0</v>
      </c>
      <c r="AA220" s="107">
        <f t="shared" si="35"/>
        <v>0</v>
      </c>
      <c r="AB220" s="126">
        <v>0</v>
      </c>
      <c r="AC220" s="126">
        <f>Table1[[#This Row],[Total Amount]]-Table1[[#This Row],[Previous Amount]]</f>
        <v>0</v>
      </c>
      <c r="AD220" s="108"/>
    </row>
    <row r="221" spans="1:30" ht="30" customHeight="1" x14ac:dyDescent="0.3">
      <c r="A221" s="92" t="s">
        <v>89</v>
      </c>
      <c r="B221" s="92" t="s">
        <v>97</v>
      </c>
      <c r="C221" s="16" t="s">
        <v>356</v>
      </c>
      <c r="D221" s="102">
        <v>77574</v>
      </c>
      <c r="E221" s="102">
        <v>80522</v>
      </c>
      <c r="F221" s="17" t="s">
        <v>333</v>
      </c>
      <c r="G221" s="17" t="s">
        <v>190</v>
      </c>
      <c r="H221" s="102" t="s">
        <v>127</v>
      </c>
      <c r="I221" s="102">
        <v>1</v>
      </c>
      <c r="J221" s="102">
        <v>2</v>
      </c>
      <c r="K221" s="102">
        <v>1</v>
      </c>
      <c r="L221" s="102">
        <v>1</v>
      </c>
      <c r="M221" s="102">
        <v>1</v>
      </c>
      <c r="N221" s="104" t="s">
        <v>160</v>
      </c>
      <c r="O221" s="104">
        <f t="shared" si="33"/>
        <v>2</v>
      </c>
      <c r="P221" s="18">
        <v>44874</v>
      </c>
      <c r="Q221" s="118">
        <v>44879</v>
      </c>
      <c r="R221" s="105">
        <v>1</v>
      </c>
      <c r="S221" s="105">
        <v>1</v>
      </c>
      <c r="T221" s="105">
        <v>1</v>
      </c>
      <c r="U221" s="106">
        <f>IF(ISBLANK(Table1[[#This Row],[OHC Date]]),$B$7-Table1[[#This Row],[HOC Date]]+1,Table1[[#This Row],[OHC Date]]-Table1[[#This Row],[HOC Date]]+1)/7</f>
        <v>0.8571428571428571</v>
      </c>
      <c r="V221" s="107">
        <v>36.520000000000003</v>
      </c>
      <c r="W221" s="107">
        <v>2.94</v>
      </c>
      <c r="X221" s="107">
        <f>ROUND(0.7*Table1[[#This Row],[E&amp;D Rate per unit]]*R221*Table1[[#This Row],[Quantity]],2)</f>
        <v>51.13</v>
      </c>
      <c r="Y221" s="107">
        <f t="shared" si="34"/>
        <v>5.04</v>
      </c>
      <c r="Z221" s="107">
        <f>ROUND(0.3*T221*Table1[[#This Row],[E&amp;D Rate per unit]]*Table1[[#This Row],[Quantity]],2)</f>
        <v>21.91</v>
      </c>
      <c r="AA221" s="107">
        <f t="shared" si="35"/>
        <v>78.08</v>
      </c>
      <c r="AB221" s="126">
        <v>78.08</v>
      </c>
      <c r="AC221" s="126">
        <f>Table1[[#This Row],[Total Amount]]-Table1[[#This Row],[Previous Amount]]</f>
        <v>0</v>
      </c>
      <c r="AD221" s="108"/>
    </row>
    <row r="222" spans="1:30" ht="30" customHeight="1" x14ac:dyDescent="0.3">
      <c r="A222" s="92" t="s">
        <v>89</v>
      </c>
      <c r="B222" s="92" t="s">
        <v>97</v>
      </c>
      <c r="C222" s="16" t="s">
        <v>381</v>
      </c>
      <c r="D222" s="102">
        <v>77582</v>
      </c>
      <c r="E222" s="102">
        <v>80514</v>
      </c>
      <c r="F222" s="17" t="s">
        <v>382</v>
      </c>
      <c r="G222" s="17" t="s">
        <v>200</v>
      </c>
      <c r="H222" s="102" t="s">
        <v>118</v>
      </c>
      <c r="I222" s="102">
        <v>1</v>
      </c>
      <c r="J222" s="102">
        <v>4</v>
      </c>
      <c r="K222" s="102">
        <v>2.5</v>
      </c>
      <c r="L222" s="102">
        <v>4</v>
      </c>
      <c r="M222" s="102">
        <v>1</v>
      </c>
      <c r="N222" s="104" t="s">
        <v>206</v>
      </c>
      <c r="O222" s="104">
        <f>ROUND(IF(N222="m3",I222*J222*K222*L222,IF(N222="m2-LxH",I222*J222*L222,IF(N222="m2-LxW",I222*J222*K222,IF(N222="rm",I222*L222,IF(N222="lm",I222*J222,IF(N222="unit",I222,"NA")))))),2)</f>
        <v>16</v>
      </c>
      <c r="P222" s="18">
        <v>44874</v>
      </c>
      <c r="Q222" s="118">
        <v>44879</v>
      </c>
      <c r="R222" s="105">
        <v>1</v>
      </c>
      <c r="S222" s="105">
        <v>1</v>
      </c>
      <c r="T222" s="105">
        <v>1</v>
      </c>
      <c r="U222" s="106">
        <f>IF(ISBLANK(Table1[[#This Row],[OHC Date]]),$B$7-Table1[[#This Row],[HOC Date]]+1,Table1[[#This Row],[OHC Date]]-Table1[[#This Row],[HOC Date]]+1)/7</f>
        <v>0.8571428571428571</v>
      </c>
      <c r="V222" s="107">
        <v>16.760000000000002</v>
      </c>
      <c r="W222" s="107">
        <v>0.77</v>
      </c>
      <c r="X222" s="107">
        <f>ROUND(0.7*Table1[[#This Row],[E&amp;D Rate per unit]]*R222*Table1[[#This Row],[Quantity]],2)</f>
        <v>187.71</v>
      </c>
      <c r="Y222" s="107">
        <f>ROUND(O222*U222*W222*S222,2)</f>
        <v>10.56</v>
      </c>
      <c r="Z222" s="107">
        <f>ROUND(0.3*T222*Table1[[#This Row],[E&amp;D Rate per unit]]*Table1[[#This Row],[Quantity]],2)</f>
        <v>80.45</v>
      </c>
      <c r="AA222" s="107">
        <f>ROUND(X222+Z222+Y222,2)</f>
        <v>278.72000000000003</v>
      </c>
      <c r="AB222" s="126">
        <v>278.72000000000003</v>
      </c>
      <c r="AC222" s="126">
        <f>Table1[[#This Row],[Total Amount]]-Table1[[#This Row],[Previous Amount]]</f>
        <v>0</v>
      </c>
      <c r="AD222" s="108"/>
    </row>
    <row r="223" spans="1:30" ht="30" customHeight="1" x14ac:dyDescent="0.3">
      <c r="A223" s="92" t="s">
        <v>89</v>
      </c>
      <c r="B223" s="92" t="s">
        <v>97</v>
      </c>
      <c r="C223" s="16" t="s">
        <v>357</v>
      </c>
      <c r="D223" s="102">
        <v>77575</v>
      </c>
      <c r="E223" s="102">
        <v>80505</v>
      </c>
      <c r="F223" s="17" t="s">
        <v>333</v>
      </c>
      <c r="G223" s="17" t="s">
        <v>190</v>
      </c>
      <c r="H223" s="102" t="s">
        <v>127</v>
      </c>
      <c r="I223" s="102">
        <v>1</v>
      </c>
      <c r="J223" s="102">
        <v>1.5</v>
      </c>
      <c r="K223" s="102">
        <v>1</v>
      </c>
      <c r="L223" s="102">
        <v>1</v>
      </c>
      <c r="M223" s="102">
        <v>1</v>
      </c>
      <c r="N223" s="104" t="s">
        <v>160</v>
      </c>
      <c r="O223" s="104">
        <f t="shared" si="33"/>
        <v>1.5</v>
      </c>
      <c r="P223" s="18">
        <v>44875</v>
      </c>
      <c r="Q223" s="118">
        <v>44875</v>
      </c>
      <c r="R223" s="105">
        <v>1</v>
      </c>
      <c r="S223" s="105">
        <v>1</v>
      </c>
      <c r="T223" s="105">
        <v>1</v>
      </c>
      <c r="U223" s="106">
        <f>IF(ISBLANK(Table1[[#This Row],[OHC Date]]),$B$7-Table1[[#This Row],[HOC Date]]+1,Table1[[#This Row],[OHC Date]]-Table1[[#This Row],[HOC Date]]+1)/7</f>
        <v>0.14285714285714285</v>
      </c>
      <c r="V223" s="107">
        <v>36.520000000000003</v>
      </c>
      <c r="W223" s="107">
        <v>2.94</v>
      </c>
      <c r="X223" s="107">
        <f>ROUND(0.7*Table1[[#This Row],[E&amp;D Rate per unit]]*R223*Table1[[#This Row],[Quantity]],2)</f>
        <v>38.35</v>
      </c>
      <c r="Y223" s="107">
        <f t="shared" si="34"/>
        <v>0.63</v>
      </c>
      <c r="Z223" s="107">
        <f>ROUND(0.3*T223*Table1[[#This Row],[E&amp;D Rate per unit]]*Table1[[#This Row],[Quantity]],2)</f>
        <v>16.43</v>
      </c>
      <c r="AA223" s="107">
        <f t="shared" si="35"/>
        <v>55.41</v>
      </c>
      <c r="AB223" s="126">
        <v>55.41</v>
      </c>
      <c r="AC223" s="126">
        <f>Table1[[#This Row],[Total Amount]]-Table1[[#This Row],[Previous Amount]]</f>
        <v>0</v>
      </c>
      <c r="AD223" s="108"/>
    </row>
    <row r="224" spans="1:30" ht="30" customHeight="1" x14ac:dyDescent="0.3">
      <c r="A224" s="92" t="s">
        <v>89</v>
      </c>
      <c r="B224" s="92" t="s">
        <v>97</v>
      </c>
      <c r="C224" s="16">
        <v>66</v>
      </c>
      <c r="D224" s="16">
        <v>77576</v>
      </c>
      <c r="E224" s="187">
        <v>80872</v>
      </c>
      <c r="F224" s="17" t="s">
        <v>215</v>
      </c>
      <c r="G224" s="17" t="s">
        <v>216</v>
      </c>
      <c r="H224" s="16" t="s">
        <v>220</v>
      </c>
      <c r="I224" s="16">
        <v>1</v>
      </c>
      <c r="J224" s="16">
        <v>2.5</v>
      </c>
      <c r="K224" s="16">
        <v>1.8</v>
      </c>
      <c r="L224" s="16">
        <v>2</v>
      </c>
      <c r="M224" s="16">
        <v>1</v>
      </c>
      <c r="N224" s="93" t="s">
        <v>221</v>
      </c>
      <c r="O224" s="93">
        <f t="shared" si="33"/>
        <v>2</v>
      </c>
      <c r="P224" s="188">
        <v>44875</v>
      </c>
      <c r="Q224" s="188">
        <v>44935</v>
      </c>
      <c r="R224" s="19">
        <v>1</v>
      </c>
      <c r="S224" s="19">
        <v>1</v>
      </c>
      <c r="T224" s="19">
        <v>1</v>
      </c>
      <c r="U224" s="20">
        <f>IF(ISBLANK(Table1[[#This Row],[OHC Date]]),$B$7-Table1[[#This Row],[HOC Date]]+1,Table1[[#This Row],[OHC Date]]-Table1[[#This Row],[HOC Date]]+1)/7</f>
        <v>8.7142857142857135</v>
      </c>
      <c r="V224" s="21">
        <v>63.34</v>
      </c>
      <c r="W224" s="21">
        <v>7.28</v>
      </c>
      <c r="X224" s="21">
        <f>ROUND(0.7*Table1[[#This Row],[E&amp;D Rate per unit]]*R224*Table1[[#This Row],[Quantity]],2)</f>
        <v>88.68</v>
      </c>
      <c r="Y224" s="21">
        <f t="shared" si="34"/>
        <v>126.88</v>
      </c>
      <c r="Z224" s="21">
        <f>ROUND(0.3*T224*Table1[[#This Row],[E&amp;D Rate per unit]]*Table1[[#This Row],[Quantity]],2)</f>
        <v>38</v>
      </c>
      <c r="AA224" s="21">
        <f t="shared" si="35"/>
        <v>253.56</v>
      </c>
      <c r="AB224" s="129">
        <v>184.36</v>
      </c>
      <c r="AC224" s="129">
        <f>Table1[[#This Row],[Total Amount]]-Table1[[#This Row],[Previous Amount]]</f>
        <v>69.199999999999989</v>
      </c>
      <c r="AD224" s="127" t="s">
        <v>358</v>
      </c>
    </row>
    <row r="225" spans="1:30" ht="30" customHeight="1" x14ac:dyDescent="0.3">
      <c r="A225" s="92" t="s">
        <v>89</v>
      </c>
      <c r="B225" s="92" t="s">
        <v>97</v>
      </c>
      <c r="C225" s="16">
        <v>67</v>
      </c>
      <c r="D225" s="16">
        <v>77577</v>
      </c>
      <c r="E225" s="16">
        <v>80530</v>
      </c>
      <c r="F225" s="17" t="s">
        <v>359</v>
      </c>
      <c r="G225" s="17" t="s">
        <v>200</v>
      </c>
      <c r="H225" s="16" t="s">
        <v>119</v>
      </c>
      <c r="I225" s="16">
        <v>1</v>
      </c>
      <c r="J225" s="16">
        <v>3.1</v>
      </c>
      <c r="K225" s="16">
        <v>2.6</v>
      </c>
      <c r="L225" s="16">
        <v>4</v>
      </c>
      <c r="M225" s="16">
        <v>1</v>
      </c>
      <c r="N225" s="93" t="s">
        <v>224</v>
      </c>
      <c r="O225" s="93">
        <f t="shared" si="33"/>
        <v>32.24</v>
      </c>
      <c r="P225" s="18">
        <v>44875</v>
      </c>
      <c r="Q225" s="18">
        <v>44884</v>
      </c>
      <c r="R225" s="19">
        <v>1</v>
      </c>
      <c r="S225" s="19">
        <v>1</v>
      </c>
      <c r="T225" s="19">
        <v>1</v>
      </c>
      <c r="U225" s="20">
        <f>IF(ISBLANK(Table1[[#This Row],[OHC Date]]),$B$7-Table1[[#This Row],[HOC Date]]+1,Table1[[#This Row],[OHC Date]]-Table1[[#This Row],[HOC Date]]+1)/7</f>
        <v>1.4285714285714286</v>
      </c>
      <c r="V225" s="21">
        <v>7.08</v>
      </c>
      <c r="W225" s="21">
        <v>0.49</v>
      </c>
      <c r="X225" s="21">
        <f>ROUND(0.7*Table1[[#This Row],[E&amp;D Rate per unit]]*R225*Table1[[#This Row],[Quantity]],2)</f>
        <v>159.78</v>
      </c>
      <c r="Y225" s="21">
        <f t="shared" si="34"/>
        <v>22.57</v>
      </c>
      <c r="Z225" s="21">
        <f>ROUND(0.3*T225*Table1[[#This Row],[E&amp;D Rate per unit]]*Table1[[#This Row],[Quantity]],2)</f>
        <v>68.48</v>
      </c>
      <c r="AA225" s="21">
        <f t="shared" si="35"/>
        <v>250.83</v>
      </c>
      <c r="AB225" s="129">
        <v>250.83</v>
      </c>
      <c r="AC225" s="129">
        <f>Table1[[#This Row],[Total Amount]]-Table1[[#This Row],[Previous Amount]]</f>
        <v>0</v>
      </c>
      <c r="AD225" s="127" t="s">
        <v>360</v>
      </c>
    </row>
    <row r="226" spans="1:30" ht="30" customHeight="1" x14ac:dyDescent="0.3">
      <c r="A226" s="92" t="s">
        <v>89</v>
      </c>
      <c r="B226" s="92" t="s">
        <v>97</v>
      </c>
      <c r="C226" s="16">
        <v>68</v>
      </c>
      <c r="D226" s="16">
        <v>77579</v>
      </c>
      <c r="E226" s="16"/>
      <c r="F226" s="17" t="s">
        <v>361</v>
      </c>
      <c r="G226" s="17" t="s">
        <v>362</v>
      </c>
      <c r="H226" s="16" t="s">
        <v>205</v>
      </c>
      <c r="I226" s="16">
        <v>1</v>
      </c>
      <c r="J226" s="16">
        <v>6.3</v>
      </c>
      <c r="K226" s="16">
        <v>1.3</v>
      </c>
      <c r="L226" s="16">
        <v>3</v>
      </c>
      <c r="M226" s="16">
        <v>1</v>
      </c>
      <c r="N226" s="93" t="s">
        <v>206</v>
      </c>
      <c r="O226" s="93">
        <f t="shared" si="33"/>
        <v>18.899999999999999</v>
      </c>
      <c r="P226" s="188">
        <v>44875</v>
      </c>
      <c r="Q226" s="18"/>
      <c r="R226" s="19">
        <v>1</v>
      </c>
      <c r="S226" s="19">
        <v>1</v>
      </c>
      <c r="T226" s="19">
        <v>0</v>
      </c>
      <c r="U226" s="20">
        <f>IF(ISBLANK(Table1[[#This Row],[OHC Date]]),$B$7-Table1[[#This Row],[HOC Date]]+1,Table1[[#This Row],[OHC Date]]-Table1[[#This Row],[HOC Date]]+1)/7</f>
        <v>11</v>
      </c>
      <c r="V226" s="21">
        <v>12.01</v>
      </c>
      <c r="W226" s="21">
        <v>0.49</v>
      </c>
      <c r="X226" s="21">
        <f>ROUND(0.7*Table1[[#This Row],[E&amp;D Rate per unit]]*R226*Table1[[#This Row],[Quantity]],2)</f>
        <v>158.88999999999999</v>
      </c>
      <c r="Y226" s="21">
        <f t="shared" si="34"/>
        <v>101.87</v>
      </c>
      <c r="Z226" s="21">
        <f>ROUND(0.3*T226*Table1[[#This Row],[E&amp;D Rate per unit]]*Table1[[#This Row],[Quantity]],2)</f>
        <v>0</v>
      </c>
      <c r="AA226" s="21">
        <f t="shared" si="35"/>
        <v>260.76</v>
      </c>
      <c r="AB226" s="129">
        <v>219.75</v>
      </c>
      <c r="AC226" s="129">
        <f>Table1[[#This Row],[Total Amount]]-Table1[[#This Row],[Previous Amount]]</f>
        <v>41.009999999999991</v>
      </c>
      <c r="AD226" s="127" t="s">
        <v>358</v>
      </c>
    </row>
    <row r="227" spans="1:30" ht="30" customHeight="1" x14ac:dyDescent="0.3">
      <c r="A227" s="92" t="s">
        <v>89</v>
      </c>
      <c r="B227" s="92" t="s">
        <v>97</v>
      </c>
      <c r="C227" s="16" t="s">
        <v>363</v>
      </c>
      <c r="D227" s="16">
        <v>77580</v>
      </c>
      <c r="E227" s="16"/>
      <c r="F227" s="17" t="s">
        <v>361</v>
      </c>
      <c r="G227" s="17" t="s">
        <v>362</v>
      </c>
      <c r="H227" s="16" t="s">
        <v>205</v>
      </c>
      <c r="I227" s="16">
        <v>1</v>
      </c>
      <c r="J227" s="16">
        <v>3.5</v>
      </c>
      <c r="K227" s="16">
        <v>1.3</v>
      </c>
      <c r="L227" s="16">
        <v>4.5</v>
      </c>
      <c r="M227" s="16">
        <v>1</v>
      </c>
      <c r="N227" s="93" t="s">
        <v>206</v>
      </c>
      <c r="O227" s="93">
        <f t="shared" si="33"/>
        <v>15.75</v>
      </c>
      <c r="P227" s="188">
        <v>44875</v>
      </c>
      <c r="Q227" s="18"/>
      <c r="R227" s="19">
        <v>1</v>
      </c>
      <c r="S227" s="19">
        <v>1</v>
      </c>
      <c r="T227" s="19">
        <v>0</v>
      </c>
      <c r="U227" s="20">
        <f>IF(ISBLANK(Table1[[#This Row],[OHC Date]]),$B$7-Table1[[#This Row],[HOC Date]]+1,Table1[[#This Row],[OHC Date]]-Table1[[#This Row],[HOC Date]]+1)/7</f>
        <v>11</v>
      </c>
      <c r="V227" s="21">
        <v>12.01</v>
      </c>
      <c r="W227" s="21">
        <v>0.49</v>
      </c>
      <c r="X227" s="21">
        <f>ROUND(0.7*Table1[[#This Row],[E&amp;D Rate per unit]]*R227*Table1[[#This Row],[Quantity]],2)</f>
        <v>132.41</v>
      </c>
      <c r="Y227" s="21">
        <f t="shared" si="34"/>
        <v>84.89</v>
      </c>
      <c r="Z227" s="21">
        <f>ROUND(0.3*T227*Table1[[#This Row],[E&amp;D Rate per unit]]*Table1[[#This Row],[Quantity]],2)</f>
        <v>0</v>
      </c>
      <c r="AA227" s="21">
        <f t="shared" si="35"/>
        <v>217.3</v>
      </c>
      <c r="AB227" s="129">
        <v>183.13</v>
      </c>
      <c r="AC227" s="129">
        <f>Table1[[#This Row],[Total Amount]]-Table1[[#This Row],[Previous Amount]]</f>
        <v>34.170000000000016</v>
      </c>
      <c r="AD227" s="127" t="s">
        <v>358</v>
      </c>
    </row>
    <row r="228" spans="1:30" ht="30" customHeight="1" x14ac:dyDescent="0.3">
      <c r="A228" s="92" t="s">
        <v>89</v>
      </c>
      <c r="B228" s="92" t="s">
        <v>97</v>
      </c>
      <c r="C228" s="16">
        <v>69</v>
      </c>
      <c r="D228" s="16">
        <v>77581</v>
      </c>
      <c r="E228" s="16">
        <v>80518</v>
      </c>
      <c r="F228" s="17" t="s">
        <v>364</v>
      </c>
      <c r="G228" s="17" t="s">
        <v>226</v>
      </c>
      <c r="H228" s="16" t="s">
        <v>220</v>
      </c>
      <c r="I228" s="16">
        <v>1</v>
      </c>
      <c r="J228" s="16">
        <v>2.5</v>
      </c>
      <c r="K228" s="16">
        <v>1.3</v>
      </c>
      <c r="L228" s="16">
        <v>4</v>
      </c>
      <c r="M228" s="16">
        <v>1</v>
      </c>
      <c r="N228" s="93" t="s">
        <v>221</v>
      </c>
      <c r="O228" s="93">
        <f t="shared" si="33"/>
        <v>4</v>
      </c>
      <c r="P228" s="18">
        <v>44876</v>
      </c>
      <c r="Q228" s="18">
        <v>44879</v>
      </c>
      <c r="R228" s="19">
        <v>1</v>
      </c>
      <c r="S228" s="19">
        <v>1</v>
      </c>
      <c r="T228" s="19">
        <v>1</v>
      </c>
      <c r="U228" s="20">
        <f>IF(ISBLANK(Table1[[#This Row],[OHC Date]]),$B$7-Table1[[#This Row],[HOC Date]]+1,Table1[[#This Row],[OHC Date]]-Table1[[#This Row],[HOC Date]]+1)/7</f>
        <v>0.5714285714285714</v>
      </c>
      <c r="V228" s="21">
        <v>63.34</v>
      </c>
      <c r="W228" s="21">
        <v>7.28</v>
      </c>
      <c r="X228" s="21">
        <f>ROUND(0.7*Table1[[#This Row],[E&amp;D Rate per unit]]*R228*Table1[[#This Row],[Quantity]],2)</f>
        <v>177.35</v>
      </c>
      <c r="Y228" s="21">
        <f t="shared" si="34"/>
        <v>16.64</v>
      </c>
      <c r="Z228" s="21">
        <f>ROUND(0.3*T228*Table1[[#This Row],[E&amp;D Rate per unit]]*Table1[[#This Row],[Quantity]],2)</f>
        <v>76.010000000000005</v>
      </c>
      <c r="AA228" s="21">
        <f t="shared" si="35"/>
        <v>270</v>
      </c>
      <c r="AB228" s="129">
        <v>270</v>
      </c>
      <c r="AC228" s="129">
        <f>Table1[[#This Row],[Total Amount]]-Table1[[#This Row],[Previous Amount]]</f>
        <v>0</v>
      </c>
      <c r="AD228" s="127"/>
    </row>
    <row r="229" spans="1:30" ht="30" customHeight="1" x14ac:dyDescent="0.3">
      <c r="A229" s="92" t="s">
        <v>89</v>
      </c>
      <c r="B229" s="92" t="s">
        <v>97</v>
      </c>
      <c r="C229" s="102">
        <v>70</v>
      </c>
      <c r="D229" s="102">
        <v>77583</v>
      </c>
      <c r="E229" s="102">
        <v>80554</v>
      </c>
      <c r="F229" s="103" t="s">
        <v>366</v>
      </c>
      <c r="G229" s="17" t="s">
        <v>200</v>
      </c>
      <c r="H229" s="102" t="s">
        <v>220</v>
      </c>
      <c r="I229" s="102">
        <v>1</v>
      </c>
      <c r="J229" s="102">
        <v>1.3</v>
      </c>
      <c r="K229" s="102">
        <v>0.9</v>
      </c>
      <c r="L229" s="102">
        <v>4</v>
      </c>
      <c r="M229" s="102">
        <v>1</v>
      </c>
      <c r="N229" s="104" t="s">
        <v>221</v>
      </c>
      <c r="O229" s="104">
        <f t="shared" ref="O229:O262" si="36">ROUND(IF(N229="m3",I229*J229*K229*L229,IF(N229="m2-LxH",I229*J229*L229,IF(N229="m2-LxW",I229*J229*K229,IF(N229="rm",I229*L229,IF(N229="lm",I229*J229,IF(N229="unit",I229,"NA")))))),2)</f>
        <v>4</v>
      </c>
      <c r="P229" s="18">
        <v>44876</v>
      </c>
      <c r="Q229" s="118">
        <v>44901</v>
      </c>
      <c r="R229" s="105">
        <v>1</v>
      </c>
      <c r="S229" s="105">
        <v>1</v>
      </c>
      <c r="T229" s="105">
        <v>1</v>
      </c>
      <c r="U229" s="106">
        <f>IF(ISBLANK(Table1[[#This Row],[OHC Date]]),$B$7-Table1[[#This Row],[HOC Date]]+1,Table1[[#This Row],[OHC Date]]-Table1[[#This Row],[HOC Date]]+1)/7</f>
        <v>3.7142857142857144</v>
      </c>
      <c r="V229" s="107">
        <v>63.34</v>
      </c>
      <c r="W229" s="107">
        <v>7.28</v>
      </c>
      <c r="X229" s="107">
        <f>ROUND(0.7*Table1[[#This Row],[E&amp;D Rate per unit]]*R229*Table1[[#This Row],[Quantity]],2)</f>
        <v>177.35</v>
      </c>
      <c r="Y229" s="107">
        <f t="shared" ref="Y229:Y262" si="37">ROUND(O229*U229*W229*S229,2)</f>
        <v>108.16</v>
      </c>
      <c r="Z229" s="107">
        <f>ROUND(0.3*T229*Table1[[#This Row],[E&amp;D Rate per unit]]*Table1[[#This Row],[Quantity]],2)</f>
        <v>76.010000000000005</v>
      </c>
      <c r="AA229" s="107">
        <f t="shared" ref="AA229:AA262" si="38">ROUND(X229+Z229+Y229,2)</f>
        <v>361.52</v>
      </c>
      <c r="AB229" s="126">
        <v>361.52</v>
      </c>
      <c r="AC229" s="126">
        <f>Table1[[#This Row],[Total Amount]]-Table1[[#This Row],[Previous Amount]]</f>
        <v>0</v>
      </c>
      <c r="AD229" s="108"/>
    </row>
    <row r="230" spans="1:30" ht="30" customHeight="1" x14ac:dyDescent="0.3">
      <c r="A230" s="92" t="s">
        <v>89</v>
      </c>
      <c r="B230" s="92" t="s">
        <v>97</v>
      </c>
      <c r="C230" s="102">
        <v>70</v>
      </c>
      <c r="D230" s="102">
        <v>77583</v>
      </c>
      <c r="E230" s="102">
        <v>80554</v>
      </c>
      <c r="F230" s="103" t="s">
        <v>366</v>
      </c>
      <c r="G230" s="17" t="s">
        <v>200</v>
      </c>
      <c r="H230" s="102" t="s">
        <v>176</v>
      </c>
      <c r="I230" s="102">
        <v>1</v>
      </c>
      <c r="J230" s="102">
        <v>1.3</v>
      </c>
      <c r="K230" s="102">
        <v>0.9</v>
      </c>
      <c r="L230" s="102">
        <v>1</v>
      </c>
      <c r="M230" s="102">
        <v>1</v>
      </c>
      <c r="N230" s="104" t="s">
        <v>160</v>
      </c>
      <c r="O230" s="104">
        <f t="shared" si="36"/>
        <v>1.17</v>
      </c>
      <c r="P230" s="18">
        <v>44876</v>
      </c>
      <c r="Q230" s="118">
        <v>44901</v>
      </c>
      <c r="R230" s="105">
        <v>1</v>
      </c>
      <c r="S230" s="105">
        <v>1</v>
      </c>
      <c r="T230" s="105">
        <v>1</v>
      </c>
      <c r="U230" s="106">
        <f>IF(ISBLANK(Table1[[#This Row],[OHC Date]]),$B$7-Table1[[#This Row],[HOC Date]]+1,Table1[[#This Row],[OHC Date]]-Table1[[#This Row],[HOC Date]]+1)/7</f>
        <v>3.7142857142857144</v>
      </c>
      <c r="V230" s="107">
        <v>6.63</v>
      </c>
      <c r="W230" s="107">
        <v>0.7</v>
      </c>
      <c r="X230" s="107">
        <f>ROUND(0.7*Table1[[#This Row],[E&amp;D Rate per unit]]*R230*Table1[[#This Row],[Quantity]],2)</f>
        <v>5.43</v>
      </c>
      <c r="Y230" s="107">
        <f t="shared" si="37"/>
        <v>3.04</v>
      </c>
      <c r="Z230" s="107">
        <f>ROUND(0.3*T230*Table1[[#This Row],[E&amp;D Rate per unit]]*Table1[[#This Row],[Quantity]],2)</f>
        <v>2.33</v>
      </c>
      <c r="AA230" s="107">
        <f t="shared" si="38"/>
        <v>10.8</v>
      </c>
      <c r="AB230" s="126">
        <v>10.8</v>
      </c>
      <c r="AC230" s="126">
        <f>Table1[[#This Row],[Total Amount]]-Table1[[#This Row],[Previous Amount]]</f>
        <v>0</v>
      </c>
      <c r="AD230" s="108"/>
    </row>
    <row r="231" spans="1:30" ht="30" customHeight="1" x14ac:dyDescent="0.3">
      <c r="A231" s="92" t="s">
        <v>89</v>
      </c>
      <c r="B231" s="92" t="s">
        <v>97</v>
      </c>
      <c r="C231" s="102">
        <v>71</v>
      </c>
      <c r="D231" s="102">
        <v>77584</v>
      </c>
      <c r="E231" s="102">
        <v>80520</v>
      </c>
      <c r="F231" s="103" t="s">
        <v>367</v>
      </c>
      <c r="G231" s="17" t="s">
        <v>200</v>
      </c>
      <c r="H231" s="102" t="s">
        <v>220</v>
      </c>
      <c r="I231" s="102">
        <v>1</v>
      </c>
      <c r="J231" s="102">
        <v>2.5</v>
      </c>
      <c r="K231" s="102">
        <v>1.3</v>
      </c>
      <c r="L231" s="102">
        <v>4</v>
      </c>
      <c r="M231" s="102">
        <v>1</v>
      </c>
      <c r="N231" s="104" t="s">
        <v>221</v>
      </c>
      <c r="O231" s="104">
        <f t="shared" si="36"/>
        <v>4</v>
      </c>
      <c r="P231" s="18">
        <v>44876</v>
      </c>
      <c r="Q231" s="118">
        <v>44880</v>
      </c>
      <c r="R231" s="105">
        <v>1</v>
      </c>
      <c r="S231" s="105">
        <v>1</v>
      </c>
      <c r="T231" s="105">
        <v>1</v>
      </c>
      <c r="U231" s="106">
        <f>IF(ISBLANK(Table1[[#This Row],[OHC Date]]),$B$7-Table1[[#This Row],[HOC Date]]+1,Table1[[#This Row],[OHC Date]]-Table1[[#This Row],[HOC Date]]+1)/7</f>
        <v>0.7142857142857143</v>
      </c>
      <c r="V231" s="107">
        <v>63.34</v>
      </c>
      <c r="W231" s="107">
        <v>7.28</v>
      </c>
      <c r="X231" s="107">
        <f>ROUND(0.7*Table1[[#This Row],[E&amp;D Rate per unit]]*R231*Table1[[#This Row],[Quantity]],2)</f>
        <v>177.35</v>
      </c>
      <c r="Y231" s="107">
        <f t="shared" si="37"/>
        <v>20.8</v>
      </c>
      <c r="Z231" s="107">
        <f>ROUND(0.3*T231*Table1[[#This Row],[E&amp;D Rate per unit]]*Table1[[#This Row],[Quantity]],2)</f>
        <v>76.010000000000005</v>
      </c>
      <c r="AA231" s="107">
        <f t="shared" si="38"/>
        <v>274.16000000000003</v>
      </c>
      <c r="AB231" s="126">
        <v>274.16000000000003</v>
      </c>
      <c r="AC231" s="126">
        <f>Table1[[#This Row],[Total Amount]]-Table1[[#This Row],[Previous Amount]]</f>
        <v>0</v>
      </c>
      <c r="AD231" s="108"/>
    </row>
    <row r="232" spans="1:30" ht="30" customHeight="1" x14ac:dyDescent="0.3">
      <c r="A232" s="92" t="s">
        <v>89</v>
      </c>
      <c r="B232" s="92" t="s">
        <v>97</v>
      </c>
      <c r="C232" s="102">
        <v>71</v>
      </c>
      <c r="D232" s="102">
        <v>77584</v>
      </c>
      <c r="E232" s="102">
        <v>80520</v>
      </c>
      <c r="F232" s="103" t="s">
        <v>367</v>
      </c>
      <c r="G232" s="17" t="s">
        <v>200</v>
      </c>
      <c r="H232" s="102" t="s">
        <v>176</v>
      </c>
      <c r="I232" s="102">
        <v>1</v>
      </c>
      <c r="J232" s="102">
        <v>2.5</v>
      </c>
      <c r="K232" s="102">
        <v>1.3</v>
      </c>
      <c r="L232" s="102">
        <v>1</v>
      </c>
      <c r="M232" s="102">
        <v>1</v>
      </c>
      <c r="N232" s="104" t="s">
        <v>160</v>
      </c>
      <c r="O232" s="104">
        <f t="shared" si="36"/>
        <v>3.25</v>
      </c>
      <c r="P232" s="18">
        <v>44876</v>
      </c>
      <c r="Q232" s="118">
        <v>44880</v>
      </c>
      <c r="R232" s="105">
        <v>1</v>
      </c>
      <c r="S232" s="105">
        <v>1</v>
      </c>
      <c r="T232" s="105">
        <v>1</v>
      </c>
      <c r="U232" s="106">
        <f>IF(ISBLANK(Table1[[#This Row],[OHC Date]]),$B$7-Table1[[#This Row],[HOC Date]]+1,Table1[[#This Row],[OHC Date]]-Table1[[#This Row],[HOC Date]]+1)/7</f>
        <v>0.7142857142857143</v>
      </c>
      <c r="V232" s="107">
        <v>6.63</v>
      </c>
      <c r="W232" s="107">
        <v>0.7</v>
      </c>
      <c r="X232" s="107">
        <f>ROUND(0.7*Table1[[#This Row],[E&amp;D Rate per unit]]*R232*Table1[[#This Row],[Quantity]],2)</f>
        <v>15.08</v>
      </c>
      <c r="Y232" s="107">
        <f t="shared" si="37"/>
        <v>1.63</v>
      </c>
      <c r="Z232" s="107">
        <f>ROUND(0.3*T232*Table1[[#This Row],[E&amp;D Rate per unit]]*Table1[[#This Row],[Quantity]],2)</f>
        <v>6.46</v>
      </c>
      <c r="AA232" s="107">
        <f t="shared" si="38"/>
        <v>23.17</v>
      </c>
      <c r="AB232" s="126">
        <v>23.17</v>
      </c>
      <c r="AC232" s="126">
        <f>Table1[[#This Row],[Total Amount]]-Table1[[#This Row],[Previous Amount]]</f>
        <v>0</v>
      </c>
      <c r="AD232" s="108"/>
    </row>
    <row r="233" spans="1:30" ht="30" customHeight="1" x14ac:dyDescent="0.3">
      <c r="A233" s="92" t="s">
        <v>89</v>
      </c>
      <c r="B233" s="92" t="s">
        <v>97</v>
      </c>
      <c r="C233" s="102">
        <v>72</v>
      </c>
      <c r="D233" s="102">
        <v>77585</v>
      </c>
      <c r="E233" s="195">
        <v>80890</v>
      </c>
      <c r="F233" s="103" t="s">
        <v>368</v>
      </c>
      <c r="G233" s="17" t="s">
        <v>200</v>
      </c>
      <c r="H233" s="102" t="s">
        <v>220</v>
      </c>
      <c r="I233" s="102">
        <v>1</v>
      </c>
      <c r="J233" s="102">
        <v>2.5</v>
      </c>
      <c r="K233" s="102">
        <v>1.3</v>
      </c>
      <c r="L233" s="102">
        <v>2.2000000000000002</v>
      </c>
      <c r="M233" s="102">
        <v>1</v>
      </c>
      <c r="N233" s="104" t="s">
        <v>221</v>
      </c>
      <c r="O233" s="104">
        <f t="shared" si="36"/>
        <v>2.2000000000000002</v>
      </c>
      <c r="P233" s="188">
        <v>44876</v>
      </c>
      <c r="Q233" s="186">
        <v>44943</v>
      </c>
      <c r="R233" s="105">
        <v>1</v>
      </c>
      <c r="S233" s="105">
        <v>1</v>
      </c>
      <c r="T233" s="105">
        <v>1</v>
      </c>
      <c r="U233" s="106">
        <f>IF(ISBLANK(Table1[[#This Row],[OHC Date]]),$B$7-Table1[[#This Row],[HOC Date]]+1,Table1[[#This Row],[OHC Date]]-Table1[[#This Row],[HOC Date]]+1)/7</f>
        <v>9.7142857142857135</v>
      </c>
      <c r="V233" s="107">
        <v>63.34</v>
      </c>
      <c r="W233" s="107">
        <v>7.28</v>
      </c>
      <c r="X233" s="107">
        <f>ROUND(0.7*Table1[[#This Row],[E&amp;D Rate per unit]]*R233*Table1[[#This Row],[Quantity]],2)</f>
        <v>97.54</v>
      </c>
      <c r="Y233" s="107">
        <f t="shared" si="37"/>
        <v>155.58000000000001</v>
      </c>
      <c r="Z233" s="107">
        <f>ROUND(0.3*T233*Table1[[#This Row],[E&amp;D Rate per unit]]*Table1[[#This Row],[Quantity]],2)</f>
        <v>41.8</v>
      </c>
      <c r="AA233" s="107">
        <f t="shared" si="38"/>
        <v>294.92</v>
      </c>
      <c r="AB233" s="126">
        <v>200.5</v>
      </c>
      <c r="AC233" s="126">
        <f>Table1[[#This Row],[Total Amount]]-Table1[[#This Row],[Previous Amount]]</f>
        <v>94.420000000000016</v>
      </c>
      <c r="AD233" s="108"/>
    </row>
    <row r="234" spans="1:30" ht="30" customHeight="1" x14ac:dyDescent="0.3">
      <c r="A234" s="92" t="s">
        <v>89</v>
      </c>
      <c r="B234" s="92" t="s">
        <v>97</v>
      </c>
      <c r="C234" s="102">
        <v>73</v>
      </c>
      <c r="D234" s="102">
        <v>77586</v>
      </c>
      <c r="E234" s="102">
        <v>80521</v>
      </c>
      <c r="F234" s="103" t="s">
        <v>367</v>
      </c>
      <c r="G234" s="17" t="s">
        <v>200</v>
      </c>
      <c r="H234" s="102" t="s">
        <v>220</v>
      </c>
      <c r="I234" s="102">
        <v>1</v>
      </c>
      <c r="J234" s="102">
        <v>1.8</v>
      </c>
      <c r="K234" s="102">
        <v>1.3</v>
      </c>
      <c r="L234" s="102">
        <v>4.5</v>
      </c>
      <c r="M234" s="102">
        <v>1</v>
      </c>
      <c r="N234" s="104" t="s">
        <v>221</v>
      </c>
      <c r="O234" s="104">
        <f t="shared" si="36"/>
        <v>4.5</v>
      </c>
      <c r="P234" s="18">
        <v>44876</v>
      </c>
      <c r="Q234" s="118">
        <v>44880</v>
      </c>
      <c r="R234" s="105">
        <v>1</v>
      </c>
      <c r="S234" s="105">
        <v>1</v>
      </c>
      <c r="T234" s="105">
        <v>1</v>
      </c>
      <c r="U234" s="106">
        <f>IF(ISBLANK(Table1[[#This Row],[OHC Date]]),$B$7-Table1[[#This Row],[HOC Date]]+1,Table1[[#This Row],[OHC Date]]-Table1[[#This Row],[HOC Date]]+1)/7</f>
        <v>0.7142857142857143</v>
      </c>
      <c r="V234" s="107">
        <v>63.34</v>
      </c>
      <c r="W234" s="107">
        <v>7.28</v>
      </c>
      <c r="X234" s="107">
        <f>ROUND(0.7*Table1[[#This Row],[E&amp;D Rate per unit]]*R234*Table1[[#This Row],[Quantity]],2)</f>
        <v>199.52</v>
      </c>
      <c r="Y234" s="107">
        <f t="shared" si="37"/>
        <v>23.4</v>
      </c>
      <c r="Z234" s="107">
        <f>ROUND(0.3*T234*Table1[[#This Row],[E&amp;D Rate per unit]]*Table1[[#This Row],[Quantity]],2)</f>
        <v>85.51</v>
      </c>
      <c r="AA234" s="107">
        <f t="shared" si="38"/>
        <v>308.43</v>
      </c>
      <c r="AB234" s="126">
        <v>308.43</v>
      </c>
      <c r="AC234" s="126">
        <f>Table1[[#This Row],[Total Amount]]-Table1[[#This Row],[Previous Amount]]</f>
        <v>0</v>
      </c>
      <c r="AD234" s="108"/>
    </row>
    <row r="235" spans="1:30" ht="30" customHeight="1" x14ac:dyDescent="0.3">
      <c r="A235" s="92" t="s">
        <v>89</v>
      </c>
      <c r="B235" s="92" t="s">
        <v>97</v>
      </c>
      <c r="C235" s="102">
        <v>73</v>
      </c>
      <c r="D235" s="102">
        <v>77586</v>
      </c>
      <c r="E235" s="102">
        <v>80521</v>
      </c>
      <c r="F235" s="103" t="s">
        <v>367</v>
      </c>
      <c r="G235" s="17" t="s">
        <v>200</v>
      </c>
      <c r="H235" s="102" t="s">
        <v>176</v>
      </c>
      <c r="I235" s="102">
        <v>1</v>
      </c>
      <c r="J235" s="102">
        <v>1.8</v>
      </c>
      <c r="K235" s="102">
        <v>1.3</v>
      </c>
      <c r="L235" s="102">
        <v>1</v>
      </c>
      <c r="M235" s="102">
        <v>1</v>
      </c>
      <c r="N235" s="104" t="s">
        <v>160</v>
      </c>
      <c r="O235" s="104">
        <f t="shared" si="36"/>
        <v>2.34</v>
      </c>
      <c r="P235" s="18">
        <v>44876</v>
      </c>
      <c r="Q235" s="118">
        <v>44880</v>
      </c>
      <c r="R235" s="105">
        <v>1</v>
      </c>
      <c r="S235" s="105">
        <v>1</v>
      </c>
      <c r="T235" s="105">
        <v>1</v>
      </c>
      <c r="U235" s="106">
        <f>IF(ISBLANK(Table1[[#This Row],[OHC Date]]),$B$7-Table1[[#This Row],[HOC Date]]+1,Table1[[#This Row],[OHC Date]]-Table1[[#This Row],[HOC Date]]+1)/7</f>
        <v>0.7142857142857143</v>
      </c>
      <c r="V235" s="107">
        <v>6.63</v>
      </c>
      <c r="W235" s="107">
        <v>0.7</v>
      </c>
      <c r="X235" s="107">
        <f>ROUND(0.7*Table1[[#This Row],[E&amp;D Rate per unit]]*R235*Table1[[#This Row],[Quantity]],2)</f>
        <v>10.86</v>
      </c>
      <c r="Y235" s="107">
        <f t="shared" si="37"/>
        <v>1.17</v>
      </c>
      <c r="Z235" s="107">
        <f>ROUND(0.3*T235*Table1[[#This Row],[E&amp;D Rate per unit]]*Table1[[#This Row],[Quantity]],2)</f>
        <v>4.6500000000000004</v>
      </c>
      <c r="AA235" s="107">
        <f t="shared" si="38"/>
        <v>16.68</v>
      </c>
      <c r="AB235" s="126">
        <v>16.68</v>
      </c>
      <c r="AC235" s="126">
        <f>Table1[[#This Row],[Total Amount]]-Table1[[#This Row],[Previous Amount]]</f>
        <v>0</v>
      </c>
      <c r="AD235" s="108"/>
    </row>
    <row r="236" spans="1:30" ht="30" customHeight="1" x14ac:dyDescent="0.3">
      <c r="A236" s="92" t="s">
        <v>89</v>
      </c>
      <c r="B236" s="92" t="s">
        <v>97</v>
      </c>
      <c r="C236" s="102">
        <v>74</v>
      </c>
      <c r="D236" s="102">
        <v>77587</v>
      </c>
      <c r="E236" s="102">
        <v>80524</v>
      </c>
      <c r="F236" s="103" t="s">
        <v>369</v>
      </c>
      <c r="G236" s="17" t="s">
        <v>200</v>
      </c>
      <c r="H236" s="102" t="s">
        <v>220</v>
      </c>
      <c r="I236" s="102">
        <v>1</v>
      </c>
      <c r="J236" s="102">
        <v>1.8</v>
      </c>
      <c r="K236" s="102">
        <v>1.3</v>
      </c>
      <c r="L236" s="102">
        <v>4</v>
      </c>
      <c r="M236" s="102">
        <v>1</v>
      </c>
      <c r="N236" s="104" t="s">
        <v>221</v>
      </c>
      <c r="O236" s="104">
        <f t="shared" si="36"/>
        <v>4</v>
      </c>
      <c r="P236" s="18">
        <v>44876</v>
      </c>
      <c r="Q236" s="118">
        <v>44881</v>
      </c>
      <c r="R236" s="105">
        <v>1</v>
      </c>
      <c r="S236" s="105">
        <v>1</v>
      </c>
      <c r="T236" s="105">
        <v>1</v>
      </c>
      <c r="U236" s="106">
        <f>IF(ISBLANK(Table1[[#This Row],[OHC Date]]),$B$7-Table1[[#This Row],[HOC Date]]+1,Table1[[#This Row],[OHC Date]]-Table1[[#This Row],[HOC Date]]+1)/7</f>
        <v>0.8571428571428571</v>
      </c>
      <c r="V236" s="107">
        <v>63.34</v>
      </c>
      <c r="W236" s="107">
        <v>7.28</v>
      </c>
      <c r="X236" s="107">
        <f>ROUND(0.7*Table1[[#This Row],[E&amp;D Rate per unit]]*R236*Table1[[#This Row],[Quantity]],2)</f>
        <v>177.35</v>
      </c>
      <c r="Y236" s="107">
        <f t="shared" si="37"/>
        <v>24.96</v>
      </c>
      <c r="Z236" s="107">
        <f>ROUND(0.3*T236*Table1[[#This Row],[E&amp;D Rate per unit]]*Table1[[#This Row],[Quantity]],2)</f>
        <v>76.010000000000005</v>
      </c>
      <c r="AA236" s="107">
        <f t="shared" si="38"/>
        <v>278.32</v>
      </c>
      <c r="AB236" s="126">
        <v>278.32</v>
      </c>
      <c r="AC236" s="126">
        <f>Table1[[#This Row],[Total Amount]]-Table1[[#This Row],[Previous Amount]]</f>
        <v>0</v>
      </c>
      <c r="AD236" s="108"/>
    </row>
    <row r="237" spans="1:30" ht="30" customHeight="1" x14ac:dyDescent="0.3">
      <c r="A237" s="92" t="s">
        <v>89</v>
      </c>
      <c r="B237" s="92" t="s">
        <v>97</v>
      </c>
      <c r="C237" s="102">
        <v>74</v>
      </c>
      <c r="D237" s="102">
        <v>77587</v>
      </c>
      <c r="E237" s="102">
        <v>80524</v>
      </c>
      <c r="F237" s="103" t="s">
        <v>369</v>
      </c>
      <c r="G237" s="17" t="s">
        <v>200</v>
      </c>
      <c r="H237" s="102" t="s">
        <v>176</v>
      </c>
      <c r="I237" s="102">
        <v>1</v>
      </c>
      <c r="J237" s="102">
        <v>1.8</v>
      </c>
      <c r="K237" s="102">
        <v>1.3</v>
      </c>
      <c r="L237" s="102">
        <v>1</v>
      </c>
      <c r="M237" s="102">
        <v>2</v>
      </c>
      <c r="N237" s="104" t="s">
        <v>160</v>
      </c>
      <c r="O237" s="104">
        <f t="shared" si="36"/>
        <v>2.34</v>
      </c>
      <c r="P237" s="18">
        <v>44876</v>
      </c>
      <c r="Q237" s="118">
        <v>44881</v>
      </c>
      <c r="R237" s="105">
        <v>1</v>
      </c>
      <c r="S237" s="105">
        <v>1</v>
      </c>
      <c r="T237" s="105">
        <v>1</v>
      </c>
      <c r="U237" s="106">
        <f>IF(ISBLANK(Table1[[#This Row],[OHC Date]]),$B$7-Table1[[#This Row],[HOC Date]]+1,Table1[[#This Row],[OHC Date]]-Table1[[#This Row],[HOC Date]]+1)/7</f>
        <v>0.8571428571428571</v>
      </c>
      <c r="V237" s="107">
        <v>6.63</v>
      </c>
      <c r="W237" s="107">
        <v>0.7</v>
      </c>
      <c r="X237" s="107">
        <f>ROUND(0.7*Table1[[#This Row],[E&amp;D Rate per unit]]*R237*Table1[[#This Row],[Quantity]],2)</f>
        <v>10.86</v>
      </c>
      <c r="Y237" s="107">
        <f t="shared" si="37"/>
        <v>1.4</v>
      </c>
      <c r="Z237" s="107">
        <f>ROUND(0.3*T237*Table1[[#This Row],[E&amp;D Rate per unit]]*Table1[[#This Row],[Quantity]],2)</f>
        <v>4.6500000000000004</v>
      </c>
      <c r="AA237" s="107">
        <f t="shared" si="38"/>
        <v>16.91</v>
      </c>
      <c r="AB237" s="126">
        <v>16.91</v>
      </c>
      <c r="AC237" s="126">
        <f>Table1[[#This Row],[Total Amount]]-Table1[[#This Row],[Previous Amount]]</f>
        <v>0</v>
      </c>
      <c r="AD237" s="108"/>
    </row>
    <row r="238" spans="1:30" ht="30" customHeight="1" x14ac:dyDescent="0.3">
      <c r="A238" s="92" t="s">
        <v>89</v>
      </c>
      <c r="B238" s="92" t="s">
        <v>97</v>
      </c>
      <c r="C238" s="102">
        <v>75</v>
      </c>
      <c r="D238" s="102">
        <v>77588</v>
      </c>
      <c r="E238" s="102">
        <v>80519</v>
      </c>
      <c r="F238" s="103" t="s">
        <v>341</v>
      </c>
      <c r="G238" s="17" t="s">
        <v>226</v>
      </c>
      <c r="H238" s="102" t="s">
        <v>220</v>
      </c>
      <c r="I238" s="102">
        <v>1</v>
      </c>
      <c r="J238" s="102">
        <v>2.5</v>
      </c>
      <c r="K238" s="102">
        <v>1.3</v>
      </c>
      <c r="L238" s="102">
        <v>2</v>
      </c>
      <c r="M238" s="102">
        <v>1</v>
      </c>
      <c r="N238" s="104" t="s">
        <v>221</v>
      </c>
      <c r="O238" s="104">
        <f t="shared" si="36"/>
        <v>2</v>
      </c>
      <c r="P238" s="18">
        <v>44877</v>
      </c>
      <c r="Q238" s="118">
        <v>44880</v>
      </c>
      <c r="R238" s="105">
        <v>1</v>
      </c>
      <c r="S238" s="105">
        <v>1</v>
      </c>
      <c r="T238" s="105">
        <v>1</v>
      </c>
      <c r="U238" s="106">
        <f>IF(ISBLANK(Table1[[#This Row],[OHC Date]]),$B$7-Table1[[#This Row],[HOC Date]]+1,Table1[[#This Row],[OHC Date]]-Table1[[#This Row],[HOC Date]]+1)/7</f>
        <v>0.5714285714285714</v>
      </c>
      <c r="V238" s="107">
        <v>63.34</v>
      </c>
      <c r="W238" s="107">
        <v>7.28</v>
      </c>
      <c r="X238" s="107">
        <f>ROUND(0.7*Table1[[#This Row],[E&amp;D Rate per unit]]*R238*Table1[[#This Row],[Quantity]],2)</f>
        <v>88.68</v>
      </c>
      <c r="Y238" s="107">
        <f t="shared" si="37"/>
        <v>8.32</v>
      </c>
      <c r="Z238" s="107">
        <f>ROUND(0.3*T238*Table1[[#This Row],[E&amp;D Rate per unit]]*Table1[[#This Row],[Quantity]],2)</f>
        <v>38</v>
      </c>
      <c r="AA238" s="107">
        <f t="shared" si="38"/>
        <v>135</v>
      </c>
      <c r="AB238" s="126">
        <v>135</v>
      </c>
      <c r="AC238" s="126">
        <f>Table1[[#This Row],[Total Amount]]-Table1[[#This Row],[Previous Amount]]</f>
        <v>0</v>
      </c>
      <c r="AD238" s="108"/>
    </row>
    <row r="239" spans="1:30" ht="30" customHeight="1" x14ac:dyDescent="0.3">
      <c r="A239" s="92" t="s">
        <v>89</v>
      </c>
      <c r="B239" s="92" t="s">
        <v>97</v>
      </c>
      <c r="C239" s="102">
        <v>76</v>
      </c>
      <c r="D239" s="102">
        <v>77589</v>
      </c>
      <c r="E239" s="102">
        <v>80546</v>
      </c>
      <c r="F239" s="103" t="s">
        <v>370</v>
      </c>
      <c r="G239" s="17" t="s">
        <v>226</v>
      </c>
      <c r="H239" s="102" t="s">
        <v>220</v>
      </c>
      <c r="I239" s="102">
        <v>1</v>
      </c>
      <c r="J239" s="102">
        <v>2.5</v>
      </c>
      <c r="K239" s="102">
        <v>1.3</v>
      </c>
      <c r="L239" s="102">
        <v>3.5</v>
      </c>
      <c r="M239" s="102">
        <v>1</v>
      </c>
      <c r="N239" s="104" t="s">
        <v>221</v>
      </c>
      <c r="O239" s="104">
        <f t="shared" si="36"/>
        <v>3.5</v>
      </c>
      <c r="P239" s="18">
        <v>44879</v>
      </c>
      <c r="Q239" s="118">
        <v>44894</v>
      </c>
      <c r="R239" s="105">
        <v>1</v>
      </c>
      <c r="S239" s="105">
        <v>1</v>
      </c>
      <c r="T239" s="105">
        <v>1</v>
      </c>
      <c r="U239" s="106">
        <f>IF(ISBLANK(Table1[[#This Row],[OHC Date]]),$B$7-Table1[[#This Row],[HOC Date]]+1,Table1[[#This Row],[OHC Date]]-Table1[[#This Row],[HOC Date]]+1)/7</f>
        <v>2.2857142857142856</v>
      </c>
      <c r="V239" s="107">
        <v>63.34</v>
      </c>
      <c r="W239" s="107">
        <v>7.28</v>
      </c>
      <c r="X239" s="107">
        <f>ROUND(0.7*Table1[[#This Row],[E&amp;D Rate per unit]]*R239*Table1[[#This Row],[Quantity]],2)</f>
        <v>155.18</v>
      </c>
      <c r="Y239" s="107">
        <f t="shared" si="37"/>
        <v>58.24</v>
      </c>
      <c r="Z239" s="107">
        <f>ROUND(0.3*T239*Table1[[#This Row],[E&amp;D Rate per unit]]*Table1[[#This Row],[Quantity]],2)</f>
        <v>66.510000000000005</v>
      </c>
      <c r="AA239" s="107">
        <f t="shared" si="38"/>
        <v>279.93</v>
      </c>
      <c r="AB239" s="126">
        <v>279.93</v>
      </c>
      <c r="AC239" s="126">
        <f>Table1[[#This Row],[Total Amount]]-Table1[[#This Row],[Previous Amount]]</f>
        <v>0</v>
      </c>
      <c r="AD239" s="108"/>
    </row>
    <row r="240" spans="1:30" ht="30" customHeight="1" x14ac:dyDescent="0.3">
      <c r="A240" s="92" t="s">
        <v>89</v>
      </c>
      <c r="B240" s="92" t="s">
        <v>97</v>
      </c>
      <c r="C240" s="102" t="s">
        <v>455</v>
      </c>
      <c r="D240" s="102">
        <v>77501</v>
      </c>
      <c r="E240" s="102">
        <v>80556</v>
      </c>
      <c r="F240" s="103" t="s">
        <v>456</v>
      </c>
      <c r="G240" s="17" t="s">
        <v>190</v>
      </c>
      <c r="H240" s="102" t="s">
        <v>127</v>
      </c>
      <c r="I240" s="102">
        <v>1</v>
      </c>
      <c r="J240" s="102">
        <v>1.8</v>
      </c>
      <c r="K240" s="102">
        <v>1</v>
      </c>
      <c r="L240" s="102">
        <v>1</v>
      </c>
      <c r="M240" s="102">
        <v>1</v>
      </c>
      <c r="N240" s="104" t="s">
        <v>160</v>
      </c>
      <c r="O240" s="104">
        <f>ROUND(IF(N240="m3",I240*J240*K240*L240,IF(N240="m2-LxH",I240*J240*L240,IF(N240="m2-LxW",I240*J240*K240,IF(N240="rm",I240*L240,IF(N240="lm",I240*J240,IF(N240="unit",I240,"NA")))))),2)</f>
        <v>1.8</v>
      </c>
      <c r="P240" s="18">
        <v>44879</v>
      </c>
      <c r="Q240" s="118">
        <v>44901</v>
      </c>
      <c r="R240" s="105">
        <v>1</v>
      </c>
      <c r="S240" s="105">
        <v>1</v>
      </c>
      <c r="T240" s="105">
        <v>1</v>
      </c>
      <c r="U240" s="106">
        <f>IF(ISBLANK(Table1[[#This Row],[OHC Date]]),$B$7-Table1[[#This Row],[HOC Date]]+1,Table1[[#This Row],[OHC Date]]-Table1[[#This Row],[HOC Date]]+1)/7</f>
        <v>3.2857142857142856</v>
      </c>
      <c r="V240" s="107">
        <v>36.520000000000003</v>
      </c>
      <c r="W240" s="107">
        <v>2.94</v>
      </c>
      <c r="X240" s="107">
        <f>ROUND(0.7*Table1[[#This Row],[E&amp;D Rate per unit]]*R240*Table1[[#This Row],[Quantity]],2)</f>
        <v>46.02</v>
      </c>
      <c r="Y240" s="107">
        <f>ROUND(O240*U240*W240*S240,2)</f>
        <v>17.39</v>
      </c>
      <c r="Z240" s="107">
        <f>ROUND(0.3*T240*Table1[[#This Row],[E&amp;D Rate per unit]]*Table1[[#This Row],[Quantity]],2)</f>
        <v>19.72</v>
      </c>
      <c r="AA240" s="107">
        <f>ROUND(X240+Z240+Y240,2)</f>
        <v>83.13</v>
      </c>
      <c r="AB240" s="126">
        <v>83.13</v>
      </c>
      <c r="AC240" s="126">
        <f>Table1[[#This Row],[Total Amount]]-Table1[[#This Row],[Previous Amount]]</f>
        <v>0</v>
      </c>
      <c r="AD240" s="108"/>
    </row>
    <row r="241" spans="1:30" ht="30" customHeight="1" x14ac:dyDescent="0.3">
      <c r="A241" s="92" t="s">
        <v>89</v>
      </c>
      <c r="B241" s="92" t="s">
        <v>97</v>
      </c>
      <c r="C241" s="102">
        <v>77</v>
      </c>
      <c r="D241" s="102">
        <v>77503</v>
      </c>
      <c r="E241" s="102">
        <v>80564</v>
      </c>
      <c r="F241" s="103" t="s">
        <v>371</v>
      </c>
      <c r="G241" s="17" t="s">
        <v>223</v>
      </c>
      <c r="H241" s="102" t="s">
        <v>118</v>
      </c>
      <c r="I241" s="102">
        <v>1</v>
      </c>
      <c r="J241" s="102">
        <v>4</v>
      </c>
      <c r="K241" s="102">
        <v>2.5</v>
      </c>
      <c r="L241" s="102">
        <v>1.5</v>
      </c>
      <c r="M241" s="102">
        <v>1</v>
      </c>
      <c r="N241" s="104" t="s">
        <v>206</v>
      </c>
      <c r="O241" s="104">
        <f t="shared" si="36"/>
        <v>6</v>
      </c>
      <c r="P241" s="18">
        <v>44880</v>
      </c>
      <c r="Q241" s="118">
        <v>44905</v>
      </c>
      <c r="R241" s="105">
        <v>1</v>
      </c>
      <c r="S241" s="105">
        <v>1</v>
      </c>
      <c r="T241" s="105">
        <v>1</v>
      </c>
      <c r="U241" s="106">
        <f>IF(ISBLANK(Table1[[#This Row],[OHC Date]]),$B$7-Table1[[#This Row],[HOC Date]]+1,Table1[[#This Row],[OHC Date]]-Table1[[#This Row],[HOC Date]]+1)/7</f>
        <v>3.7142857142857144</v>
      </c>
      <c r="V241" s="107">
        <v>16.760000000000002</v>
      </c>
      <c r="W241" s="107">
        <v>0.77</v>
      </c>
      <c r="X241" s="107">
        <f>ROUND(0.7*Table1[[#This Row],[E&amp;D Rate per unit]]*R241*Table1[[#This Row],[Quantity]],2)</f>
        <v>70.39</v>
      </c>
      <c r="Y241" s="107">
        <f t="shared" si="37"/>
        <v>17.16</v>
      </c>
      <c r="Z241" s="107">
        <f>ROUND(0.3*T241*Table1[[#This Row],[E&amp;D Rate per unit]]*Table1[[#This Row],[Quantity]],2)</f>
        <v>30.17</v>
      </c>
      <c r="AA241" s="107">
        <f t="shared" si="38"/>
        <v>117.72</v>
      </c>
      <c r="AB241" s="126">
        <v>117.72</v>
      </c>
      <c r="AC241" s="126">
        <f>Table1[[#This Row],[Total Amount]]-Table1[[#This Row],[Previous Amount]]</f>
        <v>0</v>
      </c>
      <c r="AD241" s="108"/>
    </row>
    <row r="242" spans="1:30" ht="30" customHeight="1" x14ac:dyDescent="0.3">
      <c r="A242" s="92" t="s">
        <v>89</v>
      </c>
      <c r="B242" s="92" t="s">
        <v>97</v>
      </c>
      <c r="C242" s="102">
        <v>78</v>
      </c>
      <c r="D242" s="102">
        <v>77504</v>
      </c>
      <c r="E242" s="102">
        <v>80532</v>
      </c>
      <c r="F242" s="103" t="s">
        <v>372</v>
      </c>
      <c r="G242" s="17" t="s">
        <v>223</v>
      </c>
      <c r="H242" s="102" t="s">
        <v>220</v>
      </c>
      <c r="I242" s="102">
        <v>1</v>
      </c>
      <c r="J242" s="102">
        <v>1.8</v>
      </c>
      <c r="K242" s="102">
        <v>1.3</v>
      </c>
      <c r="L242" s="102">
        <v>2</v>
      </c>
      <c r="M242" s="102">
        <v>1</v>
      </c>
      <c r="N242" s="104" t="s">
        <v>221</v>
      </c>
      <c r="O242" s="104">
        <f t="shared" si="36"/>
        <v>2</v>
      </c>
      <c r="P242" s="18">
        <v>44880</v>
      </c>
      <c r="Q242" s="118">
        <v>44884</v>
      </c>
      <c r="R242" s="105">
        <v>1</v>
      </c>
      <c r="S242" s="105">
        <v>1</v>
      </c>
      <c r="T242" s="105">
        <v>1</v>
      </c>
      <c r="U242" s="106">
        <f>IF(ISBLANK(Table1[[#This Row],[OHC Date]]),$B$7-Table1[[#This Row],[HOC Date]]+1,Table1[[#This Row],[OHC Date]]-Table1[[#This Row],[HOC Date]]+1)/7</f>
        <v>0.7142857142857143</v>
      </c>
      <c r="V242" s="107">
        <v>63.34</v>
      </c>
      <c r="W242" s="107">
        <v>7.28</v>
      </c>
      <c r="X242" s="107">
        <f>ROUND(0.7*Table1[[#This Row],[E&amp;D Rate per unit]]*R242*Table1[[#This Row],[Quantity]],2)</f>
        <v>88.68</v>
      </c>
      <c r="Y242" s="107">
        <f t="shared" si="37"/>
        <v>10.4</v>
      </c>
      <c r="Z242" s="107">
        <f>ROUND(0.3*T242*Table1[[#This Row],[E&amp;D Rate per unit]]*Table1[[#This Row],[Quantity]],2)</f>
        <v>38</v>
      </c>
      <c r="AA242" s="107">
        <f t="shared" si="38"/>
        <v>137.08000000000001</v>
      </c>
      <c r="AB242" s="126">
        <v>137.08000000000001</v>
      </c>
      <c r="AC242" s="126">
        <f>Table1[[#This Row],[Total Amount]]-Table1[[#This Row],[Previous Amount]]</f>
        <v>0</v>
      </c>
      <c r="AD242" s="108"/>
    </row>
    <row r="243" spans="1:30" ht="30" customHeight="1" x14ac:dyDescent="0.3">
      <c r="A243" s="92" t="s">
        <v>89</v>
      </c>
      <c r="B243" s="92" t="s">
        <v>97</v>
      </c>
      <c r="C243" s="102">
        <v>79</v>
      </c>
      <c r="D243" s="102">
        <v>77590</v>
      </c>
      <c r="E243" s="102">
        <v>80551</v>
      </c>
      <c r="F243" s="103" t="s">
        <v>370</v>
      </c>
      <c r="G243" s="17" t="s">
        <v>226</v>
      </c>
      <c r="H243" s="102" t="s">
        <v>220</v>
      </c>
      <c r="I243" s="102">
        <v>1</v>
      </c>
      <c r="J243" s="102">
        <v>2.5</v>
      </c>
      <c r="K243" s="102">
        <v>2.5</v>
      </c>
      <c r="L243" s="102">
        <v>2.5</v>
      </c>
      <c r="M243" s="102">
        <v>1</v>
      </c>
      <c r="N243" s="104" t="s">
        <v>221</v>
      </c>
      <c r="O243" s="104">
        <f t="shared" si="36"/>
        <v>2.5</v>
      </c>
      <c r="P243" s="18">
        <v>44880</v>
      </c>
      <c r="Q243" s="118">
        <v>44900</v>
      </c>
      <c r="R243" s="105">
        <v>1</v>
      </c>
      <c r="S243" s="105">
        <v>1</v>
      </c>
      <c r="T243" s="105">
        <v>1</v>
      </c>
      <c r="U243" s="106">
        <f>IF(ISBLANK(Table1[[#This Row],[OHC Date]]),$B$7-Table1[[#This Row],[HOC Date]]+1,Table1[[#This Row],[OHC Date]]-Table1[[#This Row],[HOC Date]]+1)/7</f>
        <v>3</v>
      </c>
      <c r="V243" s="107">
        <v>63.34</v>
      </c>
      <c r="W243" s="107">
        <v>7.28</v>
      </c>
      <c r="X243" s="107">
        <f>ROUND(0.7*Table1[[#This Row],[E&amp;D Rate per unit]]*R243*Table1[[#This Row],[Quantity]],2)</f>
        <v>110.85</v>
      </c>
      <c r="Y243" s="107">
        <f t="shared" si="37"/>
        <v>54.6</v>
      </c>
      <c r="Z243" s="107">
        <f>ROUND(0.3*T243*Table1[[#This Row],[E&amp;D Rate per unit]]*Table1[[#This Row],[Quantity]],2)</f>
        <v>47.51</v>
      </c>
      <c r="AA243" s="107">
        <f t="shared" si="38"/>
        <v>212.96</v>
      </c>
      <c r="AB243" s="126">
        <v>212.96</v>
      </c>
      <c r="AC243" s="126">
        <f>Table1[[#This Row],[Total Amount]]-Table1[[#This Row],[Previous Amount]]</f>
        <v>0</v>
      </c>
      <c r="AD243" s="108"/>
    </row>
    <row r="244" spans="1:30" ht="30" customHeight="1" x14ac:dyDescent="0.3">
      <c r="A244" s="92" t="s">
        <v>89</v>
      </c>
      <c r="B244" s="92" t="s">
        <v>97</v>
      </c>
      <c r="C244" s="102" t="s">
        <v>373</v>
      </c>
      <c r="D244" s="102">
        <v>77591</v>
      </c>
      <c r="E244" s="102">
        <v>80552</v>
      </c>
      <c r="F244" s="103" t="s">
        <v>370</v>
      </c>
      <c r="G244" s="17" t="s">
        <v>226</v>
      </c>
      <c r="H244" s="102" t="s">
        <v>220</v>
      </c>
      <c r="I244" s="102">
        <v>1</v>
      </c>
      <c r="J244" s="102">
        <v>2</v>
      </c>
      <c r="K244" s="102">
        <v>1</v>
      </c>
      <c r="L244" s="102">
        <v>3</v>
      </c>
      <c r="M244" s="102">
        <v>1</v>
      </c>
      <c r="N244" s="104" t="s">
        <v>221</v>
      </c>
      <c r="O244" s="104">
        <f t="shared" si="36"/>
        <v>3</v>
      </c>
      <c r="P244" s="18">
        <v>44880</v>
      </c>
      <c r="Q244" s="118">
        <v>44900</v>
      </c>
      <c r="R244" s="105">
        <v>1</v>
      </c>
      <c r="S244" s="105">
        <v>1</v>
      </c>
      <c r="T244" s="105">
        <v>1</v>
      </c>
      <c r="U244" s="106">
        <f>IF(ISBLANK(Table1[[#This Row],[OHC Date]]),$B$7-Table1[[#This Row],[HOC Date]]+1,Table1[[#This Row],[OHC Date]]-Table1[[#This Row],[HOC Date]]+1)/7</f>
        <v>3</v>
      </c>
      <c r="V244" s="107">
        <v>63.34</v>
      </c>
      <c r="W244" s="107">
        <v>7.28</v>
      </c>
      <c r="X244" s="107">
        <f>ROUND(0.7*Table1[[#This Row],[E&amp;D Rate per unit]]*R244*Table1[[#This Row],[Quantity]],2)</f>
        <v>133.01</v>
      </c>
      <c r="Y244" s="107">
        <f t="shared" si="37"/>
        <v>65.52</v>
      </c>
      <c r="Z244" s="107">
        <f>ROUND(0.3*T244*Table1[[#This Row],[E&amp;D Rate per unit]]*Table1[[#This Row],[Quantity]],2)</f>
        <v>57.01</v>
      </c>
      <c r="AA244" s="107">
        <f t="shared" si="38"/>
        <v>255.54</v>
      </c>
      <c r="AB244" s="126">
        <v>255.54</v>
      </c>
      <c r="AC244" s="126">
        <f>Table1[[#This Row],[Total Amount]]-Table1[[#This Row],[Previous Amount]]</f>
        <v>0</v>
      </c>
      <c r="AD244" s="108"/>
    </row>
    <row r="245" spans="1:30" ht="30" customHeight="1" x14ac:dyDescent="0.3">
      <c r="A245" s="92" t="s">
        <v>89</v>
      </c>
      <c r="B245" s="92" t="s">
        <v>97</v>
      </c>
      <c r="C245" s="102">
        <v>80</v>
      </c>
      <c r="D245" s="102">
        <v>77592</v>
      </c>
      <c r="E245" s="102">
        <v>80550</v>
      </c>
      <c r="F245" s="103" t="s">
        <v>370</v>
      </c>
      <c r="G245" s="17" t="s">
        <v>226</v>
      </c>
      <c r="H245" s="102" t="s">
        <v>220</v>
      </c>
      <c r="I245" s="102">
        <v>1</v>
      </c>
      <c r="J245" s="102">
        <v>2.5</v>
      </c>
      <c r="K245" s="102">
        <v>1.8</v>
      </c>
      <c r="L245" s="102">
        <v>3.7</v>
      </c>
      <c r="M245" s="102">
        <v>1</v>
      </c>
      <c r="N245" s="104" t="s">
        <v>221</v>
      </c>
      <c r="O245" s="104">
        <f t="shared" si="36"/>
        <v>3.7</v>
      </c>
      <c r="P245" s="18">
        <v>44880</v>
      </c>
      <c r="Q245" s="118">
        <v>44900</v>
      </c>
      <c r="R245" s="105">
        <v>1</v>
      </c>
      <c r="S245" s="105">
        <v>1</v>
      </c>
      <c r="T245" s="105">
        <v>1</v>
      </c>
      <c r="U245" s="106">
        <f>IF(ISBLANK(Table1[[#This Row],[OHC Date]]),$B$7-Table1[[#This Row],[HOC Date]]+1,Table1[[#This Row],[OHC Date]]-Table1[[#This Row],[HOC Date]]+1)/7</f>
        <v>3</v>
      </c>
      <c r="V245" s="107">
        <v>63.34</v>
      </c>
      <c r="W245" s="107">
        <v>7.28</v>
      </c>
      <c r="X245" s="107">
        <f>ROUND(0.7*Table1[[#This Row],[E&amp;D Rate per unit]]*R245*Table1[[#This Row],[Quantity]],2)</f>
        <v>164.05</v>
      </c>
      <c r="Y245" s="107">
        <f t="shared" si="37"/>
        <v>80.81</v>
      </c>
      <c r="Z245" s="107">
        <f>ROUND(0.3*T245*Table1[[#This Row],[E&amp;D Rate per unit]]*Table1[[#This Row],[Quantity]],2)</f>
        <v>70.31</v>
      </c>
      <c r="AA245" s="107">
        <f t="shared" si="38"/>
        <v>315.17</v>
      </c>
      <c r="AB245" s="126">
        <v>315.17</v>
      </c>
      <c r="AC245" s="126">
        <f>Table1[[#This Row],[Total Amount]]-Table1[[#This Row],[Previous Amount]]</f>
        <v>0</v>
      </c>
      <c r="AD245" s="108"/>
    </row>
    <row r="246" spans="1:30" ht="30" customHeight="1" x14ac:dyDescent="0.3">
      <c r="A246" s="92" t="s">
        <v>89</v>
      </c>
      <c r="B246" s="92" t="s">
        <v>97</v>
      </c>
      <c r="C246" s="102">
        <v>81</v>
      </c>
      <c r="D246" s="102">
        <v>77593</v>
      </c>
      <c r="E246" s="102">
        <v>80543</v>
      </c>
      <c r="F246" s="103" t="s">
        <v>370</v>
      </c>
      <c r="G246" s="17" t="s">
        <v>226</v>
      </c>
      <c r="H246" s="102" t="s">
        <v>220</v>
      </c>
      <c r="I246" s="102">
        <v>1</v>
      </c>
      <c r="J246" s="102">
        <v>2.5</v>
      </c>
      <c r="K246" s="102">
        <v>1.3</v>
      </c>
      <c r="L246" s="102">
        <v>3.7</v>
      </c>
      <c r="M246" s="102">
        <v>1</v>
      </c>
      <c r="N246" s="104" t="s">
        <v>221</v>
      </c>
      <c r="O246" s="104">
        <f t="shared" si="36"/>
        <v>3.7</v>
      </c>
      <c r="P246" s="18">
        <v>44880</v>
      </c>
      <c r="Q246" s="118">
        <v>44894</v>
      </c>
      <c r="R246" s="105">
        <v>1</v>
      </c>
      <c r="S246" s="105">
        <v>1</v>
      </c>
      <c r="T246" s="105">
        <v>1</v>
      </c>
      <c r="U246" s="106">
        <f>IF(ISBLANK(Table1[[#This Row],[OHC Date]]),$B$7-Table1[[#This Row],[HOC Date]]+1,Table1[[#This Row],[OHC Date]]-Table1[[#This Row],[HOC Date]]+1)/7</f>
        <v>2.1428571428571428</v>
      </c>
      <c r="V246" s="107">
        <v>63.34</v>
      </c>
      <c r="W246" s="107">
        <v>7.28</v>
      </c>
      <c r="X246" s="107">
        <f>ROUND(0.7*Table1[[#This Row],[E&amp;D Rate per unit]]*R246*Table1[[#This Row],[Quantity]],2)</f>
        <v>164.05</v>
      </c>
      <c r="Y246" s="107">
        <f t="shared" si="37"/>
        <v>57.72</v>
      </c>
      <c r="Z246" s="107">
        <f>ROUND(0.3*T246*Table1[[#This Row],[E&amp;D Rate per unit]]*Table1[[#This Row],[Quantity]],2)</f>
        <v>70.31</v>
      </c>
      <c r="AA246" s="107">
        <f t="shared" si="38"/>
        <v>292.08</v>
      </c>
      <c r="AB246" s="126">
        <v>292.08</v>
      </c>
      <c r="AC246" s="126">
        <f>Table1[[#This Row],[Total Amount]]-Table1[[#This Row],[Previous Amount]]</f>
        <v>0</v>
      </c>
      <c r="AD246" s="108"/>
    </row>
    <row r="247" spans="1:30" ht="30" customHeight="1" x14ac:dyDescent="0.3">
      <c r="A247" s="92" t="s">
        <v>89</v>
      </c>
      <c r="B247" s="92" t="s">
        <v>97</v>
      </c>
      <c r="C247" s="102">
        <v>81</v>
      </c>
      <c r="D247" s="102">
        <v>77593</v>
      </c>
      <c r="E247" s="102">
        <v>80543</v>
      </c>
      <c r="F247" s="103" t="s">
        <v>370</v>
      </c>
      <c r="G247" s="17" t="s">
        <v>226</v>
      </c>
      <c r="H247" s="102" t="s">
        <v>176</v>
      </c>
      <c r="I247" s="102">
        <v>1</v>
      </c>
      <c r="J247" s="102">
        <v>2.5</v>
      </c>
      <c r="K247" s="102">
        <v>1.3</v>
      </c>
      <c r="L247" s="102">
        <v>1</v>
      </c>
      <c r="M247" s="102">
        <v>1</v>
      </c>
      <c r="N247" s="104" t="s">
        <v>160</v>
      </c>
      <c r="O247" s="104">
        <f t="shared" si="36"/>
        <v>3.25</v>
      </c>
      <c r="P247" s="18">
        <v>44880</v>
      </c>
      <c r="Q247" s="118">
        <v>44894</v>
      </c>
      <c r="R247" s="105">
        <v>1</v>
      </c>
      <c r="S247" s="105">
        <v>1</v>
      </c>
      <c r="T247" s="105">
        <v>1</v>
      </c>
      <c r="U247" s="106">
        <f>IF(ISBLANK(Table1[[#This Row],[OHC Date]]),$B$7-Table1[[#This Row],[HOC Date]]+1,Table1[[#This Row],[OHC Date]]-Table1[[#This Row],[HOC Date]]+1)/7</f>
        <v>2.1428571428571428</v>
      </c>
      <c r="V247" s="107">
        <v>6.63</v>
      </c>
      <c r="W247" s="107">
        <v>0.7</v>
      </c>
      <c r="X247" s="107">
        <f>ROUND(0.7*Table1[[#This Row],[E&amp;D Rate per unit]]*R247*Table1[[#This Row],[Quantity]],2)</f>
        <v>15.08</v>
      </c>
      <c r="Y247" s="107">
        <f t="shared" si="37"/>
        <v>4.88</v>
      </c>
      <c r="Z247" s="107">
        <f>ROUND(0.3*T247*Table1[[#This Row],[E&amp;D Rate per unit]]*Table1[[#This Row],[Quantity]],2)</f>
        <v>6.46</v>
      </c>
      <c r="AA247" s="107">
        <f t="shared" si="38"/>
        <v>26.42</v>
      </c>
      <c r="AB247" s="126">
        <v>26.42</v>
      </c>
      <c r="AC247" s="126">
        <f>Table1[[#This Row],[Total Amount]]-Table1[[#This Row],[Previous Amount]]</f>
        <v>0</v>
      </c>
      <c r="AD247" s="108"/>
    </row>
    <row r="248" spans="1:30" ht="30" customHeight="1" x14ac:dyDescent="0.3">
      <c r="A248" s="92" t="s">
        <v>89</v>
      </c>
      <c r="B248" s="92" t="s">
        <v>97</v>
      </c>
      <c r="C248" s="102">
        <v>82</v>
      </c>
      <c r="D248" s="102">
        <v>77594</v>
      </c>
      <c r="E248" s="102">
        <v>80544</v>
      </c>
      <c r="F248" s="103" t="s">
        <v>370</v>
      </c>
      <c r="G248" s="17" t="s">
        <v>226</v>
      </c>
      <c r="H248" s="102" t="s">
        <v>220</v>
      </c>
      <c r="I248" s="102">
        <v>1</v>
      </c>
      <c r="J248" s="102">
        <v>2.5</v>
      </c>
      <c r="K248" s="102">
        <v>1.3</v>
      </c>
      <c r="L248" s="102">
        <v>3</v>
      </c>
      <c r="M248" s="102">
        <v>1</v>
      </c>
      <c r="N248" s="104" t="s">
        <v>221</v>
      </c>
      <c r="O248" s="104">
        <f t="shared" si="36"/>
        <v>3</v>
      </c>
      <c r="P248" s="18">
        <v>44880</v>
      </c>
      <c r="Q248" s="118">
        <v>44894</v>
      </c>
      <c r="R248" s="105">
        <v>1</v>
      </c>
      <c r="S248" s="105">
        <v>1</v>
      </c>
      <c r="T248" s="105">
        <v>1</v>
      </c>
      <c r="U248" s="106">
        <f>IF(ISBLANK(Table1[[#This Row],[OHC Date]]),$B$7-Table1[[#This Row],[HOC Date]]+1,Table1[[#This Row],[OHC Date]]-Table1[[#This Row],[HOC Date]]+1)/7</f>
        <v>2.1428571428571428</v>
      </c>
      <c r="V248" s="107">
        <v>63.34</v>
      </c>
      <c r="W248" s="107">
        <v>7.28</v>
      </c>
      <c r="X248" s="107">
        <f>ROUND(0.7*Table1[[#This Row],[E&amp;D Rate per unit]]*R248*Table1[[#This Row],[Quantity]],2)</f>
        <v>133.01</v>
      </c>
      <c r="Y248" s="107">
        <f t="shared" si="37"/>
        <v>46.8</v>
      </c>
      <c r="Z248" s="107">
        <f>ROUND(0.3*T248*Table1[[#This Row],[E&amp;D Rate per unit]]*Table1[[#This Row],[Quantity]],2)</f>
        <v>57.01</v>
      </c>
      <c r="AA248" s="107">
        <f t="shared" si="38"/>
        <v>236.82</v>
      </c>
      <c r="AB248" s="126">
        <v>236.82</v>
      </c>
      <c r="AC248" s="126">
        <f>Table1[[#This Row],[Total Amount]]-Table1[[#This Row],[Previous Amount]]</f>
        <v>0</v>
      </c>
      <c r="AD248" s="108"/>
    </row>
    <row r="249" spans="1:30" ht="30" customHeight="1" x14ac:dyDescent="0.3">
      <c r="A249" s="92" t="s">
        <v>89</v>
      </c>
      <c r="B249" s="92" t="s">
        <v>97</v>
      </c>
      <c r="C249" s="102">
        <v>83</v>
      </c>
      <c r="D249" s="102">
        <v>77595</v>
      </c>
      <c r="E249" s="102">
        <v>80547</v>
      </c>
      <c r="F249" s="103" t="s">
        <v>370</v>
      </c>
      <c r="G249" s="17" t="s">
        <v>226</v>
      </c>
      <c r="H249" s="102" t="s">
        <v>220</v>
      </c>
      <c r="I249" s="102">
        <v>1</v>
      </c>
      <c r="J249" s="102">
        <v>2.5</v>
      </c>
      <c r="K249" s="102">
        <v>1.3</v>
      </c>
      <c r="L249" s="102">
        <v>3.5</v>
      </c>
      <c r="M249" s="102">
        <v>1</v>
      </c>
      <c r="N249" s="104" t="s">
        <v>221</v>
      </c>
      <c r="O249" s="104">
        <f t="shared" si="36"/>
        <v>3.5</v>
      </c>
      <c r="P249" s="18">
        <v>44880</v>
      </c>
      <c r="Q249" s="118">
        <v>44894</v>
      </c>
      <c r="R249" s="105">
        <v>1</v>
      </c>
      <c r="S249" s="105">
        <v>1</v>
      </c>
      <c r="T249" s="105">
        <v>1</v>
      </c>
      <c r="U249" s="106">
        <f>IF(ISBLANK(Table1[[#This Row],[OHC Date]]),$B$7-Table1[[#This Row],[HOC Date]]+1,Table1[[#This Row],[OHC Date]]-Table1[[#This Row],[HOC Date]]+1)/7</f>
        <v>2.1428571428571428</v>
      </c>
      <c r="V249" s="107">
        <v>63.34</v>
      </c>
      <c r="W249" s="107">
        <v>7.28</v>
      </c>
      <c r="X249" s="107">
        <f>ROUND(0.7*Table1[[#This Row],[E&amp;D Rate per unit]]*R249*Table1[[#This Row],[Quantity]],2)</f>
        <v>155.18</v>
      </c>
      <c r="Y249" s="107">
        <f t="shared" si="37"/>
        <v>54.6</v>
      </c>
      <c r="Z249" s="107">
        <f>ROUND(0.3*T249*Table1[[#This Row],[E&amp;D Rate per unit]]*Table1[[#This Row],[Quantity]],2)</f>
        <v>66.510000000000005</v>
      </c>
      <c r="AA249" s="107">
        <f t="shared" si="38"/>
        <v>276.29000000000002</v>
      </c>
      <c r="AB249" s="126">
        <v>276.29000000000002</v>
      </c>
      <c r="AC249" s="126">
        <f>Table1[[#This Row],[Total Amount]]-Table1[[#This Row],[Previous Amount]]</f>
        <v>0</v>
      </c>
      <c r="AD249" s="108"/>
    </row>
    <row r="250" spans="1:30" ht="30" customHeight="1" x14ac:dyDescent="0.3">
      <c r="A250" s="92" t="s">
        <v>89</v>
      </c>
      <c r="B250" s="92" t="s">
        <v>97</v>
      </c>
      <c r="C250" s="102" t="s">
        <v>374</v>
      </c>
      <c r="D250" s="102">
        <v>77502</v>
      </c>
      <c r="E250" s="102">
        <v>80537</v>
      </c>
      <c r="F250" s="103" t="s">
        <v>375</v>
      </c>
      <c r="G250" s="17" t="s">
        <v>190</v>
      </c>
      <c r="H250" s="102" t="s">
        <v>126</v>
      </c>
      <c r="I250" s="102">
        <v>1</v>
      </c>
      <c r="J250" s="102">
        <v>4.5</v>
      </c>
      <c r="K250" s="102">
        <v>0.5</v>
      </c>
      <c r="L250" s="102">
        <v>1</v>
      </c>
      <c r="M250" s="102">
        <v>1</v>
      </c>
      <c r="N250" s="104" t="s">
        <v>160</v>
      </c>
      <c r="O250" s="104">
        <f t="shared" si="36"/>
        <v>2.25</v>
      </c>
      <c r="P250" s="18">
        <v>44879</v>
      </c>
      <c r="Q250" s="118">
        <v>44893</v>
      </c>
      <c r="R250" s="105">
        <v>1</v>
      </c>
      <c r="S250" s="105">
        <v>1</v>
      </c>
      <c r="T250" s="105">
        <v>1</v>
      </c>
      <c r="U250" s="106">
        <f>IF(ISBLANK(Table1[[#This Row],[OHC Date]]),$B$7-Table1[[#This Row],[HOC Date]]+1,Table1[[#This Row],[OHC Date]]-Table1[[#This Row],[HOC Date]]+1)/7</f>
        <v>2.1428571428571428</v>
      </c>
      <c r="V250" s="107">
        <v>32.75</v>
      </c>
      <c r="W250" s="107">
        <v>1.05</v>
      </c>
      <c r="X250" s="107">
        <f>ROUND(0.7*Table1[[#This Row],[E&amp;D Rate per unit]]*R250*Table1[[#This Row],[Quantity]],2)</f>
        <v>51.58</v>
      </c>
      <c r="Y250" s="107">
        <f t="shared" si="37"/>
        <v>5.0599999999999996</v>
      </c>
      <c r="Z250" s="107">
        <f>ROUND(0.3*T250*Table1[[#This Row],[E&amp;D Rate per unit]]*Table1[[#This Row],[Quantity]],2)</f>
        <v>22.11</v>
      </c>
      <c r="AA250" s="107">
        <f t="shared" si="38"/>
        <v>78.75</v>
      </c>
      <c r="AB250" s="126">
        <v>78.75</v>
      </c>
      <c r="AC250" s="126">
        <f>Table1[[#This Row],[Total Amount]]-Table1[[#This Row],[Previous Amount]]</f>
        <v>0</v>
      </c>
      <c r="AD250" s="108"/>
    </row>
    <row r="251" spans="1:30" ht="30" customHeight="1" x14ac:dyDescent="0.3">
      <c r="A251" s="92" t="s">
        <v>89</v>
      </c>
      <c r="B251" s="92" t="s">
        <v>97</v>
      </c>
      <c r="C251" s="102">
        <v>84</v>
      </c>
      <c r="D251" s="102">
        <v>77505</v>
      </c>
      <c r="E251" s="195">
        <v>80892</v>
      </c>
      <c r="F251" s="103" t="s">
        <v>376</v>
      </c>
      <c r="G251" s="17" t="s">
        <v>200</v>
      </c>
      <c r="H251" s="102" t="s">
        <v>113</v>
      </c>
      <c r="I251" s="102">
        <v>1</v>
      </c>
      <c r="J251" s="102">
        <v>2.5</v>
      </c>
      <c r="K251" s="102">
        <v>1.8</v>
      </c>
      <c r="L251" s="102">
        <v>3.7</v>
      </c>
      <c r="M251" s="102">
        <v>1</v>
      </c>
      <c r="N251" s="104" t="s">
        <v>221</v>
      </c>
      <c r="O251" s="104">
        <f t="shared" si="36"/>
        <v>3.7</v>
      </c>
      <c r="P251" s="188">
        <v>44881</v>
      </c>
      <c r="Q251" s="186">
        <v>44943</v>
      </c>
      <c r="R251" s="105">
        <v>1</v>
      </c>
      <c r="S251" s="105">
        <v>1</v>
      </c>
      <c r="T251" s="105">
        <v>1</v>
      </c>
      <c r="U251" s="106">
        <f>IF(ISBLANK(Table1[[#This Row],[OHC Date]]),$B$7-Table1[[#This Row],[HOC Date]]+1,Table1[[#This Row],[OHC Date]]-Table1[[#This Row],[HOC Date]]+1)/7</f>
        <v>9</v>
      </c>
      <c r="V251" s="107">
        <v>103.33</v>
      </c>
      <c r="W251" s="107">
        <v>10.29</v>
      </c>
      <c r="X251" s="107">
        <f>ROUND(0.7*Table1[[#This Row],[E&amp;D Rate per unit]]*R251*Table1[[#This Row],[Quantity]],2)</f>
        <v>267.62</v>
      </c>
      <c r="Y251" s="107">
        <f t="shared" si="37"/>
        <v>342.66</v>
      </c>
      <c r="Z251" s="107">
        <f>ROUND(0.3*T251*Table1[[#This Row],[E&amp;D Rate per unit]]*Table1[[#This Row],[Quantity]],2)</f>
        <v>114.7</v>
      </c>
      <c r="AA251" s="107">
        <f t="shared" si="38"/>
        <v>724.98</v>
      </c>
      <c r="AB251" s="126">
        <v>485.18</v>
      </c>
      <c r="AC251" s="126">
        <f>Table1[[#This Row],[Total Amount]]-Table1[[#This Row],[Previous Amount]]</f>
        <v>239.8</v>
      </c>
      <c r="AD251" s="108"/>
    </row>
    <row r="252" spans="1:30" ht="30" customHeight="1" x14ac:dyDescent="0.3">
      <c r="A252" s="92" t="s">
        <v>89</v>
      </c>
      <c r="B252" s="92" t="s">
        <v>97</v>
      </c>
      <c r="C252" s="102">
        <v>85</v>
      </c>
      <c r="D252" s="102">
        <v>77506</v>
      </c>
      <c r="E252" s="102">
        <v>80560</v>
      </c>
      <c r="F252" s="103" t="s">
        <v>377</v>
      </c>
      <c r="G252" s="17" t="s">
        <v>226</v>
      </c>
      <c r="H252" s="102" t="s">
        <v>205</v>
      </c>
      <c r="I252" s="102">
        <v>1</v>
      </c>
      <c r="J252" s="102">
        <v>6.3</v>
      </c>
      <c r="K252" s="102">
        <v>1.3</v>
      </c>
      <c r="L252" s="102">
        <v>2</v>
      </c>
      <c r="M252" s="102">
        <v>1</v>
      </c>
      <c r="N252" s="104" t="s">
        <v>206</v>
      </c>
      <c r="O252" s="104">
        <f t="shared" si="36"/>
        <v>12.6</v>
      </c>
      <c r="P252" s="18">
        <v>44881</v>
      </c>
      <c r="Q252" s="118">
        <v>44905</v>
      </c>
      <c r="R252" s="105">
        <v>1</v>
      </c>
      <c r="S252" s="105">
        <v>1</v>
      </c>
      <c r="T252" s="105">
        <v>1</v>
      </c>
      <c r="U252" s="106">
        <f>IF(ISBLANK(Table1[[#This Row],[OHC Date]]),$B$7-Table1[[#This Row],[HOC Date]]+1,Table1[[#This Row],[OHC Date]]-Table1[[#This Row],[HOC Date]]+1)/7</f>
        <v>3.5714285714285716</v>
      </c>
      <c r="V252" s="107">
        <v>12.01</v>
      </c>
      <c r="W252" s="107">
        <v>0.49</v>
      </c>
      <c r="X252" s="107">
        <f>ROUND(0.7*Table1[[#This Row],[E&amp;D Rate per unit]]*R252*Table1[[#This Row],[Quantity]],2)</f>
        <v>105.93</v>
      </c>
      <c r="Y252" s="107">
        <f t="shared" si="37"/>
        <v>22.05</v>
      </c>
      <c r="Z252" s="107">
        <f>ROUND(0.3*T252*Table1[[#This Row],[E&amp;D Rate per unit]]*Table1[[#This Row],[Quantity]],2)</f>
        <v>45.4</v>
      </c>
      <c r="AA252" s="107">
        <f t="shared" si="38"/>
        <v>173.38</v>
      </c>
      <c r="AB252" s="126">
        <v>173.38</v>
      </c>
      <c r="AC252" s="126">
        <f>Table1[[#This Row],[Total Amount]]-Table1[[#This Row],[Previous Amount]]</f>
        <v>0</v>
      </c>
      <c r="AD252" s="108"/>
    </row>
    <row r="253" spans="1:30" ht="30" customHeight="1" x14ac:dyDescent="0.3">
      <c r="A253" s="92" t="s">
        <v>89</v>
      </c>
      <c r="B253" s="92" t="s">
        <v>97</v>
      </c>
      <c r="C253" s="102">
        <v>86</v>
      </c>
      <c r="D253" s="102">
        <v>77507</v>
      </c>
      <c r="E253" s="102">
        <v>80531</v>
      </c>
      <c r="F253" s="103" t="s">
        <v>372</v>
      </c>
      <c r="G253" s="17" t="s">
        <v>223</v>
      </c>
      <c r="H253" s="102" t="s">
        <v>220</v>
      </c>
      <c r="I253" s="102">
        <v>1</v>
      </c>
      <c r="J253" s="102">
        <v>1.3</v>
      </c>
      <c r="K253" s="102">
        <v>0.9</v>
      </c>
      <c r="L253" s="102">
        <v>2</v>
      </c>
      <c r="M253" s="102">
        <v>1</v>
      </c>
      <c r="N253" s="104" t="s">
        <v>221</v>
      </c>
      <c r="O253" s="104">
        <f t="shared" si="36"/>
        <v>2</v>
      </c>
      <c r="P253" s="18">
        <v>44881</v>
      </c>
      <c r="Q253" s="118">
        <v>44884</v>
      </c>
      <c r="R253" s="105">
        <v>1</v>
      </c>
      <c r="S253" s="105">
        <v>1</v>
      </c>
      <c r="T253" s="105">
        <v>1</v>
      </c>
      <c r="U253" s="106">
        <f>IF(ISBLANK(Table1[[#This Row],[OHC Date]]),$B$7-Table1[[#This Row],[HOC Date]]+1,Table1[[#This Row],[OHC Date]]-Table1[[#This Row],[HOC Date]]+1)/7</f>
        <v>0.5714285714285714</v>
      </c>
      <c r="V253" s="107">
        <v>63.34</v>
      </c>
      <c r="W253" s="107">
        <v>7.28</v>
      </c>
      <c r="X253" s="107">
        <f>ROUND(0.7*Table1[[#This Row],[E&amp;D Rate per unit]]*R253*Table1[[#This Row],[Quantity]],2)</f>
        <v>88.68</v>
      </c>
      <c r="Y253" s="107">
        <f t="shared" si="37"/>
        <v>8.32</v>
      </c>
      <c r="Z253" s="107">
        <f>ROUND(0.3*T253*Table1[[#This Row],[E&amp;D Rate per unit]]*Table1[[#This Row],[Quantity]],2)</f>
        <v>38</v>
      </c>
      <c r="AA253" s="107">
        <f t="shared" si="38"/>
        <v>135</v>
      </c>
      <c r="AB253" s="126">
        <v>135</v>
      </c>
      <c r="AC253" s="126">
        <f>Table1[[#This Row],[Total Amount]]-Table1[[#This Row],[Previous Amount]]</f>
        <v>0</v>
      </c>
      <c r="AD253" s="108"/>
    </row>
    <row r="254" spans="1:30" ht="30" customHeight="1" x14ac:dyDescent="0.3">
      <c r="A254" s="92" t="s">
        <v>89</v>
      </c>
      <c r="B254" s="92" t="s">
        <v>97</v>
      </c>
      <c r="C254" s="102">
        <v>87</v>
      </c>
      <c r="D254" s="102">
        <v>77508</v>
      </c>
      <c r="E254" s="102">
        <v>80572</v>
      </c>
      <c r="F254" s="103" t="s">
        <v>378</v>
      </c>
      <c r="G254" s="17" t="s">
        <v>200</v>
      </c>
      <c r="H254" s="102" t="s">
        <v>220</v>
      </c>
      <c r="I254" s="102">
        <v>1</v>
      </c>
      <c r="J254" s="102">
        <v>2.5</v>
      </c>
      <c r="K254" s="102">
        <v>1.3</v>
      </c>
      <c r="L254" s="102">
        <v>4</v>
      </c>
      <c r="M254" s="102">
        <v>1</v>
      </c>
      <c r="N254" s="104" t="s">
        <v>221</v>
      </c>
      <c r="O254" s="104">
        <f t="shared" si="36"/>
        <v>4</v>
      </c>
      <c r="P254" s="18">
        <v>44882</v>
      </c>
      <c r="Q254" s="118">
        <v>44908</v>
      </c>
      <c r="R254" s="105">
        <v>1</v>
      </c>
      <c r="S254" s="105">
        <v>1</v>
      </c>
      <c r="T254" s="105">
        <v>1</v>
      </c>
      <c r="U254" s="106">
        <f>IF(ISBLANK(Table1[[#This Row],[OHC Date]]),$B$7-Table1[[#This Row],[HOC Date]]+1,Table1[[#This Row],[OHC Date]]-Table1[[#This Row],[HOC Date]]+1)/7</f>
        <v>3.8571428571428572</v>
      </c>
      <c r="V254" s="107">
        <v>63.34</v>
      </c>
      <c r="W254" s="107">
        <v>7.28</v>
      </c>
      <c r="X254" s="107">
        <f>ROUND(0.7*Table1[[#This Row],[E&amp;D Rate per unit]]*R254*Table1[[#This Row],[Quantity]],2)</f>
        <v>177.35</v>
      </c>
      <c r="Y254" s="107">
        <f t="shared" si="37"/>
        <v>112.32</v>
      </c>
      <c r="Z254" s="107">
        <f>ROUND(0.3*T254*Table1[[#This Row],[E&amp;D Rate per unit]]*Table1[[#This Row],[Quantity]],2)</f>
        <v>76.010000000000005</v>
      </c>
      <c r="AA254" s="107">
        <f t="shared" si="38"/>
        <v>365.68</v>
      </c>
      <c r="AB254" s="126">
        <v>365.68</v>
      </c>
      <c r="AC254" s="126">
        <f>Table1[[#This Row],[Total Amount]]-Table1[[#This Row],[Previous Amount]]</f>
        <v>0</v>
      </c>
      <c r="AD254" s="108"/>
    </row>
    <row r="255" spans="1:30" ht="30" customHeight="1" x14ac:dyDescent="0.3">
      <c r="A255" s="92" t="s">
        <v>89</v>
      </c>
      <c r="B255" s="92" t="s">
        <v>97</v>
      </c>
      <c r="C255" s="102">
        <v>87</v>
      </c>
      <c r="D255" s="102">
        <v>77508</v>
      </c>
      <c r="E255" s="102">
        <v>80572</v>
      </c>
      <c r="F255" s="103" t="s">
        <v>378</v>
      </c>
      <c r="G255" s="17" t="s">
        <v>200</v>
      </c>
      <c r="H255" s="102" t="s">
        <v>176</v>
      </c>
      <c r="I255" s="102">
        <v>1</v>
      </c>
      <c r="J255" s="102">
        <v>2.5</v>
      </c>
      <c r="K255" s="102">
        <v>1.3</v>
      </c>
      <c r="L255" s="102">
        <v>1</v>
      </c>
      <c r="M255" s="102">
        <v>1</v>
      </c>
      <c r="N255" s="104" t="s">
        <v>160</v>
      </c>
      <c r="O255" s="104">
        <f t="shared" si="36"/>
        <v>3.25</v>
      </c>
      <c r="P255" s="18">
        <v>44882</v>
      </c>
      <c r="Q255" s="118">
        <v>44908</v>
      </c>
      <c r="R255" s="105">
        <v>1</v>
      </c>
      <c r="S255" s="105">
        <v>1</v>
      </c>
      <c r="T255" s="105">
        <v>1</v>
      </c>
      <c r="U255" s="106">
        <f>IF(ISBLANK(Table1[[#This Row],[OHC Date]]),$B$7-Table1[[#This Row],[HOC Date]]+1,Table1[[#This Row],[OHC Date]]-Table1[[#This Row],[HOC Date]]+1)/7</f>
        <v>3.8571428571428572</v>
      </c>
      <c r="V255" s="107">
        <v>6.63</v>
      </c>
      <c r="W255" s="107">
        <v>0.7</v>
      </c>
      <c r="X255" s="107">
        <f>ROUND(0.7*Table1[[#This Row],[E&amp;D Rate per unit]]*R255*Table1[[#This Row],[Quantity]],2)</f>
        <v>15.08</v>
      </c>
      <c r="Y255" s="107">
        <f t="shared" si="37"/>
        <v>8.7799999999999994</v>
      </c>
      <c r="Z255" s="107">
        <f>ROUND(0.3*T255*Table1[[#This Row],[E&amp;D Rate per unit]]*Table1[[#This Row],[Quantity]],2)</f>
        <v>6.46</v>
      </c>
      <c r="AA255" s="107">
        <f t="shared" si="38"/>
        <v>30.32</v>
      </c>
      <c r="AB255" s="126">
        <v>30.32</v>
      </c>
      <c r="AC255" s="126">
        <f>Table1[[#This Row],[Total Amount]]-Table1[[#This Row],[Previous Amount]]</f>
        <v>0</v>
      </c>
      <c r="AD255" s="108"/>
    </row>
    <row r="256" spans="1:30" ht="29.25" customHeight="1" x14ac:dyDescent="0.3">
      <c r="A256" s="92" t="s">
        <v>89</v>
      </c>
      <c r="B256" s="92" t="s">
        <v>97</v>
      </c>
      <c r="C256" s="102">
        <v>88</v>
      </c>
      <c r="D256" s="102">
        <v>77509</v>
      </c>
      <c r="E256" s="102"/>
      <c r="F256" s="103" t="s">
        <v>379</v>
      </c>
      <c r="G256" s="17" t="s">
        <v>200</v>
      </c>
      <c r="H256" s="102" t="s">
        <v>205</v>
      </c>
      <c r="I256" s="102">
        <v>1</v>
      </c>
      <c r="J256" s="102">
        <v>14.6</v>
      </c>
      <c r="K256" s="102">
        <v>1.3</v>
      </c>
      <c r="L256" s="102">
        <v>4</v>
      </c>
      <c r="M256" s="102">
        <v>1</v>
      </c>
      <c r="N256" s="104" t="s">
        <v>206</v>
      </c>
      <c r="O256" s="104">
        <f t="shared" si="36"/>
        <v>58.4</v>
      </c>
      <c r="P256" s="188">
        <v>44882</v>
      </c>
      <c r="Q256" s="118"/>
      <c r="R256" s="105">
        <v>1</v>
      </c>
      <c r="S256" s="105">
        <v>1</v>
      </c>
      <c r="T256" s="105">
        <v>0</v>
      </c>
      <c r="U256" s="106">
        <f>IF(ISBLANK(Table1[[#This Row],[OHC Date]]),$B$7-Table1[[#This Row],[HOC Date]]+1,Table1[[#This Row],[OHC Date]]-Table1[[#This Row],[HOC Date]]+1)/7</f>
        <v>10</v>
      </c>
      <c r="V256" s="107">
        <v>12.01</v>
      </c>
      <c r="W256" s="107">
        <v>0.49</v>
      </c>
      <c r="X256" s="107">
        <f>ROUND(0.7*Table1[[#This Row],[E&amp;D Rate per unit]]*R256*Table1[[#This Row],[Quantity]],2)</f>
        <v>490.97</v>
      </c>
      <c r="Y256" s="107">
        <f t="shared" si="37"/>
        <v>286.16000000000003</v>
      </c>
      <c r="Z256" s="107">
        <f>ROUND(0.3*T256*Table1[[#This Row],[E&amp;D Rate per unit]]*Table1[[#This Row],[Quantity]],2)</f>
        <v>0</v>
      </c>
      <c r="AA256" s="107">
        <f t="shared" si="38"/>
        <v>777.13</v>
      </c>
      <c r="AB256" s="126">
        <v>650.4</v>
      </c>
      <c r="AC256" s="126">
        <f>Table1[[#This Row],[Total Amount]]-Table1[[#This Row],[Previous Amount]]</f>
        <v>126.73000000000002</v>
      </c>
      <c r="AD256" s="108"/>
    </row>
    <row r="257" spans="1:30" ht="29.25" customHeight="1" x14ac:dyDescent="0.3">
      <c r="A257" s="92" t="s">
        <v>89</v>
      </c>
      <c r="B257" s="92" t="s">
        <v>97</v>
      </c>
      <c r="C257" s="102">
        <v>88</v>
      </c>
      <c r="D257" s="102">
        <v>77509</v>
      </c>
      <c r="E257" s="102"/>
      <c r="F257" s="103" t="s">
        <v>379</v>
      </c>
      <c r="G257" s="17" t="s">
        <v>200</v>
      </c>
      <c r="H257" s="102" t="s">
        <v>176</v>
      </c>
      <c r="I257" s="102">
        <v>1</v>
      </c>
      <c r="J257" s="102">
        <v>14.6</v>
      </c>
      <c r="K257" s="102">
        <v>1.3</v>
      </c>
      <c r="L257" s="102">
        <v>1</v>
      </c>
      <c r="M257" s="102">
        <v>1</v>
      </c>
      <c r="N257" s="104" t="s">
        <v>160</v>
      </c>
      <c r="O257" s="104">
        <f t="shared" si="36"/>
        <v>18.98</v>
      </c>
      <c r="P257" s="188">
        <v>44882</v>
      </c>
      <c r="Q257" s="118"/>
      <c r="R257" s="105">
        <v>1</v>
      </c>
      <c r="S257" s="105">
        <v>1</v>
      </c>
      <c r="T257" s="105">
        <v>0</v>
      </c>
      <c r="U257" s="106">
        <f>IF(ISBLANK(Table1[[#This Row],[OHC Date]]),$B$7-Table1[[#This Row],[HOC Date]]+1,Table1[[#This Row],[OHC Date]]-Table1[[#This Row],[HOC Date]]+1)/7</f>
        <v>10</v>
      </c>
      <c r="V257" s="107">
        <v>6.63</v>
      </c>
      <c r="W257" s="107">
        <v>0.7</v>
      </c>
      <c r="X257" s="107">
        <f>ROUND(0.7*Table1[[#This Row],[E&amp;D Rate per unit]]*R257*Table1[[#This Row],[Quantity]],2)</f>
        <v>88.09</v>
      </c>
      <c r="Y257" s="107">
        <f t="shared" si="37"/>
        <v>132.86000000000001</v>
      </c>
      <c r="Z257" s="107">
        <f>ROUND(0.3*T257*Table1[[#This Row],[E&amp;D Rate per unit]]*Table1[[#This Row],[Quantity]],2)</f>
        <v>0</v>
      </c>
      <c r="AA257" s="107">
        <f t="shared" si="38"/>
        <v>220.95</v>
      </c>
      <c r="AB257" s="126">
        <v>162.11000000000001</v>
      </c>
      <c r="AC257" s="126">
        <f>Table1[[#This Row],[Total Amount]]-Table1[[#This Row],[Previous Amount]]</f>
        <v>58.839999999999975</v>
      </c>
      <c r="AD257" s="108"/>
    </row>
    <row r="258" spans="1:30" ht="29.25" customHeight="1" x14ac:dyDescent="0.3">
      <c r="A258" s="92" t="s">
        <v>89</v>
      </c>
      <c r="B258" s="92" t="s">
        <v>97</v>
      </c>
      <c r="C258" s="102" t="s">
        <v>457</v>
      </c>
      <c r="D258" s="102">
        <v>77510</v>
      </c>
      <c r="E258" s="102"/>
      <c r="F258" s="103" t="s">
        <v>238</v>
      </c>
      <c r="G258" s="17" t="s">
        <v>190</v>
      </c>
      <c r="H258" s="102" t="s">
        <v>127</v>
      </c>
      <c r="I258" s="102">
        <v>1</v>
      </c>
      <c r="J258" s="102">
        <v>3.5</v>
      </c>
      <c r="K258" s="102">
        <v>1</v>
      </c>
      <c r="L258" s="102">
        <v>1</v>
      </c>
      <c r="M258" s="102">
        <v>1</v>
      </c>
      <c r="N258" s="104" t="s">
        <v>160</v>
      </c>
      <c r="O258" s="104">
        <f>ROUND(IF(N258="m3",I258*J258*K258*L258,IF(N258="m2-LxH",I258*J258*L258,IF(N258="m2-LxW",I258*J258*K258,IF(N258="rm",I258*L258,IF(N258="lm",I258*J258,IF(N258="unit",I258,"NA")))))),2)</f>
        <v>3.5</v>
      </c>
      <c r="P258" s="188">
        <v>44882</v>
      </c>
      <c r="Q258" s="118"/>
      <c r="R258" s="105">
        <v>1</v>
      </c>
      <c r="S258" s="105">
        <v>1</v>
      </c>
      <c r="T258" s="105">
        <v>0</v>
      </c>
      <c r="U258" s="106">
        <f>IF(ISBLANK(Table1[[#This Row],[OHC Date]]),$B$7-Table1[[#This Row],[HOC Date]]+1,Table1[[#This Row],[OHC Date]]-Table1[[#This Row],[HOC Date]]+1)/7</f>
        <v>10</v>
      </c>
      <c r="V258" s="107">
        <v>36.520000000000003</v>
      </c>
      <c r="W258" s="107">
        <v>2.94</v>
      </c>
      <c r="X258" s="107">
        <f>ROUND(0.7*Table1[[#This Row],[E&amp;D Rate per unit]]*R258*Table1[[#This Row],[Quantity]],2)</f>
        <v>89.47</v>
      </c>
      <c r="Y258" s="107">
        <f>ROUND(O258*U258*W258*S258,2)</f>
        <v>102.9</v>
      </c>
      <c r="Z258" s="107">
        <f>ROUND(0.3*T258*Table1[[#This Row],[E&amp;D Rate per unit]]*Table1[[#This Row],[Quantity]],2)</f>
        <v>0</v>
      </c>
      <c r="AA258" s="107">
        <f>ROUND(X258+Z258+Y258,2)</f>
        <v>192.37</v>
      </c>
      <c r="AB258" s="126">
        <v>146.80000000000001</v>
      </c>
      <c r="AC258" s="126">
        <f>Table1[[#This Row],[Total Amount]]-Table1[[#This Row],[Previous Amount]]</f>
        <v>45.569999999999993</v>
      </c>
      <c r="AD258" s="108"/>
    </row>
    <row r="259" spans="1:30" ht="30" customHeight="1" x14ac:dyDescent="0.3">
      <c r="A259" s="92" t="s">
        <v>89</v>
      </c>
      <c r="B259" s="92" t="s">
        <v>97</v>
      </c>
      <c r="C259" s="102">
        <v>89</v>
      </c>
      <c r="D259" s="102">
        <v>77511</v>
      </c>
      <c r="E259" s="102"/>
      <c r="F259" s="103" t="s">
        <v>379</v>
      </c>
      <c r="G259" s="17" t="s">
        <v>200</v>
      </c>
      <c r="H259" s="102" t="s">
        <v>118</v>
      </c>
      <c r="I259" s="102">
        <v>1</v>
      </c>
      <c r="J259" s="102">
        <v>5.8</v>
      </c>
      <c r="K259" s="102">
        <v>2.5</v>
      </c>
      <c r="L259" s="102">
        <v>4</v>
      </c>
      <c r="M259" s="102">
        <v>1</v>
      </c>
      <c r="N259" s="104" t="s">
        <v>206</v>
      </c>
      <c r="O259" s="104">
        <f t="shared" si="36"/>
        <v>23.2</v>
      </c>
      <c r="P259" s="188">
        <v>44883</v>
      </c>
      <c r="Q259" s="118"/>
      <c r="R259" s="105">
        <v>1</v>
      </c>
      <c r="S259" s="105">
        <v>1</v>
      </c>
      <c r="T259" s="105">
        <v>0</v>
      </c>
      <c r="U259" s="106">
        <f>IF(ISBLANK(Table1[[#This Row],[OHC Date]]),$B$7-Table1[[#This Row],[HOC Date]]+1,Table1[[#This Row],[OHC Date]]-Table1[[#This Row],[HOC Date]]+1)/7</f>
        <v>9.8571428571428577</v>
      </c>
      <c r="V259" s="107">
        <v>16.760000000000002</v>
      </c>
      <c r="W259" s="107">
        <v>0.77</v>
      </c>
      <c r="X259" s="107">
        <f>ROUND(0.7*Table1[[#This Row],[E&amp;D Rate per unit]]*R259*Table1[[#This Row],[Quantity]],2)</f>
        <v>272.18</v>
      </c>
      <c r="Y259" s="107">
        <f t="shared" si="37"/>
        <v>176.09</v>
      </c>
      <c r="Z259" s="107">
        <f>ROUND(0.3*T259*Table1[[#This Row],[E&amp;D Rate per unit]]*Table1[[#This Row],[Quantity]],2)</f>
        <v>0</v>
      </c>
      <c r="AA259" s="107">
        <f t="shared" si="38"/>
        <v>448.27</v>
      </c>
      <c r="AB259" s="126">
        <v>369.16</v>
      </c>
      <c r="AC259" s="126">
        <f>Table1[[#This Row],[Total Amount]]-Table1[[#This Row],[Previous Amount]]</f>
        <v>79.109999999999957</v>
      </c>
      <c r="AD259" s="108"/>
    </row>
    <row r="260" spans="1:30" ht="30" customHeight="1" x14ac:dyDescent="0.3">
      <c r="A260" s="92" t="s">
        <v>89</v>
      </c>
      <c r="B260" s="92" t="s">
        <v>97</v>
      </c>
      <c r="C260" s="102">
        <v>89</v>
      </c>
      <c r="D260" s="102">
        <v>77511</v>
      </c>
      <c r="E260" s="102"/>
      <c r="F260" s="103" t="s">
        <v>379</v>
      </c>
      <c r="G260" s="17" t="s">
        <v>200</v>
      </c>
      <c r="H260" s="102" t="s">
        <v>176</v>
      </c>
      <c r="I260" s="102">
        <v>1</v>
      </c>
      <c r="J260" s="102">
        <v>5.8</v>
      </c>
      <c r="K260" s="102">
        <v>2.5</v>
      </c>
      <c r="L260" s="102">
        <v>1</v>
      </c>
      <c r="M260" s="102">
        <v>1</v>
      </c>
      <c r="N260" s="104" t="s">
        <v>160</v>
      </c>
      <c r="O260" s="104">
        <f t="shared" si="36"/>
        <v>14.5</v>
      </c>
      <c r="P260" s="188">
        <v>44883</v>
      </c>
      <c r="Q260" s="118"/>
      <c r="R260" s="105">
        <v>1</v>
      </c>
      <c r="S260" s="105">
        <v>1</v>
      </c>
      <c r="T260" s="105">
        <v>0</v>
      </c>
      <c r="U260" s="106">
        <f>IF(ISBLANK(Table1[[#This Row],[OHC Date]]),$B$7-Table1[[#This Row],[HOC Date]]+1,Table1[[#This Row],[OHC Date]]-Table1[[#This Row],[HOC Date]]+1)/7</f>
        <v>9.8571428571428577</v>
      </c>
      <c r="V260" s="107">
        <v>6.63</v>
      </c>
      <c r="W260" s="107">
        <v>0.7</v>
      </c>
      <c r="X260" s="107">
        <f>ROUND(0.7*Table1[[#This Row],[E&amp;D Rate per unit]]*R260*Table1[[#This Row],[Quantity]],2)</f>
        <v>67.290000000000006</v>
      </c>
      <c r="Y260" s="107">
        <f t="shared" si="37"/>
        <v>100.05</v>
      </c>
      <c r="Z260" s="107">
        <f>ROUND(0.3*T260*Table1[[#This Row],[E&amp;D Rate per unit]]*Table1[[#This Row],[Quantity]],2)</f>
        <v>0</v>
      </c>
      <c r="AA260" s="107">
        <f t="shared" si="38"/>
        <v>167.34</v>
      </c>
      <c r="AB260" s="126">
        <v>122.39</v>
      </c>
      <c r="AC260" s="126">
        <f>Table1[[#This Row],[Total Amount]]-Table1[[#This Row],[Previous Amount]]</f>
        <v>44.95</v>
      </c>
      <c r="AD260" s="108"/>
    </row>
    <row r="261" spans="1:30" ht="30" customHeight="1" x14ac:dyDescent="0.3">
      <c r="A261" s="92" t="s">
        <v>89</v>
      </c>
      <c r="B261" s="92" t="s">
        <v>97</v>
      </c>
      <c r="C261" s="102" t="s">
        <v>380</v>
      </c>
      <c r="D261" s="102">
        <v>77512</v>
      </c>
      <c r="E261" s="102"/>
      <c r="F261" s="103" t="s">
        <v>379</v>
      </c>
      <c r="G261" s="17" t="s">
        <v>200</v>
      </c>
      <c r="H261" s="102" t="s">
        <v>220</v>
      </c>
      <c r="I261" s="102">
        <v>1</v>
      </c>
      <c r="J261" s="102">
        <v>1</v>
      </c>
      <c r="K261" s="102">
        <v>0.9</v>
      </c>
      <c r="L261" s="102">
        <v>4</v>
      </c>
      <c r="M261" s="102">
        <v>1</v>
      </c>
      <c r="N261" s="104" t="s">
        <v>221</v>
      </c>
      <c r="O261" s="104">
        <f t="shared" si="36"/>
        <v>4</v>
      </c>
      <c r="P261" s="188">
        <v>44883</v>
      </c>
      <c r="Q261" s="118"/>
      <c r="R261" s="105">
        <v>1</v>
      </c>
      <c r="S261" s="105">
        <v>1</v>
      </c>
      <c r="T261" s="105">
        <v>0</v>
      </c>
      <c r="U261" s="106">
        <f>IF(ISBLANK(Table1[[#This Row],[OHC Date]]),$B$7-Table1[[#This Row],[HOC Date]]+1,Table1[[#This Row],[OHC Date]]-Table1[[#This Row],[HOC Date]]+1)/7</f>
        <v>9.8571428571428577</v>
      </c>
      <c r="V261" s="107">
        <v>63.34</v>
      </c>
      <c r="W261" s="107">
        <v>7.28</v>
      </c>
      <c r="X261" s="107">
        <f>ROUND(0.7*Table1[[#This Row],[E&amp;D Rate per unit]]*R261*Table1[[#This Row],[Quantity]],2)</f>
        <v>177.35</v>
      </c>
      <c r="Y261" s="107">
        <f t="shared" si="37"/>
        <v>287.04000000000002</v>
      </c>
      <c r="Z261" s="107">
        <f>ROUND(0.3*T261*Table1[[#This Row],[E&amp;D Rate per unit]]*Table1[[#This Row],[Quantity]],2)</f>
        <v>0</v>
      </c>
      <c r="AA261" s="107">
        <f t="shared" si="38"/>
        <v>464.39</v>
      </c>
      <c r="AB261" s="126">
        <v>335.43</v>
      </c>
      <c r="AC261" s="126">
        <f>Table1[[#This Row],[Total Amount]]-Table1[[#This Row],[Previous Amount]]</f>
        <v>128.95999999999998</v>
      </c>
      <c r="AD261" s="108"/>
    </row>
    <row r="262" spans="1:30" ht="30" customHeight="1" x14ac:dyDescent="0.3">
      <c r="A262" s="92" t="s">
        <v>89</v>
      </c>
      <c r="B262" s="92" t="s">
        <v>97</v>
      </c>
      <c r="C262" s="102" t="s">
        <v>380</v>
      </c>
      <c r="D262" s="102">
        <v>77512</v>
      </c>
      <c r="E262" s="102"/>
      <c r="F262" s="103" t="s">
        <v>379</v>
      </c>
      <c r="G262" s="17" t="s">
        <v>200</v>
      </c>
      <c r="H262" s="102" t="s">
        <v>176</v>
      </c>
      <c r="I262" s="102">
        <v>1</v>
      </c>
      <c r="J262" s="102">
        <v>1</v>
      </c>
      <c r="K262" s="102">
        <v>0.9</v>
      </c>
      <c r="L262" s="102">
        <v>1</v>
      </c>
      <c r="M262" s="102">
        <v>1</v>
      </c>
      <c r="N262" s="104" t="s">
        <v>160</v>
      </c>
      <c r="O262" s="104">
        <f t="shared" si="36"/>
        <v>0.9</v>
      </c>
      <c r="P262" s="188">
        <v>44883</v>
      </c>
      <c r="Q262" s="118"/>
      <c r="R262" s="105">
        <v>1</v>
      </c>
      <c r="S262" s="105">
        <v>1</v>
      </c>
      <c r="T262" s="105">
        <v>0</v>
      </c>
      <c r="U262" s="106">
        <f>IF(ISBLANK(Table1[[#This Row],[OHC Date]]),$B$7-Table1[[#This Row],[HOC Date]]+1,Table1[[#This Row],[OHC Date]]-Table1[[#This Row],[HOC Date]]+1)/7</f>
        <v>9.8571428571428577</v>
      </c>
      <c r="V262" s="107">
        <v>6.63</v>
      </c>
      <c r="W262" s="107">
        <v>0.7</v>
      </c>
      <c r="X262" s="107">
        <f>ROUND(0.7*Table1[[#This Row],[E&amp;D Rate per unit]]*R262*Table1[[#This Row],[Quantity]],2)</f>
        <v>4.18</v>
      </c>
      <c r="Y262" s="107">
        <f t="shared" si="37"/>
        <v>6.21</v>
      </c>
      <c r="Z262" s="107">
        <f>ROUND(0.3*T262*Table1[[#This Row],[E&amp;D Rate per unit]]*Table1[[#This Row],[Quantity]],2)</f>
        <v>0</v>
      </c>
      <c r="AA262" s="107">
        <f t="shared" si="38"/>
        <v>10.39</v>
      </c>
      <c r="AB262" s="126">
        <v>7.6</v>
      </c>
      <c r="AC262" s="126">
        <f>Table1[[#This Row],[Total Amount]]-Table1[[#This Row],[Previous Amount]]</f>
        <v>2.7900000000000009</v>
      </c>
      <c r="AD262" s="108"/>
    </row>
    <row r="263" spans="1:30" ht="30" customHeight="1" x14ac:dyDescent="0.3">
      <c r="A263" s="92" t="s">
        <v>89</v>
      </c>
      <c r="B263" s="92" t="s">
        <v>97</v>
      </c>
      <c r="C263" s="102">
        <v>90</v>
      </c>
      <c r="D263" s="102">
        <v>77513</v>
      </c>
      <c r="E263" s="102">
        <v>80574</v>
      </c>
      <c r="F263" s="103" t="s">
        <v>371</v>
      </c>
      <c r="G263" s="17" t="s">
        <v>200</v>
      </c>
      <c r="H263" s="102" t="s">
        <v>119</v>
      </c>
      <c r="I263" s="102">
        <v>1</v>
      </c>
      <c r="J263" s="102">
        <v>5</v>
      </c>
      <c r="K263" s="102">
        <v>3.1</v>
      </c>
      <c r="L263" s="102">
        <v>4</v>
      </c>
      <c r="M263" s="102">
        <v>1</v>
      </c>
      <c r="N263" s="104" t="s">
        <v>224</v>
      </c>
      <c r="O263" s="104">
        <f t="shared" ref="O263:O284" si="39">ROUND(IF(N263="m3",I263*J263*K263*L263,IF(N263="m2-LxH",I263*J263*L263,IF(N263="m2-LxW",I263*J263*K263,IF(N263="rm",I263*L263,IF(N263="lm",I263*J263,IF(N263="unit",I263,"NA")))))),2)</f>
        <v>62</v>
      </c>
      <c r="P263" s="18">
        <v>44884</v>
      </c>
      <c r="Q263" s="118">
        <v>44911</v>
      </c>
      <c r="R263" s="105">
        <v>1</v>
      </c>
      <c r="S263" s="105">
        <v>1</v>
      </c>
      <c r="T263" s="105">
        <v>1</v>
      </c>
      <c r="U263" s="106">
        <f>IF(ISBLANK(Table1[[#This Row],[OHC Date]]),$B$7-Table1[[#This Row],[HOC Date]]+1,Table1[[#This Row],[OHC Date]]-Table1[[#This Row],[HOC Date]]+1)/7</f>
        <v>4</v>
      </c>
      <c r="V263" s="107">
        <v>7.08</v>
      </c>
      <c r="W263" s="107">
        <v>0.49</v>
      </c>
      <c r="X263" s="107">
        <f>ROUND(0.7*Table1[[#This Row],[E&amp;D Rate per unit]]*R263*Table1[[#This Row],[Quantity]],2)</f>
        <v>307.27</v>
      </c>
      <c r="Y263" s="107">
        <f t="shared" ref="Y263:Y284" si="40">ROUND(O263*U263*W263*S263,2)</f>
        <v>121.52</v>
      </c>
      <c r="Z263" s="107">
        <f>ROUND(0.3*T263*Table1[[#This Row],[E&amp;D Rate per unit]]*Table1[[#This Row],[Quantity]],2)</f>
        <v>131.69</v>
      </c>
      <c r="AA263" s="107">
        <f t="shared" ref="AA263:AA284" si="41">ROUND(X263+Z263+Y263,2)</f>
        <v>560.48</v>
      </c>
      <c r="AB263" s="126">
        <v>560.48</v>
      </c>
      <c r="AC263" s="126">
        <f>Table1[[#This Row],[Total Amount]]-Table1[[#This Row],[Previous Amount]]</f>
        <v>0</v>
      </c>
      <c r="AD263" s="108"/>
    </row>
    <row r="264" spans="1:30" ht="30" customHeight="1" x14ac:dyDescent="0.3">
      <c r="A264" s="92" t="s">
        <v>89</v>
      </c>
      <c r="B264" s="92" t="s">
        <v>97</v>
      </c>
      <c r="C264" s="102">
        <v>90</v>
      </c>
      <c r="D264" s="102">
        <v>77513</v>
      </c>
      <c r="E264" s="102">
        <v>80574</v>
      </c>
      <c r="F264" s="103" t="s">
        <v>371</v>
      </c>
      <c r="G264" s="17" t="s">
        <v>200</v>
      </c>
      <c r="H264" s="102" t="s">
        <v>176</v>
      </c>
      <c r="I264" s="102">
        <v>1</v>
      </c>
      <c r="J264" s="102">
        <v>5</v>
      </c>
      <c r="K264" s="102">
        <v>3.1</v>
      </c>
      <c r="L264" s="102">
        <v>1</v>
      </c>
      <c r="M264" s="102">
        <v>1</v>
      </c>
      <c r="N264" s="104" t="s">
        <v>160</v>
      </c>
      <c r="O264" s="104">
        <f t="shared" si="39"/>
        <v>15.5</v>
      </c>
      <c r="P264" s="18">
        <v>44884</v>
      </c>
      <c r="Q264" s="118">
        <v>44911</v>
      </c>
      <c r="R264" s="105">
        <v>1</v>
      </c>
      <c r="S264" s="105">
        <v>1</v>
      </c>
      <c r="T264" s="105">
        <v>1</v>
      </c>
      <c r="U264" s="106">
        <f>IF(ISBLANK(Table1[[#This Row],[OHC Date]]),$B$7-Table1[[#This Row],[HOC Date]]+1,Table1[[#This Row],[OHC Date]]-Table1[[#This Row],[HOC Date]]+1)/7</f>
        <v>4</v>
      </c>
      <c r="V264" s="107">
        <v>6.63</v>
      </c>
      <c r="W264" s="107">
        <v>0.7</v>
      </c>
      <c r="X264" s="107">
        <f>ROUND(0.7*Table1[[#This Row],[E&amp;D Rate per unit]]*R264*Table1[[#This Row],[Quantity]],2)</f>
        <v>71.94</v>
      </c>
      <c r="Y264" s="107">
        <f t="shared" si="40"/>
        <v>43.4</v>
      </c>
      <c r="Z264" s="107">
        <f>ROUND(0.3*T264*Table1[[#This Row],[E&amp;D Rate per unit]]*Table1[[#This Row],[Quantity]],2)</f>
        <v>30.83</v>
      </c>
      <c r="AA264" s="107">
        <f t="shared" si="41"/>
        <v>146.16999999999999</v>
      </c>
      <c r="AB264" s="126">
        <v>146.16999999999999</v>
      </c>
      <c r="AC264" s="126">
        <f>Table1[[#This Row],[Total Amount]]-Table1[[#This Row],[Previous Amount]]</f>
        <v>0</v>
      </c>
      <c r="AD264" s="108"/>
    </row>
    <row r="265" spans="1:30" ht="30" customHeight="1" x14ac:dyDescent="0.3">
      <c r="A265" s="92" t="s">
        <v>89</v>
      </c>
      <c r="B265" s="92" t="s">
        <v>97</v>
      </c>
      <c r="C265" s="102">
        <v>91</v>
      </c>
      <c r="D265" s="102">
        <v>77514</v>
      </c>
      <c r="E265" s="102">
        <v>80541</v>
      </c>
      <c r="F265" s="103" t="s">
        <v>458</v>
      </c>
      <c r="G265" s="17" t="s">
        <v>200</v>
      </c>
      <c r="H265" s="102" t="s">
        <v>220</v>
      </c>
      <c r="I265" s="102">
        <v>1</v>
      </c>
      <c r="J265" s="102">
        <v>1.3</v>
      </c>
      <c r="K265" s="102">
        <v>0.9</v>
      </c>
      <c r="L265" s="102">
        <v>1</v>
      </c>
      <c r="M265" s="102">
        <v>1</v>
      </c>
      <c r="N265" s="104" t="s">
        <v>221</v>
      </c>
      <c r="O265" s="104">
        <f t="shared" si="39"/>
        <v>1</v>
      </c>
      <c r="P265" s="18">
        <v>44884</v>
      </c>
      <c r="Q265" s="118">
        <v>44893</v>
      </c>
      <c r="R265" s="105">
        <v>1</v>
      </c>
      <c r="S265" s="105">
        <v>1</v>
      </c>
      <c r="T265" s="105">
        <v>1</v>
      </c>
      <c r="U265" s="106">
        <f>IF(ISBLANK(Table1[[#This Row],[OHC Date]]),$B$7-Table1[[#This Row],[HOC Date]]+1,Table1[[#This Row],[OHC Date]]-Table1[[#This Row],[HOC Date]]+1)/7</f>
        <v>1.4285714285714286</v>
      </c>
      <c r="V265" s="107">
        <v>63.34</v>
      </c>
      <c r="W265" s="107">
        <v>7.28</v>
      </c>
      <c r="X265" s="107">
        <f>ROUND(0.7*Table1[[#This Row],[E&amp;D Rate per unit]]*R265*Table1[[#This Row],[Quantity]],2)</f>
        <v>44.34</v>
      </c>
      <c r="Y265" s="107">
        <f t="shared" si="40"/>
        <v>10.4</v>
      </c>
      <c r="Z265" s="107">
        <f>ROUND(0.3*T265*Table1[[#This Row],[E&amp;D Rate per unit]]*Table1[[#This Row],[Quantity]],2)</f>
        <v>19</v>
      </c>
      <c r="AA265" s="107">
        <f t="shared" si="41"/>
        <v>73.739999999999995</v>
      </c>
      <c r="AB265" s="126">
        <v>73.739999999999995</v>
      </c>
      <c r="AC265" s="126">
        <f>Table1[[#This Row],[Total Amount]]-Table1[[#This Row],[Previous Amount]]</f>
        <v>0</v>
      </c>
      <c r="AD265" s="108"/>
    </row>
    <row r="266" spans="1:30" ht="30" customHeight="1" x14ac:dyDescent="0.3">
      <c r="A266" s="92" t="s">
        <v>89</v>
      </c>
      <c r="B266" s="92" t="s">
        <v>97</v>
      </c>
      <c r="C266" s="102" t="s">
        <v>459</v>
      </c>
      <c r="D266" s="102">
        <v>77515</v>
      </c>
      <c r="E266" s="102">
        <v>80542</v>
      </c>
      <c r="F266" s="103" t="s">
        <v>315</v>
      </c>
      <c r="G266" s="17" t="s">
        <v>200</v>
      </c>
      <c r="H266" s="102" t="s">
        <v>127</v>
      </c>
      <c r="I266" s="102">
        <v>1</v>
      </c>
      <c r="J266" s="102">
        <v>2.5</v>
      </c>
      <c r="K266" s="102">
        <v>0.75</v>
      </c>
      <c r="L266" s="102">
        <v>1</v>
      </c>
      <c r="M266" s="102">
        <v>1</v>
      </c>
      <c r="N266" s="104" t="s">
        <v>160</v>
      </c>
      <c r="O266" s="104">
        <f t="shared" si="39"/>
        <v>1.88</v>
      </c>
      <c r="P266" s="18">
        <v>44884</v>
      </c>
      <c r="Q266" s="118">
        <v>44893</v>
      </c>
      <c r="R266" s="105">
        <v>1</v>
      </c>
      <c r="S266" s="105">
        <v>1</v>
      </c>
      <c r="T266" s="105">
        <v>1</v>
      </c>
      <c r="U266" s="106">
        <f>IF(ISBLANK(Table1[[#This Row],[OHC Date]]),$B$7-Table1[[#This Row],[HOC Date]]+1,Table1[[#This Row],[OHC Date]]-Table1[[#This Row],[HOC Date]]+1)/7</f>
        <v>1.4285714285714286</v>
      </c>
      <c r="V266" s="107">
        <v>36.520000000000003</v>
      </c>
      <c r="W266" s="107">
        <v>2.94</v>
      </c>
      <c r="X266" s="107">
        <f>ROUND(0.7*Table1[[#This Row],[E&amp;D Rate per unit]]*R266*Table1[[#This Row],[Quantity]],2)</f>
        <v>48.06</v>
      </c>
      <c r="Y266" s="107">
        <f t="shared" si="40"/>
        <v>7.9</v>
      </c>
      <c r="Z266" s="107">
        <f>ROUND(0.3*T266*Table1[[#This Row],[E&amp;D Rate per unit]]*Table1[[#This Row],[Quantity]],2)</f>
        <v>20.6</v>
      </c>
      <c r="AA266" s="107">
        <f t="shared" si="41"/>
        <v>76.56</v>
      </c>
      <c r="AB266" s="126">
        <v>76.56</v>
      </c>
      <c r="AC266" s="126">
        <f>Table1[[#This Row],[Total Amount]]-Table1[[#This Row],[Previous Amount]]</f>
        <v>0</v>
      </c>
      <c r="AD266" s="108"/>
    </row>
    <row r="267" spans="1:30" ht="30" customHeight="1" x14ac:dyDescent="0.3">
      <c r="A267" s="92" t="s">
        <v>89</v>
      </c>
      <c r="B267" s="92" t="s">
        <v>97</v>
      </c>
      <c r="C267" s="102" t="s">
        <v>460</v>
      </c>
      <c r="D267" s="102">
        <v>77516</v>
      </c>
      <c r="E267" s="102">
        <v>80575</v>
      </c>
      <c r="F267" s="103" t="s">
        <v>461</v>
      </c>
      <c r="G267" s="17" t="s">
        <v>200</v>
      </c>
      <c r="H267" s="102" t="s">
        <v>220</v>
      </c>
      <c r="I267" s="102">
        <v>1</v>
      </c>
      <c r="J267" s="102">
        <v>2</v>
      </c>
      <c r="K267" s="102">
        <v>1.3</v>
      </c>
      <c r="L267" s="102">
        <v>3.5</v>
      </c>
      <c r="M267" s="102">
        <v>1</v>
      </c>
      <c r="N267" s="104" t="s">
        <v>221</v>
      </c>
      <c r="O267" s="104">
        <f t="shared" si="39"/>
        <v>3.5</v>
      </c>
      <c r="P267" s="18">
        <v>44886</v>
      </c>
      <c r="Q267" s="118">
        <v>44911</v>
      </c>
      <c r="R267" s="105">
        <v>1</v>
      </c>
      <c r="S267" s="105">
        <v>1</v>
      </c>
      <c r="T267" s="105">
        <v>1</v>
      </c>
      <c r="U267" s="106">
        <f>IF(ISBLANK(Table1[[#This Row],[OHC Date]]),$B$7-Table1[[#This Row],[HOC Date]]+1,Table1[[#This Row],[OHC Date]]-Table1[[#This Row],[HOC Date]]+1)/7</f>
        <v>3.7142857142857144</v>
      </c>
      <c r="V267" s="107">
        <v>63.34</v>
      </c>
      <c r="W267" s="107">
        <v>7.28</v>
      </c>
      <c r="X267" s="107">
        <f>ROUND(0.7*Table1[[#This Row],[E&amp;D Rate per unit]]*R267*Table1[[#This Row],[Quantity]],2)</f>
        <v>155.18</v>
      </c>
      <c r="Y267" s="107">
        <f t="shared" si="40"/>
        <v>94.64</v>
      </c>
      <c r="Z267" s="107">
        <f>ROUND(0.3*T267*Table1[[#This Row],[E&amp;D Rate per unit]]*Table1[[#This Row],[Quantity]],2)</f>
        <v>66.510000000000005</v>
      </c>
      <c r="AA267" s="107">
        <f t="shared" si="41"/>
        <v>316.33</v>
      </c>
      <c r="AB267" s="126">
        <v>316.33</v>
      </c>
      <c r="AC267" s="126">
        <f>Table1[[#This Row],[Total Amount]]-Table1[[#This Row],[Previous Amount]]</f>
        <v>0</v>
      </c>
      <c r="AD267" s="108"/>
    </row>
    <row r="268" spans="1:30" ht="30" customHeight="1" x14ac:dyDescent="0.3">
      <c r="A268" s="92" t="s">
        <v>89</v>
      </c>
      <c r="B268" s="92" t="s">
        <v>97</v>
      </c>
      <c r="C268" s="102">
        <v>92</v>
      </c>
      <c r="D268" s="102">
        <v>77517</v>
      </c>
      <c r="E268" s="102"/>
      <c r="F268" s="103" t="s">
        <v>462</v>
      </c>
      <c r="G268" s="17" t="s">
        <v>463</v>
      </c>
      <c r="H268" s="102" t="s">
        <v>220</v>
      </c>
      <c r="I268" s="102">
        <v>1</v>
      </c>
      <c r="J268" s="102">
        <v>2.5</v>
      </c>
      <c r="K268" s="102">
        <v>1.8</v>
      </c>
      <c r="L268" s="102">
        <v>5.5</v>
      </c>
      <c r="M268" s="102">
        <v>1</v>
      </c>
      <c r="N268" s="104" t="s">
        <v>221</v>
      </c>
      <c r="O268" s="104">
        <f t="shared" si="39"/>
        <v>5.5</v>
      </c>
      <c r="P268" s="188">
        <v>44886</v>
      </c>
      <c r="Q268" s="118"/>
      <c r="R268" s="105">
        <v>1</v>
      </c>
      <c r="S268" s="105">
        <v>1</v>
      </c>
      <c r="T268" s="105">
        <v>0</v>
      </c>
      <c r="U268" s="106">
        <f>IF(ISBLANK(Table1[[#This Row],[OHC Date]]),$B$7-Table1[[#This Row],[HOC Date]]+1,Table1[[#This Row],[OHC Date]]-Table1[[#This Row],[HOC Date]]+1)/7</f>
        <v>9.4285714285714288</v>
      </c>
      <c r="V268" s="107">
        <v>63.34</v>
      </c>
      <c r="W268" s="107">
        <v>7.28</v>
      </c>
      <c r="X268" s="107">
        <f>ROUND(0.7*Table1[[#This Row],[E&amp;D Rate per unit]]*R268*Table1[[#This Row],[Quantity]],2)</f>
        <v>243.86</v>
      </c>
      <c r="Y268" s="107">
        <f t="shared" si="40"/>
        <v>377.52</v>
      </c>
      <c r="Z268" s="107">
        <f>ROUND(0.3*T268*Table1[[#This Row],[E&amp;D Rate per unit]]*Table1[[#This Row],[Quantity]],2)</f>
        <v>0</v>
      </c>
      <c r="AA268" s="107">
        <f t="shared" si="41"/>
        <v>621.38</v>
      </c>
      <c r="AB268" s="126">
        <v>444.06</v>
      </c>
      <c r="AC268" s="126">
        <f>Table1[[#This Row],[Total Amount]]-Table1[[#This Row],[Previous Amount]]</f>
        <v>177.32</v>
      </c>
      <c r="AD268" s="108"/>
    </row>
    <row r="269" spans="1:30" ht="30" customHeight="1" x14ac:dyDescent="0.3">
      <c r="A269" s="92" t="s">
        <v>89</v>
      </c>
      <c r="B269" s="92" t="s">
        <v>97</v>
      </c>
      <c r="C269" s="102">
        <v>92</v>
      </c>
      <c r="D269" s="102">
        <v>77517</v>
      </c>
      <c r="E269" s="102"/>
      <c r="F269" s="103" t="s">
        <v>462</v>
      </c>
      <c r="G269" s="17" t="s">
        <v>463</v>
      </c>
      <c r="H269" s="102" t="s">
        <v>176</v>
      </c>
      <c r="I269" s="102">
        <v>1</v>
      </c>
      <c r="J269" s="102">
        <v>2.5</v>
      </c>
      <c r="K269" s="102">
        <v>1.8</v>
      </c>
      <c r="L269" s="102">
        <v>1</v>
      </c>
      <c r="M269" s="102">
        <v>1</v>
      </c>
      <c r="N269" s="104" t="s">
        <v>160</v>
      </c>
      <c r="O269" s="104">
        <f t="shared" si="39"/>
        <v>4.5</v>
      </c>
      <c r="P269" s="188">
        <v>44886</v>
      </c>
      <c r="Q269" s="118"/>
      <c r="R269" s="105">
        <v>1</v>
      </c>
      <c r="S269" s="105">
        <v>1</v>
      </c>
      <c r="T269" s="105">
        <v>0</v>
      </c>
      <c r="U269" s="106">
        <f>IF(ISBLANK(Table1[[#This Row],[OHC Date]]),$B$7-Table1[[#This Row],[HOC Date]]+1,Table1[[#This Row],[OHC Date]]-Table1[[#This Row],[HOC Date]]+1)/7</f>
        <v>9.4285714285714288</v>
      </c>
      <c r="V269" s="107">
        <v>6.63</v>
      </c>
      <c r="W269" s="107">
        <v>0.7</v>
      </c>
      <c r="X269" s="107">
        <f>ROUND(0.7*Table1[[#This Row],[E&amp;D Rate per unit]]*R269*Table1[[#This Row],[Quantity]],2)</f>
        <v>20.88</v>
      </c>
      <c r="Y269" s="107">
        <f t="shared" si="40"/>
        <v>29.7</v>
      </c>
      <c r="Z269" s="107">
        <f>ROUND(0.3*T269*Table1[[#This Row],[E&amp;D Rate per unit]]*Table1[[#This Row],[Quantity]],2)</f>
        <v>0</v>
      </c>
      <c r="AA269" s="107">
        <f t="shared" si="41"/>
        <v>50.58</v>
      </c>
      <c r="AB269" s="126">
        <v>36.630000000000003</v>
      </c>
      <c r="AC269" s="126">
        <f>Table1[[#This Row],[Total Amount]]-Table1[[#This Row],[Previous Amount]]</f>
        <v>13.949999999999996</v>
      </c>
      <c r="AD269" s="108"/>
    </row>
    <row r="270" spans="1:30" ht="30" customHeight="1" x14ac:dyDescent="0.3">
      <c r="A270" s="92" t="s">
        <v>89</v>
      </c>
      <c r="B270" s="92" t="s">
        <v>97</v>
      </c>
      <c r="C270" s="102">
        <v>93</v>
      </c>
      <c r="D270" s="102">
        <v>77518</v>
      </c>
      <c r="E270" s="195">
        <v>80883</v>
      </c>
      <c r="F270" s="103" t="s">
        <v>467</v>
      </c>
      <c r="G270" s="17" t="s">
        <v>200</v>
      </c>
      <c r="H270" s="102" t="s">
        <v>113</v>
      </c>
      <c r="I270" s="102">
        <v>1</v>
      </c>
      <c r="J270" s="102">
        <v>2.5</v>
      </c>
      <c r="K270" s="102">
        <v>1.8</v>
      </c>
      <c r="L270" s="102">
        <v>3.7</v>
      </c>
      <c r="M270" s="102">
        <v>1</v>
      </c>
      <c r="N270" s="104" t="s">
        <v>221</v>
      </c>
      <c r="O270" s="104">
        <f t="shared" si="39"/>
        <v>3.7</v>
      </c>
      <c r="P270" s="188">
        <v>44887</v>
      </c>
      <c r="Q270" s="186">
        <v>44936</v>
      </c>
      <c r="R270" s="105">
        <v>1</v>
      </c>
      <c r="S270" s="105">
        <v>1</v>
      </c>
      <c r="T270" s="105">
        <v>1</v>
      </c>
      <c r="U270" s="106">
        <f>IF(ISBLANK(Table1[[#This Row],[OHC Date]]),$B$7-Table1[[#This Row],[HOC Date]]+1,Table1[[#This Row],[OHC Date]]-Table1[[#This Row],[HOC Date]]+1)/7</f>
        <v>7.1428571428571432</v>
      </c>
      <c r="V270" s="107">
        <v>103.33</v>
      </c>
      <c r="W270" s="107">
        <v>10.29</v>
      </c>
      <c r="X270" s="107">
        <f>ROUND(0.7*Table1[[#This Row],[E&amp;D Rate per unit]]*R270*Table1[[#This Row],[Quantity]],2)</f>
        <v>267.62</v>
      </c>
      <c r="Y270" s="107">
        <f t="shared" si="40"/>
        <v>271.95</v>
      </c>
      <c r="Z270" s="107">
        <f>ROUND(0.3*T270*Table1[[#This Row],[E&amp;D Rate per unit]]*Table1[[#This Row],[Quantity]],2)</f>
        <v>114.7</v>
      </c>
      <c r="AA270" s="107">
        <f t="shared" si="41"/>
        <v>654.27</v>
      </c>
      <c r="AB270" s="126">
        <v>452.55</v>
      </c>
      <c r="AC270" s="126">
        <f>Table1[[#This Row],[Total Amount]]-Table1[[#This Row],[Previous Amount]]</f>
        <v>201.71999999999997</v>
      </c>
      <c r="AD270" s="108"/>
    </row>
    <row r="271" spans="1:30" ht="30" customHeight="1" x14ac:dyDescent="0.3">
      <c r="A271" s="92" t="s">
        <v>89</v>
      </c>
      <c r="B271" s="92" t="s">
        <v>97</v>
      </c>
      <c r="C271" s="102">
        <v>94</v>
      </c>
      <c r="D271" s="102">
        <v>77519</v>
      </c>
      <c r="E271" s="102"/>
      <c r="F271" s="103" t="s">
        <v>468</v>
      </c>
      <c r="G271" s="17" t="s">
        <v>200</v>
      </c>
      <c r="H271" s="102" t="s">
        <v>205</v>
      </c>
      <c r="I271" s="102">
        <v>1</v>
      </c>
      <c r="J271" s="102">
        <v>5.4</v>
      </c>
      <c r="K271" s="102">
        <v>1.3</v>
      </c>
      <c r="L271" s="102">
        <v>4</v>
      </c>
      <c r="M271" s="102">
        <v>1</v>
      </c>
      <c r="N271" s="104" t="s">
        <v>206</v>
      </c>
      <c r="O271" s="104">
        <f t="shared" si="39"/>
        <v>21.6</v>
      </c>
      <c r="P271" s="188">
        <v>44887</v>
      </c>
      <c r="Q271" s="118"/>
      <c r="R271" s="105">
        <v>1</v>
      </c>
      <c r="S271" s="105">
        <v>1</v>
      </c>
      <c r="T271" s="105">
        <v>0</v>
      </c>
      <c r="U271" s="106">
        <f>IF(ISBLANK(Table1[[#This Row],[OHC Date]]),$B$7-Table1[[#This Row],[HOC Date]]+1,Table1[[#This Row],[OHC Date]]-Table1[[#This Row],[HOC Date]]+1)/7</f>
        <v>9.2857142857142865</v>
      </c>
      <c r="V271" s="107">
        <v>12.01</v>
      </c>
      <c r="W271" s="107">
        <v>0.49</v>
      </c>
      <c r="X271" s="107">
        <f>ROUND(0.7*Table1[[#This Row],[E&amp;D Rate per unit]]*R271*Table1[[#This Row],[Quantity]],2)</f>
        <v>181.59</v>
      </c>
      <c r="Y271" s="107">
        <f t="shared" si="40"/>
        <v>98.28</v>
      </c>
      <c r="Z271" s="107">
        <f>ROUND(0.3*T271*Table1[[#This Row],[E&amp;D Rate per unit]]*Table1[[#This Row],[Quantity]],2)</f>
        <v>0</v>
      </c>
      <c r="AA271" s="107">
        <f t="shared" si="41"/>
        <v>279.87</v>
      </c>
      <c r="AB271" s="126">
        <v>233</v>
      </c>
      <c r="AC271" s="126">
        <f>Table1[[#This Row],[Total Amount]]-Table1[[#This Row],[Previous Amount]]</f>
        <v>46.870000000000005</v>
      </c>
      <c r="AD271" s="108"/>
    </row>
    <row r="272" spans="1:30" ht="30" customHeight="1" x14ac:dyDescent="0.3">
      <c r="A272" s="92" t="s">
        <v>89</v>
      </c>
      <c r="B272" s="92" t="s">
        <v>97</v>
      </c>
      <c r="C272" s="102" t="s">
        <v>464</v>
      </c>
      <c r="D272" s="102">
        <v>77520</v>
      </c>
      <c r="E272" s="102"/>
      <c r="F272" s="103" t="s">
        <v>468</v>
      </c>
      <c r="G272" s="17" t="s">
        <v>200</v>
      </c>
      <c r="H272" s="102" t="s">
        <v>127</v>
      </c>
      <c r="I272" s="102">
        <v>1</v>
      </c>
      <c r="J272" s="102">
        <v>5.4</v>
      </c>
      <c r="K272" s="102">
        <v>0.75</v>
      </c>
      <c r="L272" s="102">
        <v>1</v>
      </c>
      <c r="M272" s="102">
        <v>1</v>
      </c>
      <c r="N272" s="104" t="s">
        <v>160</v>
      </c>
      <c r="O272" s="104">
        <f t="shared" si="39"/>
        <v>4.05</v>
      </c>
      <c r="P272" s="188">
        <v>44887</v>
      </c>
      <c r="Q272" s="118"/>
      <c r="R272" s="105">
        <v>1</v>
      </c>
      <c r="S272" s="105">
        <v>1</v>
      </c>
      <c r="T272" s="105">
        <v>0</v>
      </c>
      <c r="U272" s="106">
        <f>IF(ISBLANK(Table1[[#This Row],[OHC Date]]),$B$7-Table1[[#This Row],[HOC Date]]+1,Table1[[#This Row],[OHC Date]]-Table1[[#This Row],[HOC Date]]+1)/7</f>
        <v>9.2857142857142865</v>
      </c>
      <c r="V272" s="107">
        <v>36.520000000000003</v>
      </c>
      <c r="W272" s="107">
        <v>2.94</v>
      </c>
      <c r="X272" s="107">
        <f>ROUND(0.7*Table1[[#This Row],[E&amp;D Rate per unit]]*R272*Table1[[#This Row],[Quantity]],2)</f>
        <v>103.53</v>
      </c>
      <c r="Y272" s="107">
        <f t="shared" si="40"/>
        <v>110.57</v>
      </c>
      <c r="Z272" s="107">
        <f>ROUND(0.3*T272*Table1[[#This Row],[E&amp;D Rate per unit]]*Table1[[#This Row],[Quantity]],2)</f>
        <v>0</v>
      </c>
      <c r="AA272" s="107">
        <f t="shared" si="41"/>
        <v>214.1</v>
      </c>
      <c r="AB272" s="126">
        <v>161.36000000000001</v>
      </c>
      <c r="AC272" s="126">
        <f>Table1[[#This Row],[Total Amount]]-Table1[[#This Row],[Previous Amount]]</f>
        <v>52.739999999999981</v>
      </c>
      <c r="AD272" s="108"/>
    </row>
    <row r="273" spans="1:30" ht="30" customHeight="1" x14ac:dyDescent="0.3">
      <c r="A273" s="92" t="s">
        <v>89</v>
      </c>
      <c r="B273" s="92" t="s">
        <v>97</v>
      </c>
      <c r="C273" s="102" t="s">
        <v>465</v>
      </c>
      <c r="D273" s="102">
        <v>77521</v>
      </c>
      <c r="E273" s="102"/>
      <c r="F273" s="103" t="s">
        <v>468</v>
      </c>
      <c r="G273" s="17" t="s">
        <v>200</v>
      </c>
      <c r="H273" s="102" t="s">
        <v>118</v>
      </c>
      <c r="I273" s="102">
        <v>1</v>
      </c>
      <c r="J273" s="102">
        <v>4.9000000000000004</v>
      </c>
      <c r="K273" s="102">
        <v>2.5</v>
      </c>
      <c r="L273" s="102">
        <v>4</v>
      </c>
      <c r="M273" s="102">
        <v>1</v>
      </c>
      <c r="N273" s="104" t="s">
        <v>206</v>
      </c>
      <c r="O273" s="104">
        <f t="shared" si="39"/>
        <v>19.600000000000001</v>
      </c>
      <c r="P273" s="188">
        <v>44887</v>
      </c>
      <c r="Q273" s="118"/>
      <c r="R273" s="105">
        <v>1</v>
      </c>
      <c r="S273" s="105">
        <v>1</v>
      </c>
      <c r="T273" s="105">
        <v>0</v>
      </c>
      <c r="U273" s="106">
        <f>IF(ISBLANK(Table1[[#This Row],[OHC Date]]),$B$7-Table1[[#This Row],[HOC Date]]+1,Table1[[#This Row],[OHC Date]]-Table1[[#This Row],[HOC Date]]+1)/7</f>
        <v>9.2857142857142865</v>
      </c>
      <c r="V273" s="107">
        <v>16.760000000000002</v>
      </c>
      <c r="W273" s="107">
        <v>0.77</v>
      </c>
      <c r="X273" s="107">
        <f>ROUND(0.7*Table1[[#This Row],[E&amp;D Rate per unit]]*R273*Table1[[#This Row],[Quantity]],2)</f>
        <v>229.95</v>
      </c>
      <c r="Y273" s="107">
        <f t="shared" si="40"/>
        <v>140.13999999999999</v>
      </c>
      <c r="Z273" s="107">
        <f>ROUND(0.3*T273*Table1[[#This Row],[E&amp;D Rate per unit]]*Table1[[#This Row],[Quantity]],2)</f>
        <v>0</v>
      </c>
      <c r="AA273" s="107">
        <f t="shared" si="41"/>
        <v>370.09</v>
      </c>
      <c r="AB273" s="126">
        <v>303.25</v>
      </c>
      <c r="AC273" s="126">
        <f>Table1[[#This Row],[Total Amount]]-Table1[[#This Row],[Previous Amount]]</f>
        <v>66.839999999999975</v>
      </c>
      <c r="AD273" s="108"/>
    </row>
    <row r="274" spans="1:30" ht="30" customHeight="1" x14ac:dyDescent="0.3">
      <c r="A274" s="92" t="s">
        <v>89</v>
      </c>
      <c r="B274" s="92" t="s">
        <v>97</v>
      </c>
      <c r="C274" s="102" t="s">
        <v>466</v>
      </c>
      <c r="D274" s="102">
        <v>77522</v>
      </c>
      <c r="E274" s="102"/>
      <c r="F274" s="103" t="s">
        <v>468</v>
      </c>
      <c r="G274" s="17" t="s">
        <v>200</v>
      </c>
      <c r="H274" s="102" t="s">
        <v>220</v>
      </c>
      <c r="I274" s="102">
        <v>1</v>
      </c>
      <c r="J274" s="102">
        <v>2.5</v>
      </c>
      <c r="K274" s="102">
        <v>1.8</v>
      </c>
      <c r="L274" s="102">
        <v>4</v>
      </c>
      <c r="M274" s="102">
        <v>1</v>
      </c>
      <c r="N274" s="104" t="s">
        <v>221</v>
      </c>
      <c r="O274" s="104">
        <f t="shared" si="39"/>
        <v>4</v>
      </c>
      <c r="P274" s="188">
        <v>44887</v>
      </c>
      <c r="Q274" s="118"/>
      <c r="R274" s="105">
        <v>1</v>
      </c>
      <c r="S274" s="105">
        <v>1</v>
      </c>
      <c r="T274" s="105">
        <v>0</v>
      </c>
      <c r="U274" s="106">
        <f>IF(ISBLANK(Table1[[#This Row],[OHC Date]]),$B$7-Table1[[#This Row],[HOC Date]]+1,Table1[[#This Row],[OHC Date]]-Table1[[#This Row],[HOC Date]]+1)/7</f>
        <v>9.2857142857142865</v>
      </c>
      <c r="V274" s="107">
        <v>63.34</v>
      </c>
      <c r="W274" s="107">
        <v>7.28</v>
      </c>
      <c r="X274" s="107">
        <f>ROUND(0.7*Table1[[#This Row],[E&amp;D Rate per unit]]*R274*Table1[[#This Row],[Quantity]],2)</f>
        <v>177.35</v>
      </c>
      <c r="Y274" s="107">
        <f t="shared" si="40"/>
        <v>270.39999999999998</v>
      </c>
      <c r="Z274" s="107">
        <f>ROUND(0.3*T274*Table1[[#This Row],[E&amp;D Rate per unit]]*Table1[[#This Row],[Quantity]],2)</f>
        <v>0</v>
      </c>
      <c r="AA274" s="107">
        <f t="shared" si="41"/>
        <v>447.75</v>
      </c>
      <c r="AB274" s="126">
        <v>318.79000000000002</v>
      </c>
      <c r="AC274" s="126">
        <f>Table1[[#This Row],[Total Amount]]-Table1[[#This Row],[Previous Amount]]</f>
        <v>128.95999999999998</v>
      </c>
      <c r="AD274" s="108"/>
    </row>
    <row r="275" spans="1:30" ht="30" customHeight="1" x14ac:dyDescent="0.3">
      <c r="A275" s="92" t="s">
        <v>89</v>
      </c>
      <c r="B275" s="92" t="s">
        <v>97</v>
      </c>
      <c r="C275" s="102">
        <v>95</v>
      </c>
      <c r="D275" s="102">
        <v>77523</v>
      </c>
      <c r="E275" s="195">
        <v>80873</v>
      </c>
      <c r="F275" s="103" t="s">
        <v>469</v>
      </c>
      <c r="G275" s="17" t="s">
        <v>204</v>
      </c>
      <c r="H275" s="102" t="s">
        <v>220</v>
      </c>
      <c r="I275" s="102">
        <v>1</v>
      </c>
      <c r="J275" s="102">
        <v>1</v>
      </c>
      <c r="K275" s="102">
        <v>0.6</v>
      </c>
      <c r="L275" s="102">
        <v>2</v>
      </c>
      <c r="M275" s="102">
        <v>1</v>
      </c>
      <c r="N275" s="104" t="s">
        <v>221</v>
      </c>
      <c r="O275" s="104">
        <f t="shared" si="39"/>
        <v>2</v>
      </c>
      <c r="P275" s="188">
        <v>44888</v>
      </c>
      <c r="Q275" s="186">
        <v>44935</v>
      </c>
      <c r="R275" s="105">
        <v>1</v>
      </c>
      <c r="S275" s="105">
        <v>1</v>
      </c>
      <c r="T275" s="105">
        <v>1</v>
      </c>
      <c r="U275" s="106">
        <f>IF(ISBLANK(Table1[[#This Row],[OHC Date]]),$B$7-Table1[[#This Row],[HOC Date]]+1,Table1[[#This Row],[OHC Date]]-Table1[[#This Row],[HOC Date]]+1)/7</f>
        <v>6.8571428571428568</v>
      </c>
      <c r="V275" s="107">
        <v>63.34</v>
      </c>
      <c r="W275" s="107">
        <v>7.28</v>
      </c>
      <c r="X275" s="107">
        <f>ROUND(0.7*Table1[[#This Row],[E&amp;D Rate per unit]]*R275*Table1[[#This Row],[Quantity]],2)</f>
        <v>88.68</v>
      </c>
      <c r="Y275" s="107">
        <f t="shared" si="40"/>
        <v>99.84</v>
      </c>
      <c r="Z275" s="107">
        <f>ROUND(0.3*T275*Table1[[#This Row],[E&amp;D Rate per unit]]*Table1[[#This Row],[Quantity]],2)</f>
        <v>38</v>
      </c>
      <c r="AA275" s="107">
        <f t="shared" si="41"/>
        <v>226.52</v>
      </c>
      <c r="AB275" s="126">
        <v>157.32</v>
      </c>
      <c r="AC275" s="126">
        <f>Table1[[#This Row],[Total Amount]]-Table1[[#This Row],[Previous Amount]]</f>
        <v>69.200000000000017</v>
      </c>
      <c r="AD275" s="108"/>
    </row>
    <row r="276" spans="1:30" ht="30" customHeight="1" x14ac:dyDescent="0.3">
      <c r="A276" s="92" t="s">
        <v>89</v>
      </c>
      <c r="B276" s="92" t="s">
        <v>97</v>
      </c>
      <c r="C276" s="102">
        <v>96</v>
      </c>
      <c r="D276" s="102">
        <v>77524</v>
      </c>
      <c r="E276" s="195">
        <v>80874</v>
      </c>
      <c r="F276" s="103" t="s">
        <v>470</v>
      </c>
      <c r="G276" s="17" t="s">
        <v>216</v>
      </c>
      <c r="H276" s="102" t="s">
        <v>118</v>
      </c>
      <c r="I276" s="102">
        <v>1</v>
      </c>
      <c r="J276" s="102">
        <v>8</v>
      </c>
      <c r="K276" s="102">
        <v>2.5</v>
      </c>
      <c r="L276" s="102">
        <v>1.5</v>
      </c>
      <c r="M276" s="102">
        <v>1</v>
      </c>
      <c r="N276" s="104" t="s">
        <v>206</v>
      </c>
      <c r="O276" s="104">
        <f t="shared" si="39"/>
        <v>12</v>
      </c>
      <c r="P276" s="188">
        <v>44888</v>
      </c>
      <c r="Q276" s="186">
        <v>44935</v>
      </c>
      <c r="R276" s="105">
        <v>1</v>
      </c>
      <c r="S276" s="105">
        <v>1</v>
      </c>
      <c r="T276" s="105">
        <v>1</v>
      </c>
      <c r="U276" s="106">
        <f>IF(ISBLANK(Table1[[#This Row],[OHC Date]]),$B$7-Table1[[#This Row],[HOC Date]]+1,Table1[[#This Row],[OHC Date]]-Table1[[#This Row],[HOC Date]]+1)/7</f>
        <v>6.8571428571428568</v>
      </c>
      <c r="V276" s="107">
        <v>16.760000000000002</v>
      </c>
      <c r="W276" s="107">
        <v>0.77</v>
      </c>
      <c r="X276" s="107">
        <f>ROUND(0.7*Table1[[#This Row],[E&amp;D Rate per unit]]*R276*Table1[[#This Row],[Quantity]],2)</f>
        <v>140.78</v>
      </c>
      <c r="Y276" s="107">
        <f t="shared" si="40"/>
        <v>63.36</v>
      </c>
      <c r="Z276" s="107">
        <f>ROUND(0.3*T276*Table1[[#This Row],[E&amp;D Rate per unit]]*Table1[[#This Row],[Quantity]],2)</f>
        <v>60.34</v>
      </c>
      <c r="AA276" s="107">
        <f t="shared" si="41"/>
        <v>264.48</v>
      </c>
      <c r="AB276" s="126">
        <v>184.34</v>
      </c>
      <c r="AC276" s="126">
        <f>Table1[[#This Row],[Total Amount]]-Table1[[#This Row],[Previous Amount]]</f>
        <v>80.140000000000015</v>
      </c>
      <c r="AD276" s="108"/>
    </row>
    <row r="277" spans="1:30" ht="30" customHeight="1" x14ac:dyDescent="0.3">
      <c r="A277" s="92" t="s">
        <v>89</v>
      </c>
      <c r="B277" s="92" t="s">
        <v>97</v>
      </c>
      <c r="C277" s="102">
        <v>97</v>
      </c>
      <c r="D277" s="102">
        <v>77525</v>
      </c>
      <c r="E277" s="102">
        <v>80569</v>
      </c>
      <c r="F277" s="103" t="s">
        <v>470</v>
      </c>
      <c r="G277" s="17" t="s">
        <v>216</v>
      </c>
      <c r="H277" s="102" t="s">
        <v>220</v>
      </c>
      <c r="I277" s="102">
        <v>1</v>
      </c>
      <c r="J277" s="102">
        <v>2.5</v>
      </c>
      <c r="K277" s="102">
        <v>1.3</v>
      </c>
      <c r="L277" s="102">
        <v>1.5</v>
      </c>
      <c r="M277" s="102">
        <v>1</v>
      </c>
      <c r="N277" s="104" t="s">
        <v>221</v>
      </c>
      <c r="O277" s="104">
        <f t="shared" si="39"/>
        <v>1.5</v>
      </c>
      <c r="P277" s="18">
        <v>44888</v>
      </c>
      <c r="Q277" s="118">
        <v>44909</v>
      </c>
      <c r="R277" s="105">
        <v>1</v>
      </c>
      <c r="S277" s="105">
        <v>1</v>
      </c>
      <c r="T277" s="105">
        <v>1</v>
      </c>
      <c r="U277" s="106">
        <f>IF(ISBLANK(Table1[[#This Row],[OHC Date]]),$B$7-Table1[[#This Row],[HOC Date]]+1,Table1[[#This Row],[OHC Date]]-Table1[[#This Row],[HOC Date]]+1)/7</f>
        <v>3.1428571428571428</v>
      </c>
      <c r="V277" s="107">
        <v>63.34</v>
      </c>
      <c r="W277" s="107">
        <v>7.28</v>
      </c>
      <c r="X277" s="107">
        <f>ROUND(0.7*Table1[[#This Row],[E&amp;D Rate per unit]]*R277*Table1[[#This Row],[Quantity]],2)</f>
        <v>66.510000000000005</v>
      </c>
      <c r="Y277" s="107">
        <f t="shared" si="40"/>
        <v>34.32</v>
      </c>
      <c r="Z277" s="107">
        <f>ROUND(0.3*T277*Table1[[#This Row],[E&amp;D Rate per unit]]*Table1[[#This Row],[Quantity]],2)</f>
        <v>28.5</v>
      </c>
      <c r="AA277" s="107">
        <f t="shared" si="41"/>
        <v>129.33000000000001</v>
      </c>
      <c r="AB277" s="126">
        <v>129.33000000000001</v>
      </c>
      <c r="AC277" s="126">
        <f>Table1[[#This Row],[Total Amount]]-Table1[[#This Row],[Previous Amount]]</f>
        <v>0</v>
      </c>
      <c r="AD277" s="108"/>
    </row>
    <row r="278" spans="1:30" ht="30" customHeight="1" x14ac:dyDescent="0.3">
      <c r="A278" s="92" t="s">
        <v>89</v>
      </c>
      <c r="B278" s="92" t="s">
        <v>97</v>
      </c>
      <c r="C278" s="102">
        <v>98</v>
      </c>
      <c r="D278" s="102">
        <v>77526</v>
      </c>
      <c r="E278" s="195">
        <v>80876</v>
      </c>
      <c r="F278" s="103" t="s">
        <v>469</v>
      </c>
      <c r="G278" s="17" t="s">
        <v>223</v>
      </c>
      <c r="H278" s="102" t="s">
        <v>220</v>
      </c>
      <c r="I278" s="102">
        <v>1</v>
      </c>
      <c r="J278" s="102">
        <v>1</v>
      </c>
      <c r="K278" s="102">
        <v>0.6</v>
      </c>
      <c r="L278" s="102">
        <v>2</v>
      </c>
      <c r="M278" s="102">
        <v>1</v>
      </c>
      <c r="N278" s="104" t="s">
        <v>221</v>
      </c>
      <c r="O278" s="104">
        <f t="shared" si="39"/>
        <v>2</v>
      </c>
      <c r="P278" s="188">
        <v>44888</v>
      </c>
      <c r="Q278" s="186">
        <v>44935</v>
      </c>
      <c r="R278" s="105">
        <v>1</v>
      </c>
      <c r="S278" s="105">
        <v>1</v>
      </c>
      <c r="T278" s="105">
        <v>1</v>
      </c>
      <c r="U278" s="106">
        <f>IF(ISBLANK(Table1[[#This Row],[OHC Date]]),$B$7-Table1[[#This Row],[HOC Date]]+1,Table1[[#This Row],[OHC Date]]-Table1[[#This Row],[HOC Date]]+1)/7</f>
        <v>6.8571428571428568</v>
      </c>
      <c r="V278" s="107">
        <v>63.34</v>
      </c>
      <c r="W278" s="107">
        <v>7.28</v>
      </c>
      <c r="X278" s="107">
        <f>ROUND(0.7*Table1[[#This Row],[E&amp;D Rate per unit]]*R278*Table1[[#This Row],[Quantity]],2)</f>
        <v>88.68</v>
      </c>
      <c r="Y278" s="107">
        <f t="shared" si="40"/>
        <v>99.84</v>
      </c>
      <c r="Z278" s="107">
        <f>ROUND(0.3*T278*Table1[[#This Row],[E&amp;D Rate per unit]]*Table1[[#This Row],[Quantity]],2)</f>
        <v>38</v>
      </c>
      <c r="AA278" s="107">
        <f t="shared" si="41"/>
        <v>226.52</v>
      </c>
      <c r="AB278" s="126">
        <v>157.32</v>
      </c>
      <c r="AC278" s="126">
        <f>Table1[[#This Row],[Total Amount]]-Table1[[#This Row],[Previous Amount]]</f>
        <v>69.200000000000017</v>
      </c>
      <c r="AD278" s="108"/>
    </row>
    <row r="279" spans="1:30" ht="30" customHeight="1" x14ac:dyDescent="0.3">
      <c r="A279" s="92" t="s">
        <v>89</v>
      </c>
      <c r="B279" s="92" t="s">
        <v>97</v>
      </c>
      <c r="C279" s="102" t="s">
        <v>471</v>
      </c>
      <c r="D279" s="102">
        <v>77527</v>
      </c>
      <c r="E279" s="102">
        <v>80534</v>
      </c>
      <c r="F279" s="103" t="s">
        <v>472</v>
      </c>
      <c r="G279" s="17" t="s">
        <v>223</v>
      </c>
      <c r="H279" s="102" t="s">
        <v>126</v>
      </c>
      <c r="I279" s="102">
        <v>1</v>
      </c>
      <c r="J279" s="102">
        <v>2.5</v>
      </c>
      <c r="K279" s="102">
        <v>0.5</v>
      </c>
      <c r="L279" s="102">
        <v>1</v>
      </c>
      <c r="M279" s="102">
        <v>1</v>
      </c>
      <c r="N279" s="104" t="s">
        <v>160</v>
      </c>
      <c r="O279" s="104">
        <f t="shared" si="39"/>
        <v>1.25</v>
      </c>
      <c r="P279" s="18">
        <v>44888</v>
      </c>
      <c r="Q279" s="118">
        <v>44889</v>
      </c>
      <c r="R279" s="105">
        <v>1</v>
      </c>
      <c r="S279" s="105">
        <v>1</v>
      </c>
      <c r="T279" s="105">
        <v>1</v>
      </c>
      <c r="U279" s="106">
        <f>IF(ISBLANK(Table1[[#This Row],[OHC Date]]),$B$7-Table1[[#This Row],[HOC Date]]+1,Table1[[#This Row],[OHC Date]]-Table1[[#This Row],[HOC Date]]+1)/7</f>
        <v>0.2857142857142857</v>
      </c>
      <c r="V279" s="107">
        <v>32.75</v>
      </c>
      <c r="W279" s="107">
        <v>1.05</v>
      </c>
      <c r="X279" s="107">
        <f>ROUND(0.7*Table1[[#This Row],[E&amp;D Rate per unit]]*R279*Table1[[#This Row],[Quantity]],2)</f>
        <v>28.66</v>
      </c>
      <c r="Y279" s="107">
        <f t="shared" si="40"/>
        <v>0.38</v>
      </c>
      <c r="Z279" s="107">
        <f>ROUND(0.3*T279*Table1[[#This Row],[E&amp;D Rate per unit]]*Table1[[#This Row],[Quantity]],2)</f>
        <v>12.28</v>
      </c>
      <c r="AA279" s="107">
        <f t="shared" si="41"/>
        <v>41.32</v>
      </c>
      <c r="AB279" s="126">
        <v>41.32</v>
      </c>
      <c r="AC279" s="126">
        <f>Table1[[#This Row],[Total Amount]]-Table1[[#This Row],[Previous Amount]]</f>
        <v>0</v>
      </c>
      <c r="AD279" s="108"/>
    </row>
    <row r="280" spans="1:30" ht="30" customHeight="1" x14ac:dyDescent="0.3">
      <c r="A280" s="92" t="s">
        <v>89</v>
      </c>
      <c r="B280" s="92" t="s">
        <v>97</v>
      </c>
      <c r="C280" s="102">
        <v>99</v>
      </c>
      <c r="D280" s="102">
        <v>77529</v>
      </c>
      <c r="E280" s="102">
        <v>80553</v>
      </c>
      <c r="F280" s="103" t="s">
        <v>473</v>
      </c>
      <c r="G280" s="17" t="s">
        <v>200</v>
      </c>
      <c r="H280" s="102" t="s">
        <v>220</v>
      </c>
      <c r="I280" s="102">
        <v>1</v>
      </c>
      <c r="J280" s="102">
        <v>1.3</v>
      </c>
      <c r="K280" s="102">
        <v>1.3</v>
      </c>
      <c r="L280" s="102">
        <v>1</v>
      </c>
      <c r="M280" s="102">
        <v>1</v>
      </c>
      <c r="N280" s="104" t="s">
        <v>221</v>
      </c>
      <c r="O280" s="104">
        <f t="shared" si="39"/>
        <v>1</v>
      </c>
      <c r="P280" s="18">
        <v>44889</v>
      </c>
      <c r="Q280" s="118">
        <v>44901</v>
      </c>
      <c r="R280" s="105">
        <v>1</v>
      </c>
      <c r="S280" s="105">
        <v>1</v>
      </c>
      <c r="T280" s="105">
        <v>1</v>
      </c>
      <c r="U280" s="106">
        <f>IF(ISBLANK(Table1[[#This Row],[OHC Date]]),$B$7-Table1[[#This Row],[HOC Date]]+1,Table1[[#This Row],[OHC Date]]-Table1[[#This Row],[HOC Date]]+1)/7</f>
        <v>1.8571428571428572</v>
      </c>
      <c r="V280" s="107">
        <v>63.34</v>
      </c>
      <c r="W280" s="107">
        <v>7.28</v>
      </c>
      <c r="X280" s="107">
        <f>ROUND(0.7*Table1[[#This Row],[E&amp;D Rate per unit]]*R280*Table1[[#This Row],[Quantity]],2)</f>
        <v>44.34</v>
      </c>
      <c r="Y280" s="107">
        <f t="shared" si="40"/>
        <v>13.52</v>
      </c>
      <c r="Z280" s="107">
        <f>ROUND(0.3*T280*Table1[[#This Row],[E&amp;D Rate per unit]]*Table1[[#This Row],[Quantity]],2)</f>
        <v>19</v>
      </c>
      <c r="AA280" s="107">
        <f t="shared" si="41"/>
        <v>76.86</v>
      </c>
      <c r="AB280" s="126">
        <v>76.86</v>
      </c>
      <c r="AC280" s="126">
        <f>Table1[[#This Row],[Total Amount]]-Table1[[#This Row],[Previous Amount]]</f>
        <v>0</v>
      </c>
      <c r="AD280" s="108"/>
    </row>
    <row r="281" spans="1:30" ht="30" customHeight="1" x14ac:dyDescent="0.3">
      <c r="A281" s="92" t="s">
        <v>89</v>
      </c>
      <c r="B281" s="92" t="s">
        <v>97</v>
      </c>
      <c r="C281" s="102">
        <v>100</v>
      </c>
      <c r="D281" s="102">
        <v>77530</v>
      </c>
      <c r="E281" s="102"/>
      <c r="F281" s="103" t="s">
        <v>469</v>
      </c>
      <c r="G281" s="17" t="s">
        <v>200</v>
      </c>
      <c r="H281" s="102" t="s">
        <v>220</v>
      </c>
      <c r="I281" s="102">
        <v>1</v>
      </c>
      <c r="J281" s="102">
        <v>1</v>
      </c>
      <c r="K281" s="102">
        <v>0.75</v>
      </c>
      <c r="L281" s="102">
        <v>4</v>
      </c>
      <c r="M281" s="102">
        <v>2</v>
      </c>
      <c r="N281" s="104" t="s">
        <v>221</v>
      </c>
      <c r="O281" s="104">
        <f t="shared" si="39"/>
        <v>4</v>
      </c>
      <c r="P281" s="188">
        <v>44889</v>
      </c>
      <c r="Q281" s="118"/>
      <c r="R281" s="105">
        <v>1</v>
      </c>
      <c r="S281" s="105">
        <v>1</v>
      </c>
      <c r="T281" s="105">
        <v>0</v>
      </c>
      <c r="U281" s="106">
        <f>IF(ISBLANK(Table1[[#This Row],[OHC Date]]),$B$7-Table1[[#This Row],[HOC Date]]+1,Table1[[#This Row],[OHC Date]]-Table1[[#This Row],[HOC Date]]+1)/7</f>
        <v>9</v>
      </c>
      <c r="V281" s="107">
        <v>63.34</v>
      </c>
      <c r="W281" s="107">
        <v>7.28</v>
      </c>
      <c r="X281" s="107">
        <f>ROUND(0.7*Table1[[#This Row],[E&amp;D Rate per unit]]*R281*Table1[[#This Row],[Quantity]],2)</f>
        <v>177.35</v>
      </c>
      <c r="Y281" s="107">
        <f t="shared" si="40"/>
        <v>262.08</v>
      </c>
      <c r="Z281" s="107">
        <f>ROUND(0.3*T281*Table1[[#This Row],[E&amp;D Rate per unit]]*Table1[[#This Row],[Quantity]],2)</f>
        <v>0</v>
      </c>
      <c r="AA281" s="107">
        <f t="shared" si="41"/>
        <v>439.43</v>
      </c>
      <c r="AB281" s="126">
        <v>310.47000000000003</v>
      </c>
      <c r="AC281" s="126">
        <f>Table1[[#This Row],[Total Amount]]-Table1[[#This Row],[Previous Amount]]</f>
        <v>128.95999999999998</v>
      </c>
      <c r="AD281" s="108"/>
    </row>
    <row r="282" spans="1:30" ht="30" customHeight="1" x14ac:dyDescent="0.3">
      <c r="A282" s="92" t="s">
        <v>89</v>
      </c>
      <c r="B282" s="92" t="s">
        <v>97</v>
      </c>
      <c r="C282" s="102" t="s">
        <v>474</v>
      </c>
      <c r="D282" s="102">
        <v>77531</v>
      </c>
      <c r="E282" s="195">
        <v>80887</v>
      </c>
      <c r="F282" s="103" t="s">
        <v>475</v>
      </c>
      <c r="G282" s="17" t="s">
        <v>200</v>
      </c>
      <c r="H282" s="102" t="s">
        <v>127</v>
      </c>
      <c r="I282" s="102">
        <v>1</v>
      </c>
      <c r="J282" s="102">
        <v>2.5</v>
      </c>
      <c r="K282" s="102">
        <v>0.75</v>
      </c>
      <c r="L282" s="102">
        <v>1</v>
      </c>
      <c r="M282" s="102">
        <v>1</v>
      </c>
      <c r="N282" s="104" t="s">
        <v>160</v>
      </c>
      <c r="O282" s="104">
        <f t="shared" si="39"/>
        <v>1.88</v>
      </c>
      <c r="P282" s="188">
        <v>44889</v>
      </c>
      <c r="Q282" s="186">
        <v>44942</v>
      </c>
      <c r="R282" s="105">
        <v>1</v>
      </c>
      <c r="S282" s="105">
        <v>1</v>
      </c>
      <c r="T282" s="105">
        <v>1</v>
      </c>
      <c r="U282" s="106">
        <f>IF(ISBLANK(Table1[[#This Row],[OHC Date]]),$B$7-Table1[[#This Row],[HOC Date]]+1,Table1[[#This Row],[OHC Date]]-Table1[[#This Row],[HOC Date]]+1)/7</f>
        <v>7.7142857142857144</v>
      </c>
      <c r="V282" s="107">
        <v>36.520000000000003</v>
      </c>
      <c r="W282" s="107">
        <v>2.94</v>
      </c>
      <c r="X282" s="107">
        <f>ROUND(0.7*Table1[[#This Row],[E&amp;D Rate per unit]]*R282*Table1[[#This Row],[Quantity]],2)</f>
        <v>48.06</v>
      </c>
      <c r="Y282" s="107">
        <f t="shared" si="40"/>
        <v>42.64</v>
      </c>
      <c r="Z282" s="107">
        <f>ROUND(0.3*T282*Table1[[#This Row],[E&amp;D Rate per unit]]*Table1[[#This Row],[Quantity]],2)</f>
        <v>20.6</v>
      </c>
      <c r="AA282" s="107">
        <f t="shared" si="41"/>
        <v>111.3</v>
      </c>
      <c r="AB282" s="126">
        <v>73.33</v>
      </c>
      <c r="AC282" s="126">
        <f>Table1[[#This Row],[Total Amount]]-Table1[[#This Row],[Previous Amount]]</f>
        <v>37.97</v>
      </c>
      <c r="AD282" s="108"/>
    </row>
    <row r="283" spans="1:30" ht="30" customHeight="1" x14ac:dyDescent="0.3">
      <c r="A283" s="92" t="s">
        <v>89</v>
      </c>
      <c r="B283" s="92" t="s">
        <v>97</v>
      </c>
      <c r="C283" s="102">
        <v>101</v>
      </c>
      <c r="D283" s="102">
        <v>77532</v>
      </c>
      <c r="E283" s="195">
        <v>80885</v>
      </c>
      <c r="F283" s="103" t="s">
        <v>469</v>
      </c>
      <c r="G283" s="17" t="s">
        <v>254</v>
      </c>
      <c r="H283" s="102" t="s">
        <v>220</v>
      </c>
      <c r="I283" s="102">
        <v>1</v>
      </c>
      <c r="J283" s="102">
        <v>1</v>
      </c>
      <c r="K283" s="102">
        <v>0.5</v>
      </c>
      <c r="L283" s="102">
        <v>4</v>
      </c>
      <c r="M283" s="102">
        <v>2</v>
      </c>
      <c r="N283" s="104" t="s">
        <v>221</v>
      </c>
      <c r="O283" s="104">
        <f t="shared" si="39"/>
        <v>4</v>
      </c>
      <c r="P283" s="188">
        <v>44890</v>
      </c>
      <c r="Q283" s="186">
        <v>44938</v>
      </c>
      <c r="R283" s="105">
        <v>1</v>
      </c>
      <c r="S283" s="105">
        <v>1</v>
      </c>
      <c r="T283" s="105">
        <v>1</v>
      </c>
      <c r="U283" s="106">
        <f>IF(ISBLANK(Table1[[#This Row],[OHC Date]]),$B$7-Table1[[#This Row],[HOC Date]]+1,Table1[[#This Row],[OHC Date]]-Table1[[#This Row],[HOC Date]]+1)/7</f>
        <v>7</v>
      </c>
      <c r="V283" s="107">
        <v>63.34</v>
      </c>
      <c r="W283" s="107">
        <v>7.28</v>
      </c>
      <c r="X283" s="107">
        <f>ROUND(0.7*Table1[[#This Row],[E&amp;D Rate per unit]]*R283*Table1[[#This Row],[Quantity]],2)</f>
        <v>177.35</v>
      </c>
      <c r="Y283" s="107">
        <f t="shared" si="40"/>
        <v>203.84</v>
      </c>
      <c r="Z283" s="107">
        <f>ROUND(0.3*T283*Table1[[#This Row],[E&amp;D Rate per unit]]*Table1[[#This Row],[Quantity]],2)</f>
        <v>76.010000000000005</v>
      </c>
      <c r="AA283" s="107">
        <f t="shared" si="41"/>
        <v>457.2</v>
      </c>
      <c r="AB283" s="126">
        <v>306.31</v>
      </c>
      <c r="AC283" s="126">
        <f>Table1[[#This Row],[Total Amount]]-Table1[[#This Row],[Previous Amount]]</f>
        <v>150.88999999999999</v>
      </c>
      <c r="AD283" s="108"/>
    </row>
    <row r="284" spans="1:30" ht="30" customHeight="1" x14ac:dyDescent="0.3">
      <c r="A284" s="92" t="s">
        <v>89</v>
      </c>
      <c r="B284" s="92" t="s">
        <v>97</v>
      </c>
      <c r="C284" s="102" t="s">
        <v>476</v>
      </c>
      <c r="D284" s="102">
        <v>77533</v>
      </c>
      <c r="E284" s="102"/>
      <c r="F284" s="103" t="s">
        <v>238</v>
      </c>
      <c r="G284" s="17" t="s">
        <v>159</v>
      </c>
      <c r="H284" s="102" t="s">
        <v>126</v>
      </c>
      <c r="I284" s="102">
        <v>1</v>
      </c>
      <c r="J284" s="102">
        <v>10.8</v>
      </c>
      <c r="K284" s="102">
        <v>0.5</v>
      </c>
      <c r="L284" s="102">
        <v>1</v>
      </c>
      <c r="M284" s="102">
        <v>1</v>
      </c>
      <c r="N284" s="104" t="s">
        <v>160</v>
      </c>
      <c r="O284" s="104">
        <f t="shared" si="39"/>
        <v>5.4</v>
      </c>
      <c r="P284" s="188">
        <v>44890</v>
      </c>
      <c r="Q284" s="118"/>
      <c r="R284" s="105">
        <v>1</v>
      </c>
      <c r="S284" s="105">
        <v>1</v>
      </c>
      <c r="T284" s="105">
        <v>0</v>
      </c>
      <c r="U284" s="106">
        <f>IF(ISBLANK(Table1[[#This Row],[OHC Date]]),$B$7-Table1[[#This Row],[HOC Date]]+1,Table1[[#This Row],[OHC Date]]-Table1[[#This Row],[HOC Date]]+1)/7</f>
        <v>8.8571428571428577</v>
      </c>
      <c r="V284" s="107">
        <v>32.75</v>
      </c>
      <c r="W284" s="107">
        <v>1.05</v>
      </c>
      <c r="X284" s="107">
        <f>ROUND(0.7*Table1[[#This Row],[E&amp;D Rate per unit]]*R284*Table1[[#This Row],[Quantity]],2)</f>
        <v>123.8</v>
      </c>
      <c r="Y284" s="107">
        <f t="shared" si="40"/>
        <v>50.22</v>
      </c>
      <c r="Z284" s="107">
        <f>ROUND(0.3*T284*Table1[[#This Row],[E&amp;D Rate per unit]]*Table1[[#This Row],[Quantity]],2)</f>
        <v>0</v>
      </c>
      <c r="AA284" s="107">
        <f t="shared" si="41"/>
        <v>174.02</v>
      </c>
      <c r="AB284" s="126">
        <v>148.91</v>
      </c>
      <c r="AC284" s="126">
        <f>Table1[[#This Row],[Total Amount]]-Table1[[#This Row],[Previous Amount]]</f>
        <v>25.110000000000014</v>
      </c>
      <c r="AD284" s="108"/>
    </row>
    <row r="285" spans="1:30" ht="30" customHeight="1" x14ac:dyDescent="0.3">
      <c r="A285" s="92" t="s">
        <v>89</v>
      </c>
      <c r="B285" s="92" t="s">
        <v>96</v>
      </c>
      <c r="C285" s="102">
        <v>18</v>
      </c>
      <c r="D285" s="102">
        <v>74639</v>
      </c>
      <c r="E285" s="102">
        <v>76808</v>
      </c>
      <c r="F285" s="103" t="s">
        <v>383</v>
      </c>
      <c r="G285" s="17" t="s">
        <v>226</v>
      </c>
      <c r="H285" s="102" t="s">
        <v>220</v>
      </c>
      <c r="I285" s="102">
        <v>1</v>
      </c>
      <c r="J285" s="102">
        <v>1.8</v>
      </c>
      <c r="K285" s="102">
        <v>1.3</v>
      </c>
      <c r="L285" s="102">
        <v>2</v>
      </c>
      <c r="M285" s="102">
        <v>1</v>
      </c>
      <c r="N285" s="104" t="s">
        <v>221</v>
      </c>
      <c r="O285" s="104">
        <f t="shared" ref="O285:O302" si="42">ROUND(IF(N285="m3",I285*J285*K285*L285,IF(N285="m2-LxH",I285*J285*L285,IF(N285="m2-LxW",I285*J285*K285,IF(N285="rm",I285*L285,IF(N285="lm",I285*J285,IF(N285="unit",I285,"NA")))))),2)</f>
        <v>2</v>
      </c>
      <c r="P285" s="118">
        <v>44861</v>
      </c>
      <c r="Q285" s="118">
        <v>44870</v>
      </c>
      <c r="R285" s="105">
        <v>1</v>
      </c>
      <c r="S285" s="105">
        <v>1</v>
      </c>
      <c r="T285" s="105">
        <v>1</v>
      </c>
      <c r="U285" s="106">
        <f>IF(ISBLANK(Table1[[#This Row],[OHC Date]]),$B$7-Table1[[#This Row],[HOC Date]]+1,Table1[[#This Row],[OHC Date]]-Table1[[#This Row],[HOC Date]]+1)/7</f>
        <v>1.4285714285714286</v>
      </c>
      <c r="V285" s="107">
        <v>63.34</v>
      </c>
      <c r="W285" s="107">
        <v>7.28</v>
      </c>
      <c r="X285" s="107">
        <f>ROUND(0.7*Table1[[#This Row],[E&amp;D Rate per unit]]*R285*Table1[[#This Row],[Quantity]],2)</f>
        <v>88.68</v>
      </c>
      <c r="Y285" s="107">
        <f t="shared" ref="Y285:Y302" si="43">ROUND(O285*U285*W285*S285,2)</f>
        <v>20.8</v>
      </c>
      <c r="Z285" s="107">
        <f>ROUND(0.3*T285*Table1[[#This Row],[E&amp;D Rate per unit]]*Table1[[#This Row],[Quantity]],2)</f>
        <v>38</v>
      </c>
      <c r="AA285" s="107">
        <f t="shared" ref="AA285:AA302" si="44">ROUND(X285+Z285+Y285,2)</f>
        <v>147.47999999999999</v>
      </c>
      <c r="AB285" s="126">
        <v>147.47999999999999</v>
      </c>
      <c r="AC285" s="126">
        <f>Table1[[#This Row],[Total Amount]]-Table1[[#This Row],[Previous Amount]]</f>
        <v>0</v>
      </c>
      <c r="AD285" s="108"/>
    </row>
    <row r="286" spans="1:30" ht="30" customHeight="1" x14ac:dyDescent="0.3">
      <c r="A286" s="92" t="s">
        <v>89</v>
      </c>
      <c r="B286" s="92" t="s">
        <v>96</v>
      </c>
      <c r="C286" s="102">
        <v>19</v>
      </c>
      <c r="D286" s="102">
        <v>74640</v>
      </c>
      <c r="E286" s="102">
        <v>76809</v>
      </c>
      <c r="F286" s="103" t="s">
        <v>383</v>
      </c>
      <c r="G286" s="17" t="s">
        <v>226</v>
      </c>
      <c r="H286" s="102" t="s">
        <v>220</v>
      </c>
      <c r="I286" s="102">
        <v>1</v>
      </c>
      <c r="J286" s="102">
        <v>1.8</v>
      </c>
      <c r="K286" s="102">
        <v>1.3</v>
      </c>
      <c r="L286" s="102">
        <v>2.2999999999999998</v>
      </c>
      <c r="M286" s="102">
        <v>1</v>
      </c>
      <c r="N286" s="93" t="s">
        <v>221</v>
      </c>
      <c r="O286" s="104">
        <f t="shared" si="42"/>
        <v>2.2999999999999998</v>
      </c>
      <c r="P286" s="118">
        <v>44861</v>
      </c>
      <c r="Q286" s="118">
        <v>44870</v>
      </c>
      <c r="R286" s="105">
        <v>1</v>
      </c>
      <c r="S286" s="105">
        <v>1</v>
      </c>
      <c r="T286" s="105">
        <v>1</v>
      </c>
      <c r="U286" s="106">
        <f>IF(ISBLANK(Table1[[#This Row],[OHC Date]]),$B$7-Table1[[#This Row],[HOC Date]]+1,Table1[[#This Row],[OHC Date]]-Table1[[#This Row],[HOC Date]]+1)/7</f>
        <v>1.4285714285714286</v>
      </c>
      <c r="V286" s="107">
        <v>63.34</v>
      </c>
      <c r="W286" s="107">
        <v>7.28</v>
      </c>
      <c r="X286" s="107">
        <f>ROUND(0.7*Table1[[#This Row],[E&amp;D Rate per unit]]*R286*Table1[[#This Row],[Quantity]],2)</f>
        <v>101.98</v>
      </c>
      <c r="Y286" s="107">
        <f t="shared" si="43"/>
        <v>23.92</v>
      </c>
      <c r="Z286" s="107">
        <f>ROUND(0.3*T286*Table1[[#This Row],[E&amp;D Rate per unit]]*Table1[[#This Row],[Quantity]],2)</f>
        <v>43.7</v>
      </c>
      <c r="AA286" s="107">
        <f t="shared" si="44"/>
        <v>169.6</v>
      </c>
      <c r="AB286" s="126">
        <v>169.6</v>
      </c>
      <c r="AC286" s="126">
        <f>Table1[[#This Row],[Total Amount]]-Table1[[#This Row],[Previous Amount]]</f>
        <v>0</v>
      </c>
      <c r="AD286" s="108"/>
    </row>
    <row r="287" spans="1:30" ht="30" customHeight="1" x14ac:dyDescent="0.3">
      <c r="A287" s="92" t="s">
        <v>89</v>
      </c>
      <c r="B287" s="92" t="s">
        <v>96</v>
      </c>
      <c r="C287" s="102">
        <v>20</v>
      </c>
      <c r="D287" s="102">
        <v>74641</v>
      </c>
      <c r="E287" s="102">
        <v>76817</v>
      </c>
      <c r="F287" s="17" t="s">
        <v>384</v>
      </c>
      <c r="G287" s="17" t="s">
        <v>200</v>
      </c>
      <c r="H287" s="16" t="s">
        <v>220</v>
      </c>
      <c r="I287" s="102">
        <v>1</v>
      </c>
      <c r="J287" s="102">
        <v>2.5</v>
      </c>
      <c r="K287" s="102">
        <v>2.5</v>
      </c>
      <c r="L287" s="102">
        <v>5.5</v>
      </c>
      <c r="M287" s="102">
        <v>1</v>
      </c>
      <c r="N287" s="93" t="s">
        <v>221</v>
      </c>
      <c r="O287" s="104">
        <f t="shared" si="42"/>
        <v>5.5</v>
      </c>
      <c r="P287" s="118">
        <v>44865</v>
      </c>
      <c r="Q287" s="118">
        <v>44876</v>
      </c>
      <c r="R287" s="105">
        <v>1</v>
      </c>
      <c r="S287" s="105">
        <v>1</v>
      </c>
      <c r="T287" s="105">
        <v>1</v>
      </c>
      <c r="U287" s="106">
        <f>IF(ISBLANK(Table1[[#This Row],[OHC Date]]),$B$7-Table1[[#This Row],[HOC Date]]+1,Table1[[#This Row],[OHC Date]]-Table1[[#This Row],[HOC Date]]+1)/7</f>
        <v>1.7142857142857142</v>
      </c>
      <c r="V287" s="107">
        <v>63.34</v>
      </c>
      <c r="W287" s="107">
        <v>7.28</v>
      </c>
      <c r="X287" s="107">
        <f>ROUND(0.7*Table1[[#This Row],[E&amp;D Rate per unit]]*R287*Table1[[#This Row],[Quantity]],2)</f>
        <v>243.86</v>
      </c>
      <c r="Y287" s="107">
        <f t="shared" si="43"/>
        <v>68.64</v>
      </c>
      <c r="Z287" s="107">
        <f>ROUND(0.3*T287*Table1[[#This Row],[E&amp;D Rate per unit]]*Table1[[#This Row],[Quantity]],2)</f>
        <v>104.51</v>
      </c>
      <c r="AA287" s="107">
        <f t="shared" si="44"/>
        <v>417.01</v>
      </c>
      <c r="AB287" s="126">
        <v>417.01</v>
      </c>
      <c r="AC287" s="126">
        <f>Table1[[#This Row],[Total Amount]]-Table1[[#This Row],[Previous Amount]]</f>
        <v>0</v>
      </c>
      <c r="AD287" s="108"/>
    </row>
    <row r="288" spans="1:30" ht="30" customHeight="1" x14ac:dyDescent="0.3">
      <c r="A288" s="101" t="s">
        <v>95</v>
      </c>
      <c r="B288" s="92" t="s">
        <v>96</v>
      </c>
      <c r="C288" s="102">
        <v>21</v>
      </c>
      <c r="D288" s="102">
        <v>74644</v>
      </c>
      <c r="E288" s="102"/>
      <c r="F288" s="103" t="s">
        <v>281</v>
      </c>
      <c r="G288" s="17" t="s">
        <v>163</v>
      </c>
      <c r="H288" s="102" t="s">
        <v>298</v>
      </c>
      <c r="I288" s="102">
        <v>1</v>
      </c>
      <c r="J288" s="102">
        <v>23.5</v>
      </c>
      <c r="K288" s="102">
        <v>1.8</v>
      </c>
      <c r="L288" s="102">
        <v>4</v>
      </c>
      <c r="M288" s="102">
        <v>1</v>
      </c>
      <c r="N288" s="104" t="s">
        <v>283</v>
      </c>
      <c r="O288" s="104">
        <f t="shared" si="42"/>
        <v>23.5</v>
      </c>
      <c r="P288" s="118">
        <v>44865</v>
      </c>
      <c r="Q288" s="118"/>
      <c r="R288" s="105">
        <v>1</v>
      </c>
      <c r="S288" s="105">
        <v>1</v>
      </c>
      <c r="T288" s="105">
        <v>0</v>
      </c>
      <c r="U288" s="106">
        <f>IF(ISBLANK(Table1[[#This Row],[OHC Date]]),$B$7-Table1[[#This Row],[HOC Date]]+1,Table1[[#This Row],[OHC Date]]-Table1[[#This Row],[HOC Date]]+1)/7</f>
        <v>12.428571428571429</v>
      </c>
      <c r="V288" s="107">
        <v>1002.22</v>
      </c>
      <c r="W288" s="107">
        <v>98.12</v>
      </c>
      <c r="X288" s="107">
        <f>ROUND(0.7*Table1[[#This Row],[E&amp;D Rate per unit]]*R288*Table1[[#This Row],[Quantity]],2)</f>
        <v>16486.52</v>
      </c>
      <c r="Y288" s="107">
        <f>ROUND(O288*U288*W288*S288,2)</f>
        <v>28658.05</v>
      </c>
      <c r="Z288" s="107">
        <f>ROUND(0.3*T288*Table1[[#This Row],[E&amp;D Rate per unit]]*Table1[[#This Row],[Quantity]],2)</f>
        <v>0</v>
      </c>
      <c r="AA288" s="107">
        <f t="shared" si="44"/>
        <v>45144.57</v>
      </c>
      <c r="AB288" s="129">
        <v>34933.08</v>
      </c>
      <c r="AC288" s="126">
        <f>Table1[[#This Row],[Total Amount]]-Table1[[#This Row],[Previous Amount]]</f>
        <v>10211.489999999998</v>
      </c>
      <c r="AD288" s="108" t="s">
        <v>282</v>
      </c>
    </row>
    <row r="289" spans="1:30" ht="30" customHeight="1" x14ac:dyDescent="0.3">
      <c r="A289" s="101" t="s">
        <v>95</v>
      </c>
      <c r="B289" s="92" t="s">
        <v>96</v>
      </c>
      <c r="C289" s="102">
        <v>21</v>
      </c>
      <c r="D289" s="102"/>
      <c r="E289" s="102"/>
      <c r="F289" s="103" t="s">
        <v>281</v>
      </c>
      <c r="G289" s="17" t="s">
        <v>163</v>
      </c>
      <c r="H289" s="102" t="s">
        <v>297</v>
      </c>
      <c r="I289" s="102">
        <v>1</v>
      </c>
      <c r="J289" s="102"/>
      <c r="K289" s="102"/>
      <c r="L289" s="102"/>
      <c r="M289" s="102"/>
      <c r="N289" s="104" t="s">
        <v>56</v>
      </c>
      <c r="O289" s="104">
        <f>ROUND(IF(N289="m3",I289*J289*K289*L289,IF(N289="m2-LxH",I289*J289*L289,IF(N289="m2-LxW",I289*J289*K289,IF(N289="rm",I289*L289,IF(N289="lm",I289*J289,IF(N289="unit",I289,"NA")))))),2)</f>
        <v>1</v>
      </c>
      <c r="P289" s="118">
        <v>44865</v>
      </c>
      <c r="Q289" s="118">
        <v>44865</v>
      </c>
      <c r="R289" s="105">
        <v>1</v>
      </c>
      <c r="S289" s="105">
        <v>1</v>
      </c>
      <c r="T289" s="105">
        <v>1</v>
      </c>
      <c r="U289" s="106">
        <f>IF(ISBLANK(Table1[[#This Row],[OHC Date]]),$B$7-Table1[[#This Row],[HOC Date]]+1,Table1[[#This Row],[OHC Date]]-Table1[[#This Row],[HOC Date]]+1)/7</f>
        <v>0.14285714285714285</v>
      </c>
      <c r="V289" s="107">
        <v>1230</v>
      </c>
      <c r="W289" s="107">
        <v>0</v>
      </c>
      <c r="X289" s="107">
        <v>1230</v>
      </c>
      <c r="Y289" s="107">
        <f>ROUND(O289*U289*W289*S289,2)</f>
        <v>0</v>
      </c>
      <c r="Z289" s="107">
        <v>0</v>
      </c>
      <c r="AA289" s="107">
        <f>ROUND(X289+Z289+Y289,2)</f>
        <v>1230</v>
      </c>
      <c r="AB289" s="129">
        <v>1230</v>
      </c>
      <c r="AC289" s="126">
        <f>Table1[[#This Row],[Total Amount]]-Table1[[#This Row],[Previous Amount]]</f>
        <v>0</v>
      </c>
      <c r="AD289" s="108" t="s">
        <v>296</v>
      </c>
    </row>
    <row r="290" spans="1:30" ht="30" customHeight="1" x14ac:dyDescent="0.3">
      <c r="A290" s="92" t="s">
        <v>89</v>
      </c>
      <c r="B290" s="92" t="s">
        <v>96</v>
      </c>
      <c r="C290" s="102">
        <v>22</v>
      </c>
      <c r="D290" s="102">
        <v>74642</v>
      </c>
      <c r="E290" s="102">
        <v>76818</v>
      </c>
      <c r="F290" s="103" t="s">
        <v>325</v>
      </c>
      <c r="G290" s="17" t="s">
        <v>200</v>
      </c>
      <c r="H290" s="102" t="s">
        <v>220</v>
      </c>
      <c r="I290" s="102">
        <v>1</v>
      </c>
      <c r="J290" s="102">
        <v>2.5</v>
      </c>
      <c r="K290" s="102">
        <v>2.5</v>
      </c>
      <c r="L290" s="102">
        <v>5.5</v>
      </c>
      <c r="M290" s="102">
        <v>1</v>
      </c>
      <c r="N290" s="104" t="s">
        <v>221</v>
      </c>
      <c r="O290" s="104">
        <f t="shared" si="42"/>
        <v>5.5</v>
      </c>
      <c r="P290" s="118">
        <v>44865</v>
      </c>
      <c r="Q290" s="118">
        <v>44876</v>
      </c>
      <c r="R290" s="105">
        <v>1</v>
      </c>
      <c r="S290" s="105">
        <v>1</v>
      </c>
      <c r="T290" s="105">
        <v>1</v>
      </c>
      <c r="U290" s="106">
        <f>IF(ISBLANK(Table1[[#This Row],[OHC Date]]),$B$7-Table1[[#This Row],[HOC Date]]+1,Table1[[#This Row],[OHC Date]]-Table1[[#This Row],[HOC Date]]+1)/7</f>
        <v>1.7142857142857142</v>
      </c>
      <c r="V290" s="107">
        <v>63.34</v>
      </c>
      <c r="W290" s="107">
        <v>7.28</v>
      </c>
      <c r="X290" s="107">
        <f>ROUND(0.7*Table1[[#This Row],[E&amp;D Rate per unit]]*R290*Table1[[#This Row],[Quantity]],2)</f>
        <v>243.86</v>
      </c>
      <c r="Y290" s="107">
        <f t="shared" si="43"/>
        <v>68.64</v>
      </c>
      <c r="Z290" s="107">
        <f>ROUND(0.3*T290*Table1[[#This Row],[E&amp;D Rate per unit]]*Table1[[#This Row],[Quantity]],2)</f>
        <v>104.51</v>
      </c>
      <c r="AA290" s="107">
        <f t="shared" si="44"/>
        <v>417.01</v>
      </c>
      <c r="AB290" s="126">
        <v>417.01</v>
      </c>
      <c r="AC290" s="126">
        <f>Table1[[#This Row],[Total Amount]]-Table1[[#This Row],[Previous Amount]]</f>
        <v>0</v>
      </c>
      <c r="AD290" s="108"/>
    </row>
    <row r="291" spans="1:30" ht="30" customHeight="1" x14ac:dyDescent="0.3">
      <c r="A291" s="92" t="s">
        <v>89</v>
      </c>
      <c r="B291" s="92" t="s">
        <v>96</v>
      </c>
      <c r="C291" s="102">
        <v>23</v>
      </c>
      <c r="D291" s="102">
        <v>74643</v>
      </c>
      <c r="E291" s="102">
        <v>76819</v>
      </c>
      <c r="F291" s="103" t="s">
        <v>325</v>
      </c>
      <c r="G291" s="17" t="s">
        <v>200</v>
      </c>
      <c r="H291" s="102" t="s">
        <v>220</v>
      </c>
      <c r="I291" s="102">
        <v>1</v>
      </c>
      <c r="J291" s="102">
        <v>2.5</v>
      </c>
      <c r="K291" s="102">
        <v>2.5</v>
      </c>
      <c r="L291" s="102">
        <v>5.5</v>
      </c>
      <c r="M291" s="102">
        <v>1</v>
      </c>
      <c r="N291" s="104" t="s">
        <v>221</v>
      </c>
      <c r="O291" s="104">
        <f t="shared" si="42"/>
        <v>5.5</v>
      </c>
      <c r="P291" s="118">
        <v>44865</v>
      </c>
      <c r="Q291" s="118">
        <v>44877</v>
      </c>
      <c r="R291" s="105">
        <v>1</v>
      </c>
      <c r="S291" s="105">
        <v>1</v>
      </c>
      <c r="T291" s="105">
        <v>1</v>
      </c>
      <c r="U291" s="106">
        <f>IF(ISBLANK(Table1[[#This Row],[OHC Date]]),$B$7-Table1[[#This Row],[HOC Date]]+1,Table1[[#This Row],[OHC Date]]-Table1[[#This Row],[HOC Date]]+1)/7</f>
        <v>1.8571428571428572</v>
      </c>
      <c r="V291" s="107">
        <v>63.34</v>
      </c>
      <c r="W291" s="107">
        <v>7.28</v>
      </c>
      <c r="X291" s="107">
        <f>ROUND(0.7*Table1[[#This Row],[E&amp;D Rate per unit]]*R291*Table1[[#This Row],[Quantity]],2)</f>
        <v>243.86</v>
      </c>
      <c r="Y291" s="107">
        <f t="shared" si="43"/>
        <v>74.36</v>
      </c>
      <c r="Z291" s="107">
        <f>ROUND(0.3*T291*Table1[[#This Row],[E&amp;D Rate per unit]]*Table1[[#This Row],[Quantity]],2)</f>
        <v>104.51</v>
      </c>
      <c r="AA291" s="107">
        <f t="shared" si="44"/>
        <v>422.73</v>
      </c>
      <c r="AB291" s="126">
        <v>422.73</v>
      </c>
      <c r="AC291" s="126">
        <f>Table1[[#This Row],[Total Amount]]-Table1[[#This Row],[Previous Amount]]</f>
        <v>0</v>
      </c>
      <c r="AD291" s="108"/>
    </row>
    <row r="292" spans="1:30" ht="30" customHeight="1" x14ac:dyDescent="0.3">
      <c r="A292" s="92" t="s">
        <v>89</v>
      </c>
      <c r="B292" s="92" t="s">
        <v>96</v>
      </c>
      <c r="C292" s="102" t="s">
        <v>385</v>
      </c>
      <c r="D292" s="102">
        <v>74645</v>
      </c>
      <c r="E292" s="102">
        <v>76821</v>
      </c>
      <c r="F292" s="103" t="s">
        <v>386</v>
      </c>
      <c r="G292" s="17" t="s">
        <v>163</v>
      </c>
      <c r="H292" s="102" t="s">
        <v>176</v>
      </c>
      <c r="I292" s="102">
        <v>1</v>
      </c>
      <c r="J292" s="102">
        <v>23.5</v>
      </c>
      <c r="K292" s="102">
        <v>1</v>
      </c>
      <c r="L292" s="102">
        <v>1</v>
      </c>
      <c r="M292" s="102">
        <v>1</v>
      </c>
      <c r="N292" s="104" t="s">
        <v>160</v>
      </c>
      <c r="O292" s="104">
        <f t="shared" si="42"/>
        <v>23.5</v>
      </c>
      <c r="P292" s="118">
        <v>44865</v>
      </c>
      <c r="Q292" s="118">
        <v>44876</v>
      </c>
      <c r="R292" s="105">
        <v>1</v>
      </c>
      <c r="S292" s="105">
        <v>1</v>
      </c>
      <c r="T292" s="105">
        <v>1</v>
      </c>
      <c r="U292" s="106">
        <f>IF(ISBLANK(Table1[[#This Row],[OHC Date]]),$B$7-Table1[[#This Row],[HOC Date]]+1,Table1[[#This Row],[OHC Date]]-Table1[[#This Row],[HOC Date]]+1)/7</f>
        <v>1.7142857142857142</v>
      </c>
      <c r="V292" s="107">
        <v>6.63</v>
      </c>
      <c r="W292" s="107">
        <v>0.7</v>
      </c>
      <c r="X292" s="107">
        <f>ROUND(0.7*Table1[[#This Row],[E&amp;D Rate per unit]]*R292*Table1[[#This Row],[Quantity]],2)</f>
        <v>109.06</v>
      </c>
      <c r="Y292" s="107">
        <f t="shared" si="43"/>
        <v>28.2</v>
      </c>
      <c r="Z292" s="107">
        <f>ROUND(0.3*T292*Table1[[#This Row],[E&amp;D Rate per unit]]*Table1[[#This Row],[Quantity]],2)</f>
        <v>46.74</v>
      </c>
      <c r="AA292" s="107">
        <f t="shared" si="44"/>
        <v>184</v>
      </c>
      <c r="AB292" s="126">
        <v>184</v>
      </c>
      <c r="AC292" s="126">
        <f>Table1[[#This Row],[Total Amount]]-Table1[[#This Row],[Previous Amount]]</f>
        <v>0</v>
      </c>
      <c r="AD292" s="108"/>
    </row>
    <row r="293" spans="1:30" ht="30" customHeight="1" x14ac:dyDescent="0.3">
      <c r="A293" s="92" t="s">
        <v>89</v>
      </c>
      <c r="B293" s="92" t="s">
        <v>96</v>
      </c>
      <c r="C293" s="102">
        <v>24</v>
      </c>
      <c r="D293" s="102">
        <v>74646</v>
      </c>
      <c r="E293" s="102">
        <v>76820</v>
      </c>
      <c r="F293" s="103" t="s">
        <v>325</v>
      </c>
      <c r="G293" s="17" t="s">
        <v>200</v>
      </c>
      <c r="H293" s="102" t="s">
        <v>118</v>
      </c>
      <c r="I293" s="102">
        <v>1</v>
      </c>
      <c r="J293" s="102">
        <v>3.8</v>
      </c>
      <c r="K293" s="102">
        <v>2.5</v>
      </c>
      <c r="L293" s="102">
        <v>4.5</v>
      </c>
      <c r="M293" s="102">
        <v>1</v>
      </c>
      <c r="N293" s="104" t="s">
        <v>206</v>
      </c>
      <c r="O293" s="104">
        <f t="shared" si="42"/>
        <v>17.100000000000001</v>
      </c>
      <c r="P293" s="118">
        <v>44866</v>
      </c>
      <c r="Q293" s="118">
        <v>44876</v>
      </c>
      <c r="R293" s="105">
        <v>1</v>
      </c>
      <c r="S293" s="105">
        <v>1</v>
      </c>
      <c r="T293" s="105">
        <v>1</v>
      </c>
      <c r="U293" s="106">
        <f>IF(ISBLANK(Table1[[#This Row],[OHC Date]]),$B$7-Table1[[#This Row],[HOC Date]]+1,Table1[[#This Row],[OHC Date]]-Table1[[#This Row],[HOC Date]]+1)/7</f>
        <v>1.5714285714285714</v>
      </c>
      <c r="V293" s="107">
        <v>16.760000000000002</v>
      </c>
      <c r="W293" s="107">
        <v>0.77</v>
      </c>
      <c r="X293" s="107">
        <f>ROUND(0.7*Table1[[#This Row],[E&amp;D Rate per unit]]*R293*Table1[[#This Row],[Quantity]],2)</f>
        <v>200.62</v>
      </c>
      <c r="Y293" s="107">
        <f t="shared" si="43"/>
        <v>20.69</v>
      </c>
      <c r="Z293" s="107">
        <f>ROUND(0.3*T293*Table1[[#This Row],[E&amp;D Rate per unit]]*Table1[[#This Row],[Quantity]],2)</f>
        <v>85.98</v>
      </c>
      <c r="AA293" s="107">
        <f t="shared" si="44"/>
        <v>307.29000000000002</v>
      </c>
      <c r="AB293" s="126">
        <v>307.29000000000002</v>
      </c>
      <c r="AC293" s="126">
        <f>Table1[[#This Row],[Total Amount]]-Table1[[#This Row],[Previous Amount]]</f>
        <v>0</v>
      </c>
      <c r="AD293" s="108"/>
    </row>
    <row r="294" spans="1:30" ht="30" customHeight="1" x14ac:dyDescent="0.3">
      <c r="A294" s="92" t="s">
        <v>89</v>
      </c>
      <c r="B294" s="92" t="s">
        <v>96</v>
      </c>
      <c r="C294" s="102" t="s">
        <v>387</v>
      </c>
      <c r="D294" s="102">
        <v>74647</v>
      </c>
      <c r="E294" s="102">
        <v>80835</v>
      </c>
      <c r="F294" s="103" t="s">
        <v>388</v>
      </c>
      <c r="G294" s="17" t="s">
        <v>276</v>
      </c>
      <c r="H294" s="102" t="s">
        <v>126</v>
      </c>
      <c r="I294" s="102">
        <v>1</v>
      </c>
      <c r="J294" s="102">
        <v>1.5</v>
      </c>
      <c r="K294" s="102">
        <v>0.5</v>
      </c>
      <c r="L294" s="102">
        <v>1</v>
      </c>
      <c r="M294" s="102">
        <v>1</v>
      </c>
      <c r="N294" s="104" t="s">
        <v>160</v>
      </c>
      <c r="O294" s="104">
        <f t="shared" si="42"/>
        <v>0.75</v>
      </c>
      <c r="P294" s="118">
        <v>44866</v>
      </c>
      <c r="Q294" s="118">
        <v>44916</v>
      </c>
      <c r="R294" s="105">
        <v>1</v>
      </c>
      <c r="S294" s="105">
        <v>1</v>
      </c>
      <c r="T294" s="105">
        <v>1</v>
      </c>
      <c r="U294" s="106">
        <f>IF(ISBLANK(Table1[[#This Row],[OHC Date]]),$B$7-Table1[[#This Row],[HOC Date]]+1,Table1[[#This Row],[OHC Date]]-Table1[[#This Row],[HOC Date]]+1)/7</f>
        <v>7.2857142857142856</v>
      </c>
      <c r="V294" s="107">
        <v>32.75</v>
      </c>
      <c r="W294" s="107">
        <v>1.05</v>
      </c>
      <c r="X294" s="107">
        <f>ROUND(0.7*Table1[[#This Row],[E&amp;D Rate per unit]]*R294*Table1[[#This Row],[Quantity]],2)</f>
        <v>17.190000000000001</v>
      </c>
      <c r="Y294" s="107">
        <f t="shared" si="43"/>
        <v>5.74</v>
      </c>
      <c r="Z294" s="107">
        <f>ROUND(0.3*T294*Table1[[#This Row],[E&amp;D Rate per unit]]*Table1[[#This Row],[Quantity]],2)</f>
        <v>7.37</v>
      </c>
      <c r="AA294" s="107">
        <f t="shared" si="44"/>
        <v>30.3</v>
      </c>
      <c r="AB294" s="126">
        <v>30.3</v>
      </c>
      <c r="AC294" s="126">
        <f>Table1[[#This Row],[Total Amount]]-Table1[[#This Row],[Previous Amount]]</f>
        <v>0</v>
      </c>
      <c r="AD294" s="108"/>
    </row>
    <row r="295" spans="1:30" ht="30" customHeight="1" x14ac:dyDescent="0.3">
      <c r="A295" s="92" t="s">
        <v>89</v>
      </c>
      <c r="B295" s="92" t="s">
        <v>96</v>
      </c>
      <c r="C295" s="102" t="s">
        <v>389</v>
      </c>
      <c r="D295" s="102">
        <v>74648</v>
      </c>
      <c r="E295" s="102">
        <v>80805</v>
      </c>
      <c r="F295" s="103" t="s">
        <v>390</v>
      </c>
      <c r="G295" s="17" t="s">
        <v>274</v>
      </c>
      <c r="H295" s="102" t="s">
        <v>126</v>
      </c>
      <c r="I295" s="102">
        <v>1</v>
      </c>
      <c r="J295" s="102">
        <v>1.5</v>
      </c>
      <c r="K295" s="102">
        <v>0.5</v>
      </c>
      <c r="L295" s="102">
        <v>1</v>
      </c>
      <c r="M295" s="102">
        <v>1</v>
      </c>
      <c r="N295" s="104" t="s">
        <v>160</v>
      </c>
      <c r="O295" s="104">
        <f t="shared" si="42"/>
        <v>0.75</v>
      </c>
      <c r="P295" s="118">
        <v>44866</v>
      </c>
      <c r="Q295" s="118">
        <v>44910</v>
      </c>
      <c r="R295" s="105">
        <v>1</v>
      </c>
      <c r="S295" s="105">
        <v>1</v>
      </c>
      <c r="T295" s="105">
        <v>1</v>
      </c>
      <c r="U295" s="106">
        <f>IF(ISBLANK(Table1[[#This Row],[OHC Date]]),$B$7-Table1[[#This Row],[HOC Date]]+1,Table1[[#This Row],[OHC Date]]-Table1[[#This Row],[HOC Date]]+1)/7</f>
        <v>6.4285714285714288</v>
      </c>
      <c r="V295" s="107">
        <v>32.75</v>
      </c>
      <c r="W295" s="107">
        <v>1.05</v>
      </c>
      <c r="X295" s="107">
        <f>ROUND(0.7*Table1[[#This Row],[E&amp;D Rate per unit]]*R295*Table1[[#This Row],[Quantity]],2)</f>
        <v>17.190000000000001</v>
      </c>
      <c r="Y295" s="107">
        <f t="shared" si="43"/>
        <v>5.0599999999999996</v>
      </c>
      <c r="Z295" s="107">
        <f>ROUND(0.3*T295*Table1[[#This Row],[E&amp;D Rate per unit]]*Table1[[#This Row],[Quantity]],2)</f>
        <v>7.37</v>
      </c>
      <c r="AA295" s="107">
        <f t="shared" si="44"/>
        <v>29.62</v>
      </c>
      <c r="AB295" s="126">
        <v>29.62</v>
      </c>
      <c r="AC295" s="126">
        <f>Table1[[#This Row],[Total Amount]]-Table1[[#This Row],[Previous Amount]]</f>
        <v>0</v>
      </c>
      <c r="AD295" s="108"/>
    </row>
    <row r="296" spans="1:30" ht="30" customHeight="1" x14ac:dyDescent="0.3">
      <c r="A296" s="92" t="s">
        <v>89</v>
      </c>
      <c r="B296" s="92" t="s">
        <v>96</v>
      </c>
      <c r="C296" s="102" t="s">
        <v>391</v>
      </c>
      <c r="D296" s="102">
        <v>74649</v>
      </c>
      <c r="E296" s="102">
        <v>80806</v>
      </c>
      <c r="F296" s="103" t="s">
        <v>392</v>
      </c>
      <c r="G296" s="17" t="s">
        <v>278</v>
      </c>
      <c r="H296" s="102" t="s">
        <v>126</v>
      </c>
      <c r="I296" s="102">
        <v>1</v>
      </c>
      <c r="J296" s="102">
        <v>1.5</v>
      </c>
      <c r="K296" s="102">
        <v>0.5</v>
      </c>
      <c r="L296" s="102">
        <v>1</v>
      </c>
      <c r="M296" s="102">
        <v>1</v>
      </c>
      <c r="N296" s="104" t="s">
        <v>160</v>
      </c>
      <c r="O296" s="104">
        <f t="shared" si="42"/>
        <v>0.75</v>
      </c>
      <c r="P296" s="118">
        <v>44867</v>
      </c>
      <c r="Q296" s="118">
        <v>44910</v>
      </c>
      <c r="R296" s="105">
        <v>1</v>
      </c>
      <c r="S296" s="105">
        <v>1</v>
      </c>
      <c r="T296" s="105">
        <v>1</v>
      </c>
      <c r="U296" s="106">
        <f>IF(ISBLANK(Table1[[#This Row],[OHC Date]]),$B$7-Table1[[#This Row],[HOC Date]]+1,Table1[[#This Row],[OHC Date]]-Table1[[#This Row],[HOC Date]]+1)/7</f>
        <v>6.2857142857142856</v>
      </c>
      <c r="V296" s="107">
        <v>32.75</v>
      </c>
      <c r="W296" s="107">
        <v>1.05</v>
      </c>
      <c r="X296" s="107">
        <f>ROUND(0.7*Table1[[#This Row],[E&amp;D Rate per unit]]*R296*Table1[[#This Row],[Quantity]],2)</f>
        <v>17.190000000000001</v>
      </c>
      <c r="Y296" s="107">
        <f t="shared" si="43"/>
        <v>4.95</v>
      </c>
      <c r="Z296" s="107">
        <f>ROUND(0.3*T296*Table1[[#This Row],[E&amp;D Rate per unit]]*Table1[[#This Row],[Quantity]],2)</f>
        <v>7.37</v>
      </c>
      <c r="AA296" s="107">
        <f t="shared" si="44"/>
        <v>29.51</v>
      </c>
      <c r="AB296" s="126">
        <v>29.51</v>
      </c>
      <c r="AC296" s="126">
        <f>Table1[[#This Row],[Total Amount]]-Table1[[#This Row],[Previous Amount]]</f>
        <v>0</v>
      </c>
      <c r="AD296" s="108"/>
    </row>
    <row r="297" spans="1:30" ht="30" customHeight="1" x14ac:dyDescent="0.3">
      <c r="A297" s="92" t="s">
        <v>89</v>
      </c>
      <c r="B297" s="92" t="s">
        <v>96</v>
      </c>
      <c r="C297" s="102">
        <v>25</v>
      </c>
      <c r="D297" s="102">
        <v>77601</v>
      </c>
      <c r="E297" s="102">
        <v>80807</v>
      </c>
      <c r="F297" s="103" t="s">
        <v>393</v>
      </c>
      <c r="G297" s="17" t="s">
        <v>226</v>
      </c>
      <c r="H297" s="102" t="s">
        <v>205</v>
      </c>
      <c r="I297" s="102">
        <v>1</v>
      </c>
      <c r="J297" s="102">
        <v>9.3000000000000007</v>
      </c>
      <c r="K297" s="102">
        <v>1.3</v>
      </c>
      <c r="L297" s="102">
        <v>6</v>
      </c>
      <c r="M297" s="102">
        <v>1</v>
      </c>
      <c r="N297" s="104" t="s">
        <v>206</v>
      </c>
      <c r="O297" s="104">
        <f t="shared" si="42"/>
        <v>55.8</v>
      </c>
      <c r="P297" s="118">
        <v>44867</v>
      </c>
      <c r="Q297" s="118">
        <v>44910</v>
      </c>
      <c r="R297" s="105">
        <v>1</v>
      </c>
      <c r="S297" s="105">
        <v>1</v>
      </c>
      <c r="T297" s="105">
        <v>1</v>
      </c>
      <c r="U297" s="106">
        <f>IF(ISBLANK(Table1[[#This Row],[OHC Date]]),$B$7-Table1[[#This Row],[HOC Date]]+1,Table1[[#This Row],[OHC Date]]-Table1[[#This Row],[HOC Date]]+1)/7</f>
        <v>6.2857142857142856</v>
      </c>
      <c r="V297" s="107">
        <v>12.01</v>
      </c>
      <c r="W297" s="107">
        <v>0.49</v>
      </c>
      <c r="X297" s="107">
        <f>ROUND(0.7*Table1[[#This Row],[E&amp;D Rate per unit]]*R297*Table1[[#This Row],[Quantity]],2)</f>
        <v>469.11</v>
      </c>
      <c r="Y297" s="107">
        <f t="shared" si="43"/>
        <v>171.86</v>
      </c>
      <c r="Z297" s="107">
        <f>ROUND(0.3*T297*Table1[[#This Row],[E&amp;D Rate per unit]]*Table1[[#This Row],[Quantity]],2)</f>
        <v>201.05</v>
      </c>
      <c r="AA297" s="107">
        <f t="shared" si="44"/>
        <v>842.02</v>
      </c>
      <c r="AB297" s="126">
        <v>842.02</v>
      </c>
      <c r="AC297" s="126">
        <f>Table1[[#This Row],[Total Amount]]-Table1[[#This Row],[Previous Amount]]</f>
        <v>0</v>
      </c>
      <c r="AD297" s="108"/>
    </row>
    <row r="298" spans="1:30" ht="30" customHeight="1" x14ac:dyDescent="0.3">
      <c r="A298" s="92" t="s">
        <v>89</v>
      </c>
      <c r="B298" s="92" t="s">
        <v>96</v>
      </c>
      <c r="C298" s="102">
        <v>25</v>
      </c>
      <c r="D298" s="102">
        <v>77601</v>
      </c>
      <c r="E298" s="102">
        <v>80807</v>
      </c>
      <c r="F298" s="103" t="s">
        <v>393</v>
      </c>
      <c r="G298" s="17" t="s">
        <v>226</v>
      </c>
      <c r="H298" s="102" t="s">
        <v>176</v>
      </c>
      <c r="I298" s="102">
        <v>1</v>
      </c>
      <c r="J298" s="102">
        <v>9.3000000000000007</v>
      </c>
      <c r="K298" s="102">
        <v>1.3</v>
      </c>
      <c r="L298" s="102">
        <v>1</v>
      </c>
      <c r="M298" s="102">
        <v>1</v>
      </c>
      <c r="N298" s="104" t="s">
        <v>160</v>
      </c>
      <c r="O298" s="104">
        <f t="shared" ref="O298" si="45">ROUND(IF(N298="m3",I298*J298*K298*L298,IF(N298="m2-LxH",I298*J298*L298,IF(N298="m2-LxW",I298*J298*K298,IF(N298="rm",I298*L298,IF(N298="lm",I298*J298,IF(N298="unit",I298,"NA")))))),2)</f>
        <v>12.09</v>
      </c>
      <c r="P298" s="118">
        <v>44867</v>
      </c>
      <c r="Q298" s="118">
        <v>44910</v>
      </c>
      <c r="R298" s="105">
        <v>1</v>
      </c>
      <c r="S298" s="105">
        <v>1</v>
      </c>
      <c r="T298" s="105">
        <v>1</v>
      </c>
      <c r="U298" s="106">
        <f>IF(ISBLANK(Table1[[#This Row],[OHC Date]]),$B$7-Table1[[#This Row],[HOC Date]]+1,Table1[[#This Row],[OHC Date]]-Table1[[#This Row],[HOC Date]]+1)/7</f>
        <v>6.2857142857142856</v>
      </c>
      <c r="V298" s="107">
        <v>6.63</v>
      </c>
      <c r="W298" s="107">
        <v>0.7</v>
      </c>
      <c r="X298" s="107">
        <f>ROUND(0.7*Table1[[#This Row],[E&amp;D Rate per unit]]*R298*Table1[[#This Row],[Quantity]],2)</f>
        <v>56.11</v>
      </c>
      <c r="Y298" s="107">
        <f t="shared" ref="Y298" si="46">ROUND(O298*U298*W298*S298,2)</f>
        <v>53.2</v>
      </c>
      <c r="Z298" s="107">
        <f>ROUND(0.3*T298*Table1[[#This Row],[E&amp;D Rate per unit]]*Table1[[#This Row],[Quantity]],2)</f>
        <v>24.05</v>
      </c>
      <c r="AA298" s="107">
        <f t="shared" ref="AA298" si="47">ROUND(X298+Z298+Y298,2)</f>
        <v>133.36000000000001</v>
      </c>
      <c r="AB298" s="126">
        <v>133.36000000000001</v>
      </c>
      <c r="AC298" s="126">
        <f>Table1[[#This Row],[Total Amount]]-Table1[[#This Row],[Previous Amount]]</f>
        <v>0</v>
      </c>
      <c r="AD298" s="108"/>
    </row>
    <row r="299" spans="1:30" ht="30" customHeight="1" x14ac:dyDescent="0.3">
      <c r="A299" s="92" t="s">
        <v>89</v>
      </c>
      <c r="B299" s="92" t="s">
        <v>96</v>
      </c>
      <c r="C299" s="102" t="s">
        <v>394</v>
      </c>
      <c r="D299" s="102">
        <v>77602</v>
      </c>
      <c r="E299" s="102">
        <v>80808</v>
      </c>
      <c r="F299" s="103" t="s">
        <v>393</v>
      </c>
      <c r="G299" s="17" t="s">
        <v>226</v>
      </c>
      <c r="H299" s="102" t="s">
        <v>205</v>
      </c>
      <c r="I299" s="102">
        <v>1</v>
      </c>
      <c r="J299" s="102">
        <v>10.5</v>
      </c>
      <c r="K299" s="102">
        <v>1.3</v>
      </c>
      <c r="L299" s="102">
        <v>4</v>
      </c>
      <c r="M299" s="102">
        <v>1</v>
      </c>
      <c r="N299" s="104" t="s">
        <v>206</v>
      </c>
      <c r="O299" s="104">
        <f t="shared" si="42"/>
        <v>42</v>
      </c>
      <c r="P299" s="118">
        <v>44867</v>
      </c>
      <c r="Q299" s="118">
        <v>44910</v>
      </c>
      <c r="R299" s="105">
        <v>1</v>
      </c>
      <c r="S299" s="105">
        <v>1</v>
      </c>
      <c r="T299" s="105">
        <v>1</v>
      </c>
      <c r="U299" s="106">
        <f>IF(ISBLANK(Table1[[#This Row],[OHC Date]]),$B$7-Table1[[#This Row],[HOC Date]]+1,Table1[[#This Row],[OHC Date]]-Table1[[#This Row],[HOC Date]]+1)/7</f>
        <v>6.2857142857142856</v>
      </c>
      <c r="V299" s="107">
        <v>12.01</v>
      </c>
      <c r="W299" s="107">
        <v>0.49</v>
      </c>
      <c r="X299" s="107">
        <f>ROUND(0.7*Table1[[#This Row],[E&amp;D Rate per unit]]*R299*Table1[[#This Row],[Quantity]],2)</f>
        <v>353.09</v>
      </c>
      <c r="Y299" s="107">
        <f t="shared" si="43"/>
        <v>129.36000000000001</v>
      </c>
      <c r="Z299" s="107">
        <f>ROUND(0.3*T299*Table1[[#This Row],[E&amp;D Rate per unit]]*Table1[[#This Row],[Quantity]],2)</f>
        <v>151.33000000000001</v>
      </c>
      <c r="AA299" s="107">
        <f t="shared" si="44"/>
        <v>633.78</v>
      </c>
      <c r="AB299" s="126">
        <v>633.78</v>
      </c>
      <c r="AC299" s="126">
        <f>Table1[[#This Row],[Total Amount]]-Table1[[#This Row],[Previous Amount]]</f>
        <v>0</v>
      </c>
      <c r="AD299" s="108"/>
    </row>
    <row r="300" spans="1:30" ht="30" customHeight="1" x14ac:dyDescent="0.3">
      <c r="A300" s="92" t="s">
        <v>89</v>
      </c>
      <c r="B300" s="92" t="s">
        <v>96</v>
      </c>
      <c r="C300" s="102">
        <v>26</v>
      </c>
      <c r="D300" s="102">
        <v>77604</v>
      </c>
      <c r="E300" s="102">
        <v>80839</v>
      </c>
      <c r="F300" s="103" t="s">
        <v>395</v>
      </c>
      <c r="G300" s="17" t="s">
        <v>254</v>
      </c>
      <c r="H300" s="102" t="s">
        <v>205</v>
      </c>
      <c r="I300" s="102">
        <v>1</v>
      </c>
      <c r="J300" s="102">
        <v>6</v>
      </c>
      <c r="K300" s="102">
        <v>1.5</v>
      </c>
      <c r="L300" s="102">
        <v>2</v>
      </c>
      <c r="M300" s="102">
        <v>1</v>
      </c>
      <c r="N300" s="104" t="s">
        <v>206</v>
      </c>
      <c r="O300" s="104">
        <f t="shared" si="42"/>
        <v>12</v>
      </c>
      <c r="P300" s="118">
        <v>44869</v>
      </c>
      <c r="Q300" s="118">
        <v>44916</v>
      </c>
      <c r="R300" s="105">
        <v>1</v>
      </c>
      <c r="S300" s="105">
        <v>1</v>
      </c>
      <c r="T300" s="105">
        <v>1</v>
      </c>
      <c r="U300" s="106">
        <f>IF(ISBLANK(Table1[[#This Row],[OHC Date]]),$B$7-Table1[[#This Row],[HOC Date]]+1,Table1[[#This Row],[OHC Date]]-Table1[[#This Row],[HOC Date]]+1)/7</f>
        <v>6.8571428571428568</v>
      </c>
      <c r="V300" s="107">
        <v>12.01</v>
      </c>
      <c r="W300" s="107">
        <v>0.49</v>
      </c>
      <c r="X300" s="107">
        <f>ROUND(0.7*Table1[[#This Row],[E&amp;D Rate per unit]]*R300*Table1[[#This Row],[Quantity]],2)</f>
        <v>100.88</v>
      </c>
      <c r="Y300" s="107">
        <f t="shared" si="43"/>
        <v>40.32</v>
      </c>
      <c r="Z300" s="107">
        <f>ROUND(0.3*T300*Table1[[#This Row],[E&amp;D Rate per unit]]*Table1[[#This Row],[Quantity]],2)</f>
        <v>43.24</v>
      </c>
      <c r="AA300" s="107">
        <f t="shared" si="44"/>
        <v>184.44</v>
      </c>
      <c r="AB300" s="126">
        <v>184.44</v>
      </c>
      <c r="AC300" s="126">
        <f>Table1[[#This Row],[Total Amount]]-Table1[[#This Row],[Previous Amount]]</f>
        <v>0</v>
      </c>
      <c r="AD300" s="108"/>
    </row>
    <row r="301" spans="1:30" ht="30" customHeight="1" x14ac:dyDescent="0.3">
      <c r="A301" s="92" t="s">
        <v>89</v>
      </c>
      <c r="B301" s="92" t="s">
        <v>96</v>
      </c>
      <c r="C301" s="102" t="s">
        <v>396</v>
      </c>
      <c r="D301" s="102">
        <v>77605</v>
      </c>
      <c r="E301" s="102">
        <v>80840</v>
      </c>
      <c r="F301" s="103" t="s">
        <v>395</v>
      </c>
      <c r="G301" s="17" t="s">
        <v>254</v>
      </c>
      <c r="H301" s="102" t="s">
        <v>118</v>
      </c>
      <c r="I301" s="102">
        <v>1</v>
      </c>
      <c r="J301" s="102">
        <v>6</v>
      </c>
      <c r="K301" s="102">
        <v>2</v>
      </c>
      <c r="L301" s="102">
        <v>2.5</v>
      </c>
      <c r="M301" s="102">
        <v>1</v>
      </c>
      <c r="N301" s="104" t="s">
        <v>206</v>
      </c>
      <c r="O301" s="104">
        <f t="shared" si="42"/>
        <v>15</v>
      </c>
      <c r="P301" s="118">
        <v>44869</v>
      </c>
      <c r="Q301" s="118">
        <v>44916</v>
      </c>
      <c r="R301" s="105">
        <v>1</v>
      </c>
      <c r="S301" s="105">
        <v>1</v>
      </c>
      <c r="T301" s="105">
        <v>1</v>
      </c>
      <c r="U301" s="106">
        <f>IF(ISBLANK(Table1[[#This Row],[OHC Date]]),$B$7-Table1[[#This Row],[HOC Date]]+1,Table1[[#This Row],[OHC Date]]-Table1[[#This Row],[HOC Date]]+1)/7</f>
        <v>6.8571428571428568</v>
      </c>
      <c r="V301" s="107">
        <v>16.760000000000002</v>
      </c>
      <c r="W301" s="107">
        <v>0.77</v>
      </c>
      <c r="X301" s="107">
        <f>ROUND(0.7*Table1[[#This Row],[E&amp;D Rate per unit]]*R301*Table1[[#This Row],[Quantity]],2)</f>
        <v>175.98</v>
      </c>
      <c r="Y301" s="107">
        <f t="shared" si="43"/>
        <v>79.2</v>
      </c>
      <c r="Z301" s="107">
        <f>ROUND(0.3*T301*Table1[[#This Row],[E&amp;D Rate per unit]]*Table1[[#This Row],[Quantity]],2)</f>
        <v>75.42</v>
      </c>
      <c r="AA301" s="107">
        <f t="shared" si="44"/>
        <v>330.6</v>
      </c>
      <c r="AB301" s="126">
        <v>330.6</v>
      </c>
      <c r="AC301" s="126">
        <f>Table1[[#This Row],[Total Amount]]-Table1[[#This Row],[Previous Amount]]</f>
        <v>0</v>
      </c>
      <c r="AD301" s="108"/>
    </row>
    <row r="302" spans="1:30" ht="30" customHeight="1" x14ac:dyDescent="0.3">
      <c r="A302" s="92" t="s">
        <v>89</v>
      </c>
      <c r="B302" s="92" t="s">
        <v>96</v>
      </c>
      <c r="C302" s="102" t="s">
        <v>397</v>
      </c>
      <c r="D302" s="102">
        <v>77606</v>
      </c>
      <c r="E302" s="102">
        <v>80841</v>
      </c>
      <c r="F302" s="103" t="s">
        <v>395</v>
      </c>
      <c r="G302" s="17" t="s">
        <v>254</v>
      </c>
      <c r="H302" s="102" t="s">
        <v>220</v>
      </c>
      <c r="I302" s="102">
        <v>1</v>
      </c>
      <c r="J302" s="102">
        <v>1.8</v>
      </c>
      <c r="K302" s="102">
        <v>1.8</v>
      </c>
      <c r="L302" s="102">
        <v>1</v>
      </c>
      <c r="M302" s="102">
        <v>1</v>
      </c>
      <c r="N302" s="104" t="s">
        <v>221</v>
      </c>
      <c r="O302" s="104">
        <f t="shared" si="42"/>
        <v>1</v>
      </c>
      <c r="P302" s="118">
        <v>44869</v>
      </c>
      <c r="Q302" s="118">
        <v>44916</v>
      </c>
      <c r="R302" s="105">
        <v>1</v>
      </c>
      <c r="S302" s="105">
        <v>1</v>
      </c>
      <c r="T302" s="105">
        <v>1</v>
      </c>
      <c r="U302" s="106">
        <f>IF(ISBLANK(Table1[[#This Row],[OHC Date]]),$B$7-Table1[[#This Row],[HOC Date]]+1,Table1[[#This Row],[OHC Date]]-Table1[[#This Row],[HOC Date]]+1)/7</f>
        <v>6.8571428571428568</v>
      </c>
      <c r="V302" s="107">
        <v>63.34</v>
      </c>
      <c r="W302" s="107">
        <v>7.28</v>
      </c>
      <c r="X302" s="107">
        <f>ROUND(0.7*Table1[[#This Row],[E&amp;D Rate per unit]]*R302*Table1[[#This Row],[Quantity]],2)</f>
        <v>44.34</v>
      </c>
      <c r="Y302" s="107">
        <f t="shared" si="43"/>
        <v>49.92</v>
      </c>
      <c r="Z302" s="107">
        <f>ROUND(0.3*T302*Table1[[#This Row],[E&amp;D Rate per unit]]*Table1[[#This Row],[Quantity]],2)</f>
        <v>19</v>
      </c>
      <c r="AA302" s="107">
        <f t="shared" si="44"/>
        <v>113.26</v>
      </c>
      <c r="AB302" s="126">
        <v>113.26</v>
      </c>
      <c r="AC302" s="126">
        <f>Table1[[#This Row],[Total Amount]]-Table1[[#This Row],[Previous Amount]]</f>
        <v>0</v>
      </c>
      <c r="AD302" s="108"/>
    </row>
    <row r="303" spans="1:30" ht="30" customHeight="1" x14ac:dyDescent="0.3">
      <c r="A303" s="92" t="s">
        <v>89</v>
      </c>
      <c r="B303" s="92" t="s">
        <v>96</v>
      </c>
      <c r="C303" s="102">
        <v>27</v>
      </c>
      <c r="D303" s="102">
        <v>77607</v>
      </c>
      <c r="E303" s="102">
        <v>76816</v>
      </c>
      <c r="F303" s="103" t="s">
        <v>341</v>
      </c>
      <c r="G303" s="17" t="s">
        <v>226</v>
      </c>
      <c r="H303" s="102" t="s">
        <v>220</v>
      </c>
      <c r="I303" s="102">
        <v>1</v>
      </c>
      <c r="J303" s="102">
        <v>2.5</v>
      </c>
      <c r="K303" s="102">
        <v>1.3</v>
      </c>
      <c r="L303" s="102">
        <v>4</v>
      </c>
      <c r="M303" s="102">
        <v>1</v>
      </c>
      <c r="N303" s="104" t="s">
        <v>221</v>
      </c>
      <c r="O303" s="104">
        <f t="shared" ref="O303:O348" si="48">ROUND(IF(N303="m3",I303*J303*K303*L303,IF(N303="m2-LxH",I303*J303*L303,IF(N303="m2-LxW",I303*J303*K303,IF(N303="rm",I303*L303,IF(N303="lm",I303*J303,IF(N303="unit",I303,"NA")))))),2)</f>
        <v>4</v>
      </c>
      <c r="P303" s="118">
        <v>44869</v>
      </c>
      <c r="Q303" s="118">
        <v>44876</v>
      </c>
      <c r="R303" s="105">
        <v>1</v>
      </c>
      <c r="S303" s="105">
        <v>1</v>
      </c>
      <c r="T303" s="105">
        <v>1</v>
      </c>
      <c r="U303" s="106">
        <f>IF(ISBLANK(Table1[[#This Row],[OHC Date]]),$B$7-Table1[[#This Row],[HOC Date]]+1,Table1[[#This Row],[OHC Date]]-Table1[[#This Row],[HOC Date]]+1)/7</f>
        <v>1.1428571428571428</v>
      </c>
      <c r="V303" s="107">
        <v>63.34</v>
      </c>
      <c r="W303" s="107">
        <v>7.28</v>
      </c>
      <c r="X303" s="107">
        <f>ROUND(0.7*Table1[[#This Row],[E&amp;D Rate per unit]]*R303*Table1[[#This Row],[Quantity]],2)</f>
        <v>177.35</v>
      </c>
      <c r="Y303" s="107">
        <f t="shared" ref="Y303:Y348" si="49">ROUND(O303*U303*W303*S303,2)</f>
        <v>33.28</v>
      </c>
      <c r="Z303" s="107">
        <f>ROUND(0.3*T303*Table1[[#This Row],[E&amp;D Rate per unit]]*Table1[[#This Row],[Quantity]],2)</f>
        <v>76.010000000000005</v>
      </c>
      <c r="AA303" s="107">
        <f t="shared" ref="AA303:AA348" si="50">ROUND(X303+Z303+Y303,2)</f>
        <v>286.64</v>
      </c>
      <c r="AB303" s="126">
        <v>286.64</v>
      </c>
      <c r="AC303" s="126">
        <f>Table1[[#This Row],[Total Amount]]-Table1[[#This Row],[Previous Amount]]</f>
        <v>0</v>
      </c>
      <c r="AD303" s="108"/>
    </row>
    <row r="304" spans="1:30" ht="30" customHeight="1" x14ac:dyDescent="0.3">
      <c r="A304" s="92" t="s">
        <v>89</v>
      </c>
      <c r="B304" s="92" t="s">
        <v>96</v>
      </c>
      <c r="C304" s="102">
        <v>28</v>
      </c>
      <c r="D304" s="102">
        <v>77608</v>
      </c>
      <c r="E304" s="102">
        <v>76824</v>
      </c>
      <c r="F304" s="103" t="s">
        <v>398</v>
      </c>
      <c r="G304" s="17" t="s">
        <v>204</v>
      </c>
      <c r="H304" s="102" t="s">
        <v>220</v>
      </c>
      <c r="I304" s="102">
        <v>1</v>
      </c>
      <c r="J304" s="102">
        <v>2.5</v>
      </c>
      <c r="K304" s="102">
        <v>0.9</v>
      </c>
      <c r="L304" s="102">
        <v>1.2</v>
      </c>
      <c r="M304" s="102">
        <v>1</v>
      </c>
      <c r="N304" s="104" t="s">
        <v>221</v>
      </c>
      <c r="O304" s="104">
        <f t="shared" si="48"/>
        <v>1.2</v>
      </c>
      <c r="P304" s="118">
        <v>44869</v>
      </c>
      <c r="Q304" s="118">
        <v>44876</v>
      </c>
      <c r="R304" s="105">
        <v>1</v>
      </c>
      <c r="S304" s="105">
        <v>1</v>
      </c>
      <c r="T304" s="105">
        <v>1</v>
      </c>
      <c r="U304" s="106">
        <f>IF(ISBLANK(Table1[[#This Row],[OHC Date]]),$B$7-Table1[[#This Row],[HOC Date]]+1,Table1[[#This Row],[OHC Date]]-Table1[[#This Row],[HOC Date]]+1)/7</f>
        <v>1.1428571428571428</v>
      </c>
      <c r="V304" s="107">
        <v>63.34</v>
      </c>
      <c r="W304" s="107">
        <v>7.28</v>
      </c>
      <c r="X304" s="107">
        <f>ROUND(0.7*Table1[[#This Row],[E&amp;D Rate per unit]]*R304*Table1[[#This Row],[Quantity]],2)</f>
        <v>53.21</v>
      </c>
      <c r="Y304" s="107">
        <f t="shared" si="49"/>
        <v>9.98</v>
      </c>
      <c r="Z304" s="107">
        <f>ROUND(0.3*T304*Table1[[#This Row],[E&amp;D Rate per unit]]*Table1[[#This Row],[Quantity]],2)</f>
        <v>22.8</v>
      </c>
      <c r="AA304" s="107">
        <f t="shared" si="50"/>
        <v>85.99</v>
      </c>
      <c r="AB304" s="126">
        <v>85.99</v>
      </c>
      <c r="AC304" s="126">
        <f>Table1[[#This Row],[Total Amount]]-Table1[[#This Row],[Previous Amount]]</f>
        <v>0</v>
      </c>
      <c r="AD304" s="108"/>
    </row>
    <row r="305" spans="1:30" ht="30" customHeight="1" x14ac:dyDescent="0.3">
      <c r="A305" s="92" t="s">
        <v>89</v>
      </c>
      <c r="B305" s="92" t="s">
        <v>96</v>
      </c>
      <c r="C305" s="102">
        <v>29</v>
      </c>
      <c r="D305" s="102">
        <v>77609</v>
      </c>
      <c r="E305" s="102">
        <v>76825</v>
      </c>
      <c r="F305" s="103" t="s">
        <v>398</v>
      </c>
      <c r="G305" s="17" t="s">
        <v>204</v>
      </c>
      <c r="H305" s="102" t="s">
        <v>220</v>
      </c>
      <c r="I305" s="102">
        <v>1</v>
      </c>
      <c r="J305" s="102">
        <v>2.5</v>
      </c>
      <c r="K305" s="102">
        <v>0.9</v>
      </c>
      <c r="L305" s="102">
        <v>1.2</v>
      </c>
      <c r="M305" s="102">
        <v>1</v>
      </c>
      <c r="N305" s="104" t="s">
        <v>221</v>
      </c>
      <c r="O305" s="104">
        <f t="shared" si="48"/>
        <v>1.2</v>
      </c>
      <c r="P305" s="118">
        <v>44869</v>
      </c>
      <c r="Q305" s="118">
        <v>44876</v>
      </c>
      <c r="R305" s="105">
        <v>1</v>
      </c>
      <c r="S305" s="105">
        <v>1</v>
      </c>
      <c r="T305" s="105">
        <v>1</v>
      </c>
      <c r="U305" s="106">
        <f>IF(ISBLANK(Table1[[#This Row],[OHC Date]]),$B$7-Table1[[#This Row],[HOC Date]]+1,Table1[[#This Row],[OHC Date]]-Table1[[#This Row],[HOC Date]]+1)/7</f>
        <v>1.1428571428571428</v>
      </c>
      <c r="V305" s="107">
        <v>63.34</v>
      </c>
      <c r="W305" s="107">
        <v>7.28</v>
      </c>
      <c r="X305" s="107">
        <f>ROUND(0.7*Table1[[#This Row],[E&amp;D Rate per unit]]*R305*Table1[[#This Row],[Quantity]],2)</f>
        <v>53.21</v>
      </c>
      <c r="Y305" s="107">
        <f t="shared" si="49"/>
        <v>9.98</v>
      </c>
      <c r="Z305" s="107">
        <f>ROUND(0.3*T305*Table1[[#This Row],[E&amp;D Rate per unit]]*Table1[[#This Row],[Quantity]],2)</f>
        <v>22.8</v>
      </c>
      <c r="AA305" s="107">
        <f t="shared" si="50"/>
        <v>85.99</v>
      </c>
      <c r="AB305" s="126">
        <v>85.99</v>
      </c>
      <c r="AC305" s="126">
        <f>Table1[[#This Row],[Total Amount]]-Table1[[#This Row],[Previous Amount]]</f>
        <v>0</v>
      </c>
      <c r="AD305" s="108"/>
    </row>
    <row r="306" spans="1:30" ht="30" customHeight="1" x14ac:dyDescent="0.3">
      <c r="A306" s="92" t="s">
        <v>89</v>
      </c>
      <c r="B306" s="92" t="s">
        <v>96</v>
      </c>
      <c r="C306" s="102">
        <v>30</v>
      </c>
      <c r="D306" s="102">
        <v>77610</v>
      </c>
      <c r="E306" s="102">
        <v>76826</v>
      </c>
      <c r="F306" s="103" t="s">
        <v>398</v>
      </c>
      <c r="G306" s="17" t="s">
        <v>204</v>
      </c>
      <c r="H306" s="102" t="s">
        <v>220</v>
      </c>
      <c r="I306" s="102">
        <v>1</v>
      </c>
      <c r="J306" s="102">
        <v>2.5</v>
      </c>
      <c r="K306" s="102">
        <v>0.9</v>
      </c>
      <c r="L306" s="102">
        <v>1.2</v>
      </c>
      <c r="M306" s="102">
        <v>1</v>
      </c>
      <c r="N306" s="104" t="s">
        <v>221</v>
      </c>
      <c r="O306" s="104">
        <f t="shared" si="48"/>
        <v>1.2</v>
      </c>
      <c r="P306" s="118">
        <v>44869</v>
      </c>
      <c r="Q306" s="118">
        <v>44876</v>
      </c>
      <c r="R306" s="105">
        <v>1</v>
      </c>
      <c r="S306" s="105">
        <v>1</v>
      </c>
      <c r="T306" s="105">
        <v>1</v>
      </c>
      <c r="U306" s="106">
        <f>IF(ISBLANK(Table1[[#This Row],[OHC Date]]),$B$7-Table1[[#This Row],[HOC Date]]+1,Table1[[#This Row],[OHC Date]]-Table1[[#This Row],[HOC Date]]+1)/7</f>
        <v>1.1428571428571428</v>
      </c>
      <c r="V306" s="107">
        <v>63.34</v>
      </c>
      <c r="W306" s="107">
        <v>7.28</v>
      </c>
      <c r="X306" s="107">
        <f>ROUND(0.7*Table1[[#This Row],[E&amp;D Rate per unit]]*R306*Table1[[#This Row],[Quantity]],2)</f>
        <v>53.21</v>
      </c>
      <c r="Y306" s="107">
        <f t="shared" si="49"/>
        <v>9.98</v>
      </c>
      <c r="Z306" s="107">
        <f>ROUND(0.3*T306*Table1[[#This Row],[E&amp;D Rate per unit]]*Table1[[#This Row],[Quantity]],2)</f>
        <v>22.8</v>
      </c>
      <c r="AA306" s="107">
        <f t="shared" si="50"/>
        <v>85.99</v>
      </c>
      <c r="AB306" s="126">
        <v>85.99</v>
      </c>
      <c r="AC306" s="126">
        <f>Table1[[#This Row],[Total Amount]]-Table1[[#This Row],[Previous Amount]]</f>
        <v>0</v>
      </c>
      <c r="AD306" s="108"/>
    </row>
    <row r="307" spans="1:30" ht="30" customHeight="1" x14ac:dyDescent="0.3">
      <c r="A307" s="101" t="s">
        <v>95</v>
      </c>
      <c r="B307" s="92" t="s">
        <v>96</v>
      </c>
      <c r="C307" s="102">
        <v>31</v>
      </c>
      <c r="D307" s="102">
        <v>77611</v>
      </c>
      <c r="E307" s="102"/>
      <c r="F307" s="103" t="s">
        <v>281</v>
      </c>
      <c r="G307" s="17" t="s">
        <v>163</v>
      </c>
      <c r="H307" s="102" t="s">
        <v>298</v>
      </c>
      <c r="I307" s="102">
        <v>1</v>
      </c>
      <c r="J307" s="102">
        <v>22</v>
      </c>
      <c r="K307" s="102">
        <v>1.8</v>
      </c>
      <c r="L307" s="102">
        <v>4</v>
      </c>
      <c r="M307" s="102">
        <v>1</v>
      </c>
      <c r="N307" s="104" t="s">
        <v>283</v>
      </c>
      <c r="O307" s="104">
        <f t="shared" si="48"/>
        <v>22</v>
      </c>
      <c r="P307" s="186">
        <v>44869</v>
      </c>
      <c r="Q307" s="118"/>
      <c r="R307" s="105">
        <v>1</v>
      </c>
      <c r="S307" s="105">
        <v>1</v>
      </c>
      <c r="T307" s="105">
        <v>0</v>
      </c>
      <c r="U307" s="106">
        <f>IF(ISBLANK(Table1[[#This Row],[OHC Date]]),$B$7-Table1[[#This Row],[HOC Date]]+1,Table1[[#This Row],[OHC Date]]-Table1[[#This Row],[HOC Date]]+1)/7</f>
        <v>11.857142857142858</v>
      </c>
      <c r="V307" s="107">
        <v>1002.22</v>
      </c>
      <c r="W307" s="107">
        <v>98.12</v>
      </c>
      <c r="X307" s="107">
        <f>ROUND(0.7*Table1[[#This Row],[E&amp;D Rate per unit]]*R307*Table1[[#This Row],[Quantity]],2)</f>
        <v>15434.19</v>
      </c>
      <c r="Y307" s="107">
        <f t="shared" si="49"/>
        <v>25595.3</v>
      </c>
      <c r="Z307" s="107">
        <f>ROUND(0.3*T307*Table1[[#This Row],[E&amp;D Rate per unit]]*Table1[[#This Row],[Quantity]],2)</f>
        <v>0</v>
      </c>
      <c r="AA307" s="107">
        <f t="shared" si="50"/>
        <v>41029.49</v>
      </c>
      <c r="AB307" s="126">
        <v>31469.8</v>
      </c>
      <c r="AC307" s="126">
        <f>Table1[[#This Row],[Total Amount]]-Table1[[#This Row],[Previous Amount]]</f>
        <v>9559.6899999999987</v>
      </c>
      <c r="AD307" s="108" t="s">
        <v>282</v>
      </c>
    </row>
    <row r="308" spans="1:30" ht="30" customHeight="1" x14ac:dyDescent="0.3">
      <c r="A308" s="101" t="s">
        <v>95</v>
      </c>
      <c r="B308" s="92" t="s">
        <v>96</v>
      </c>
      <c r="C308" s="102">
        <v>31</v>
      </c>
      <c r="D308" s="102"/>
      <c r="E308" s="102"/>
      <c r="F308" s="103" t="s">
        <v>281</v>
      </c>
      <c r="G308" s="17" t="s">
        <v>163</v>
      </c>
      <c r="H308" s="102" t="s">
        <v>297</v>
      </c>
      <c r="I308" s="102">
        <v>1</v>
      </c>
      <c r="J308" s="102"/>
      <c r="K308" s="102"/>
      <c r="L308" s="102"/>
      <c r="M308" s="102"/>
      <c r="N308" s="104" t="s">
        <v>56</v>
      </c>
      <c r="O308" s="104">
        <f>ROUND(IF(N308="m3",I308*J308*K308*L308,IF(N308="m2-LxH",I308*J308*L308,IF(N308="m2-LxW",I308*J308*K308,IF(N308="rm",I308*L308,IF(N308="lm",I308*J308,IF(N308="unit",I308,"NA")))))),2)</f>
        <v>1</v>
      </c>
      <c r="P308" s="118">
        <v>44869</v>
      </c>
      <c r="Q308" s="118"/>
      <c r="R308" s="105">
        <v>1</v>
      </c>
      <c r="S308" s="105">
        <v>1</v>
      </c>
      <c r="T308" s="105">
        <v>0</v>
      </c>
      <c r="U308" s="106">
        <f>IF(ISBLANK(Table1[[#This Row],[OHC Date]]),$B$7-Table1[[#This Row],[HOC Date]]+1,Table1[[#This Row],[OHC Date]]-Table1[[#This Row],[HOC Date]]+1)/7</f>
        <v>11.857142857142858</v>
      </c>
      <c r="V308" s="107">
        <v>1230</v>
      </c>
      <c r="W308" s="107">
        <v>0</v>
      </c>
      <c r="X308" s="107">
        <v>1230</v>
      </c>
      <c r="Y308" s="107">
        <f>ROUND(O308*U308*W308*S308,2)</f>
        <v>0</v>
      </c>
      <c r="Z308" s="107">
        <f>ROUND(0.3*T308*Table1[[#This Row],[E&amp;D Rate per unit]]*Table1[[#This Row],[Quantity]],2)</f>
        <v>0</v>
      </c>
      <c r="AA308" s="107">
        <f>ROUND(X308+Z308+Y308,2)</f>
        <v>1230</v>
      </c>
      <c r="AB308" s="126">
        <v>1230</v>
      </c>
      <c r="AC308" s="126">
        <f>Table1[[#This Row],[Total Amount]]-Table1[[#This Row],[Previous Amount]]</f>
        <v>0</v>
      </c>
      <c r="AD308" s="108" t="s">
        <v>296</v>
      </c>
    </row>
    <row r="309" spans="1:30" ht="30" customHeight="1" x14ac:dyDescent="0.3">
      <c r="A309" s="92" t="s">
        <v>89</v>
      </c>
      <c r="B309" s="92" t="s">
        <v>96</v>
      </c>
      <c r="C309" s="102" t="s">
        <v>399</v>
      </c>
      <c r="D309" s="102">
        <v>77612</v>
      </c>
      <c r="E309" s="102">
        <v>76822</v>
      </c>
      <c r="F309" s="103" t="s">
        <v>281</v>
      </c>
      <c r="G309" s="17" t="s">
        <v>163</v>
      </c>
      <c r="H309" s="102" t="s">
        <v>176</v>
      </c>
      <c r="I309" s="102">
        <v>1</v>
      </c>
      <c r="J309" s="102">
        <v>22</v>
      </c>
      <c r="K309" s="102">
        <v>1</v>
      </c>
      <c r="L309" s="102">
        <v>1</v>
      </c>
      <c r="M309" s="102">
        <v>1</v>
      </c>
      <c r="N309" s="104" t="s">
        <v>160</v>
      </c>
      <c r="O309" s="104">
        <f t="shared" si="48"/>
        <v>22</v>
      </c>
      <c r="P309" s="118">
        <v>44869</v>
      </c>
      <c r="Q309" s="118">
        <v>44876</v>
      </c>
      <c r="R309" s="105">
        <v>1</v>
      </c>
      <c r="S309" s="105">
        <v>1</v>
      </c>
      <c r="T309" s="105">
        <v>1</v>
      </c>
      <c r="U309" s="106">
        <f>IF(ISBLANK(Table1[[#This Row],[OHC Date]]),$B$7-Table1[[#This Row],[HOC Date]]+1,Table1[[#This Row],[OHC Date]]-Table1[[#This Row],[HOC Date]]+1)/7</f>
        <v>1.1428571428571428</v>
      </c>
      <c r="V309" s="107">
        <v>6.63</v>
      </c>
      <c r="W309" s="107">
        <v>0.7</v>
      </c>
      <c r="X309" s="107">
        <f>ROUND(0.7*Table1[[#This Row],[E&amp;D Rate per unit]]*R309*Table1[[#This Row],[Quantity]],2)</f>
        <v>102.1</v>
      </c>
      <c r="Y309" s="107">
        <f t="shared" si="49"/>
        <v>17.600000000000001</v>
      </c>
      <c r="Z309" s="107">
        <f>ROUND(0.3*T309*Table1[[#This Row],[E&amp;D Rate per unit]]*Table1[[#This Row],[Quantity]],2)</f>
        <v>43.76</v>
      </c>
      <c r="AA309" s="107">
        <f t="shared" si="50"/>
        <v>163.46</v>
      </c>
      <c r="AB309" s="126">
        <v>163.46</v>
      </c>
      <c r="AC309" s="126">
        <f>Table1[[#This Row],[Total Amount]]-Table1[[#This Row],[Previous Amount]]</f>
        <v>0</v>
      </c>
      <c r="AD309" s="108"/>
    </row>
    <row r="310" spans="1:30" ht="30" customHeight="1" x14ac:dyDescent="0.3">
      <c r="A310" s="92" t="s">
        <v>89</v>
      </c>
      <c r="B310" s="92" t="s">
        <v>96</v>
      </c>
      <c r="C310" s="102">
        <v>32</v>
      </c>
      <c r="D310" s="102">
        <v>77613</v>
      </c>
      <c r="E310" s="102">
        <v>76814</v>
      </c>
      <c r="F310" s="103" t="s">
        <v>341</v>
      </c>
      <c r="G310" s="17" t="s">
        <v>226</v>
      </c>
      <c r="H310" s="102" t="s">
        <v>205</v>
      </c>
      <c r="I310" s="102">
        <v>1</v>
      </c>
      <c r="J310" s="102">
        <v>3.8</v>
      </c>
      <c r="K310" s="102">
        <v>1.3</v>
      </c>
      <c r="L310" s="102">
        <v>2.5</v>
      </c>
      <c r="M310" s="102">
        <v>1</v>
      </c>
      <c r="N310" s="104" t="s">
        <v>206</v>
      </c>
      <c r="O310" s="104">
        <f t="shared" si="48"/>
        <v>9.5</v>
      </c>
      <c r="P310" s="118">
        <v>44869</v>
      </c>
      <c r="Q310" s="118">
        <v>44875</v>
      </c>
      <c r="R310" s="105">
        <v>1</v>
      </c>
      <c r="S310" s="105">
        <v>1</v>
      </c>
      <c r="T310" s="105">
        <v>1</v>
      </c>
      <c r="U310" s="106">
        <f>IF(ISBLANK(Table1[[#This Row],[OHC Date]]),$B$7-Table1[[#This Row],[HOC Date]]+1,Table1[[#This Row],[OHC Date]]-Table1[[#This Row],[HOC Date]]+1)/7</f>
        <v>1</v>
      </c>
      <c r="V310" s="107">
        <v>12.01</v>
      </c>
      <c r="W310" s="107">
        <v>0.49</v>
      </c>
      <c r="X310" s="107">
        <f>ROUND(0.7*Table1[[#This Row],[E&amp;D Rate per unit]]*R310*Table1[[#This Row],[Quantity]],2)</f>
        <v>79.87</v>
      </c>
      <c r="Y310" s="107">
        <f t="shared" si="49"/>
        <v>4.66</v>
      </c>
      <c r="Z310" s="107">
        <f>ROUND(0.3*T310*Table1[[#This Row],[E&amp;D Rate per unit]]*Table1[[#This Row],[Quantity]],2)</f>
        <v>34.229999999999997</v>
      </c>
      <c r="AA310" s="107">
        <f t="shared" si="50"/>
        <v>118.76</v>
      </c>
      <c r="AB310" s="126">
        <v>118.76</v>
      </c>
      <c r="AC310" s="126">
        <f>Table1[[#This Row],[Total Amount]]-Table1[[#This Row],[Previous Amount]]</f>
        <v>0</v>
      </c>
      <c r="AD310" s="108"/>
    </row>
    <row r="311" spans="1:30" ht="30" customHeight="1" x14ac:dyDescent="0.3">
      <c r="A311" s="92" t="s">
        <v>89</v>
      </c>
      <c r="B311" s="92" t="s">
        <v>96</v>
      </c>
      <c r="C311" s="102" t="s">
        <v>314</v>
      </c>
      <c r="D311" s="102">
        <v>77614</v>
      </c>
      <c r="E311" s="102">
        <v>76815</v>
      </c>
      <c r="F311" s="103" t="s">
        <v>341</v>
      </c>
      <c r="G311" s="17" t="s">
        <v>226</v>
      </c>
      <c r="H311" s="102" t="s">
        <v>220</v>
      </c>
      <c r="I311" s="102">
        <v>1</v>
      </c>
      <c r="J311" s="102">
        <v>2.5</v>
      </c>
      <c r="K311" s="102">
        <v>1.3</v>
      </c>
      <c r="L311" s="102">
        <v>2.2999999999999998</v>
      </c>
      <c r="M311" s="102">
        <v>1</v>
      </c>
      <c r="N311" s="104" t="s">
        <v>221</v>
      </c>
      <c r="O311" s="104">
        <f t="shared" si="48"/>
        <v>2.2999999999999998</v>
      </c>
      <c r="P311" s="118">
        <v>44869</v>
      </c>
      <c r="Q311" s="118">
        <v>44875</v>
      </c>
      <c r="R311" s="105">
        <v>1</v>
      </c>
      <c r="S311" s="105">
        <v>1</v>
      </c>
      <c r="T311" s="105">
        <v>1</v>
      </c>
      <c r="U311" s="106">
        <f>IF(ISBLANK(Table1[[#This Row],[OHC Date]]),$B$7-Table1[[#This Row],[HOC Date]]+1,Table1[[#This Row],[OHC Date]]-Table1[[#This Row],[HOC Date]]+1)/7</f>
        <v>1</v>
      </c>
      <c r="V311" s="107">
        <v>63.34</v>
      </c>
      <c r="W311" s="107">
        <v>7.28</v>
      </c>
      <c r="X311" s="107">
        <f>ROUND(0.7*Table1[[#This Row],[E&amp;D Rate per unit]]*R311*Table1[[#This Row],[Quantity]],2)</f>
        <v>101.98</v>
      </c>
      <c r="Y311" s="107">
        <f t="shared" si="49"/>
        <v>16.739999999999998</v>
      </c>
      <c r="Z311" s="107">
        <f>ROUND(0.3*T311*Table1[[#This Row],[E&amp;D Rate per unit]]*Table1[[#This Row],[Quantity]],2)</f>
        <v>43.7</v>
      </c>
      <c r="AA311" s="107">
        <f t="shared" si="50"/>
        <v>162.41999999999999</v>
      </c>
      <c r="AB311" s="126">
        <v>162.41999999999999</v>
      </c>
      <c r="AC311" s="126">
        <f>Table1[[#This Row],[Total Amount]]-Table1[[#This Row],[Previous Amount]]</f>
        <v>0</v>
      </c>
      <c r="AD311" s="108"/>
    </row>
    <row r="312" spans="1:30" ht="30" customHeight="1" x14ac:dyDescent="0.3">
      <c r="A312" s="92" t="s">
        <v>89</v>
      </c>
      <c r="B312" s="92" t="s">
        <v>96</v>
      </c>
      <c r="C312" s="102">
        <v>33</v>
      </c>
      <c r="D312" s="102">
        <v>77615</v>
      </c>
      <c r="E312" s="102">
        <v>76827</v>
      </c>
      <c r="F312" s="103" t="s">
        <v>398</v>
      </c>
      <c r="G312" s="17" t="s">
        <v>204</v>
      </c>
      <c r="H312" s="102" t="s">
        <v>205</v>
      </c>
      <c r="I312" s="102">
        <v>1</v>
      </c>
      <c r="J312" s="102">
        <v>3</v>
      </c>
      <c r="K312" s="102">
        <v>0.5</v>
      </c>
      <c r="L312" s="102">
        <v>1.5</v>
      </c>
      <c r="M312" s="102">
        <v>1</v>
      </c>
      <c r="N312" s="104" t="s">
        <v>206</v>
      </c>
      <c r="O312" s="104">
        <f t="shared" si="48"/>
        <v>4.5</v>
      </c>
      <c r="P312" s="118">
        <v>44869</v>
      </c>
      <c r="Q312" s="118">
        <v>44876</v>
      </c>
      <c r="R312" s="105">
        <v>1</v>
      </c>
      <c r="S312" s="105">
        <v>1</v>
      </c>
      <c r="T312" s="105">
        <v>1</v>
      </c>
      <c r="U312" s="106">
        <f>IF(ISBLANK(Table1[[#This Row],[OHC Date]]),$B$7-Table1[[#This Row],[HOC Date]]+1,Table1[[#This Row],[OHC Date]]-Table1[[#This Row],[HOC Date]]+1)/7</f>
        <v>1.1428571428571428</v>
      </c>
      <c r="V312" s="107">
        <v>12.01</v>
      </c>
      <c r="W312" s="107">
        <v>0.49</v>
      </c>
      <c r="X312" s="107">
        <f>ROUND(0.7*Table1[[#This Row],[E&amp;D Rate per unit]]*R312*Table1[[#This Row],[Quantity]],2)</f>
        <v>37.83</v>
      </c>
      <c r="Y312" s="107">
        <f t="shared" si="49"/>
        <v>2.52</v>
      </c>
      <c r="Z312" s="107">
        <f>ROUND(0.3*T312*Table1[[#This Row],[E&amp;D Rate per unit]]*Table1[[#This Row],[Quantity]],2)</f>
        <v>16.21</v>
      </c>
      <c r="AA312" s="107">
        <f t="shared" si="50"/>
        <v>56.56</v>
      </c>
      <c r="AB312" s="126">
        <v>56.56</v>
      </c>
      <c r="AC312" s="126">
        <f>Table1[[#This Row],[Total Amount]]-Table1[[#This Row],[Previous Amount]]</f>
        <v>0</v>
      </c>
      <c r="AD312" s="108"/>
    </row>
    <row r="313" spans="1:30" ht="30" customHeight="1" x14ac:dyDescent="0.3">
      <c r="A313" s="92" t="s">
        <v>89</v>
      </c>
      <c r="B313" s="92" t="s">
        <v>96</v>
      </c>
      <c r="C313" s="102">
        <v>34</v>
      </c>
      <c r="D313" s="102">
        <v>77616</v>
      </c>
      <c r="E313" s="195">
        <v>80844</v>
      </c>
      <c r="F313" s="103" t="s">
        <v>341</v>
      </c>
      <c r="G313" s="17" t="s">
        <v>226</v>
      </c>
      <c r="H313" s="102" t="s">
        <v>118</v>
      </c>
      <c r="I313" s="102">
        <v>1</v>
      </c>
      <c r="J313" s="102">
        <v>3.8</v>
      </c>
      <c r="K313" s="102">
        <v>2.5</v>
      </c>
      <c r="L313" s="102">
        <v>3</v>
      </c>
      <c r="M313" s="102">
        <v>1</v>
      </c>
      <c r="N313" s="104" t="s">
        <v>206</v>
      </c>
      <c r="O313" s="104">
        <f t="shared" si="48"/>
        <v>11.4</v>
      </c>
      <c r="P313" s="186">
        <v>44872</v>
      </c>
      <c r="Q313" s="186">
        <v>44924</v>
      </c>
      <c r="R313" s="105">
        <v>1</v>
      </c>
      <c r="S313" s="105">
        <v>1</v>
      </c>
      <c r="T313" s="105">
        <v>1</v>
      </c>
      <c r="U313" s="106">
        <f>IF(ISBLANK(Table1[[#This Row],[OHC Date]]),$B$7-Table1[[#This Row],[HOC Date]]+1,Table1[[#This Row],[OHC Date]]-Table1[[#This Row],[HOC Date]]+1)/7</f>
        <v>7.5714285714285712</v>
      </c>
      <c r="V313" s="107">
        <v>16.760000000000002</v>
      </c>
      <c r="W313" s="107">
        <v>0.77</v>
      </c>
      <c r="X313" s="107">
        <f>ROUND(0.7*Table1[[#This Row],[E&amp;D Rate per unit]]*R313*Table1[[#This Row],[Quantity]],2)</f>
        <v>133.74</v>
      </c>
      <c r="Y313" s="107">
        <f t="shared" si="49"/>
        <v>66.459999999999994</v>
      </c>
      <c r="Z313" s="107">
        <f>ROUND(0.3*T313*Table1[[#This Row],[E&amp;D Rate per unit]]*Table1[[#This Row],[Quantity]],2)</f>
        <v>57.32</v>
      </c>
      <c r="AA313" s="107">
        <f t="shared" si="50"/>
        <v>257.52</v>
      </c>
      <c r="AB313" s="126">
        <v>195.19</v>
      </c>
      <c r="AC313" s="126">
        <f>Table1[[#This Row],[Total Amount]]-Table1[[#This Row],[Previous Amount]]</f>
        <v>62.329999999999984</v>
      </c>
      <c r="AD313" s="108"/>
    </row>
    <row r="314" spans="1:30" ht="30" customHeight="1" x14ac:dyDescent="0.3">
      <c r="A314" s="92" t="s">
        <v>89</v>
      </c>
      <c r="B314" s="92" t="s">
        <v>96</v>
      </c>
      <c r="C314" s="102">
        <v>35</v>
      </c>
      <c r="D314" s="102">
        <v>77617</v>
      </c>
      <c r="E314" s="195">
        <v>80845</v>
      </c>
      <c r="F314" s="103" t="s">
        <v>341</v>
      </c>
      <c r="G314" s="17" t="s">
        <v>226</v>
      </c>
      <c r="H314" s="102" t="s">
        <v>220</v>
      </c>
      <c r="I314" s="102">
        <v>1</v>
      </c>
      <c r="J314" s="102">
        <v>2.5</v>
      </c>
      <c r="K314" s="102">
        <v>1.3</v>
      </c>
      <c r="L314" s="102">
        <v>3.2</v>
      </c>
      <c r="M314" s="102">
        <v>1</v>
      </c>
      <c r="N314" s="104" t="s">
        <v>221</v>
      </c>
      <c r="O314" s="104">
        <f t="shared" si="48"/>
        <v>3.2</v>
      </c>
      <c r="P314" s="186">
        <v>44873</v>
      </c>
      <c r="Q314" s="186">
        <v>44924</v>
      </c>
      <c r="R314" s="105">
        <v>1</v>
      </c>
      <c r="S314" s="105">
        <v>1</v>
      </c>
      <c r="T314" s="105">
        <v>1</v>
      </c>
      <c r="U314" s="106">
        <f>IF(ISBLANK(Table1[[#This Row],[OHC Date]]),$B$7-Table1[[#This Row],[HOC Date]]+1,Table1[[#This Row],[OHC Date]]-Table1[[#This Row],[HOC Date]]+1)/7</f>
        <v>7.4285714285714288</v>
      </c>
      <c r="V314" s="107">
        <v>63.34</v>
      </c>
      <c r="W314" s="107">
        <v>7.28</v>
      </c>
      <c r="X314" s="107">
        <f>ROUND(0.7*Table1[[#This Row],[E&amp;D Rate per unit]]*R314*Table1[[#This Row],[Quantity]],2)</f>
        <v>141.88</v>
      </c>
      <c r="Y314" s="107">
        <f t="shared" si="49"/>
        <v>173.06</v>
      </c>
      <c r="Z314" s="107">
        <f>ROUND(0.3*T314*Table1[[#This Row],[E&amp;D Rate per unit]]*Table1[[#This Row],[Quantity]],2)</f>
        <v>60.81</v>
      </c>
      <c r="AA314" s="107">
        <f t="shared" si="50"/>
        <v>375.75</v>
      </c>
      <c r="AB314" s="126">
        <v>301.62</v>
      </c>
      <c r="AC314" s="126">
        <f>Table1[[#This Row],[Total Amount]]-Table1[[#This Row],[Previous Amount]]</f>
        <v>74.13</v>
      </c>
      <c r="AD314" s="108"/>
    </row>
    <row r="315" spans="1:30" ht="30" customHeight="1" x14ac:dyDescent="0.3">
      <c r="A315" s="101" t="s">
        <v>273</v>
      </c>
      <c r="B315" s="92" t="s">
        <v>96</v>
      </c>
      <c r="C315" s="102">
        <v>36</v>
      </c>
      <c r="D315" s="102">
        <v>77618</v>
      </c>
      <c r="E315" s="102">
        <v>76847</v>
      </c>
      <c r="F315" s="17" t="s">
        <v>275</v>
      </c>
      <c r="G315" s="17" t="s">
        <v>400</v>
      </c>
      <c r="H315" s="102" t="s">
        <v>118</v>
      </c>
      <c r="I315" s="102">
        <v>1</v>
      </c>
      <c r="J315" s="102">
        <v>6</v>
      </c>
      <c r="K315" s="102">
        <v>1.8</v>
      </c>
      <c r="L315" s="102">
        <v>7</v>
      </c>
      <c r="M315" s="102">
        <v>1</v>
      </c>
      <c r="N315" s="104" t="s">
        <v>56</v>
      </c>
      <c r="O315" s="104">
        <f t="shared" si="48"/>
        <v>1</v>
      </c>
      <c r="P315" s="118">
        <v>44874</v>
      </c>
      <c r="Q315" s="118">
        <v>44907</v>
      </c>
      <c r="R315" s="105">
        <v>1</v>
      </c>
      <c r="S315" s="105">
        <v>1</v>
      </c>
      <c r="T315" s="105">
        <v>1</v>
      </c>
      <c r="U315" s="106">
        <f>IF(ISBLANK(Table1[[#This Row],[OHC Date]]),$B$7-Table1[[#This Row],[HOC Date]]+1,Table1[[#This Row],[OHC Date]]-Table1[[#This Row],[HOC Date]]+1)/7</f>
        <v>4.8571428571428568</v>
      </c>
      <c r="V315" s="107">
        <v>5277.5</v>
      </c>
      <c r="W315" s="107">
        <v>48.26</v>
      </c>
      <c r="X315" s="107">
        <f>ROUND(0.7*Table1[[#This Row],[E&amp;D Rate per unit]]*R315*Table1[[#This Row],[Quantity]],2)</f>
        <v>3694.25</v>
      </c>
      <c r="Y315" s="107">
        <f t="shared" si="49"/>
        <v>234.41</v>
      </c>
      <c r="Z315" s="107">
        <f>ROUND(0.3*T315*Table1[[#This Row],[E&amp;D Rate per unit]]*Table1[[#This Row],[Quantity]],2)</f>
        <v>1583.25</v>
      </c>
      <c r="AA315" s="107">
        <f t="shared" si="50"/>
        <v>5511.91</v>
      </c>
      <c r="AB315" s="126">
        <v>5511.91</v>
      </c>
      <c r="AC315" s="126">
        <f>Table1[[#This Row],[Total Amount]]-Table1[[#This Row],[Previous Amount]]</f>
        <v>0</v>
      </c>
      <c r="AD315" s="132" t="s">
        <v>401</v>
      </c>
    </row>
    <row r="316" spans="1:30" ht="30" customHeight="1" x14ac:dyDescent="0.3">
      <c r="A316" s="92" t="s">
        <v>89</v>
      </c>
      <c r="B316" s="92" t="s">
        <v>96</v>
      </c>
      <c r="C316" s="102" t="s">
        <v>402</v>
      </c>
      <c r="D316" s="102">
        <v>77619</v>
      </c>
      <c r="E316" s="102">
        <v>80810</v>
      </c>
      <c r="F316" s="103" t="s">
        <v>403</v>
      </c>
      <c r="G316" s="17" t="s">
        <v>251</v>
      </c>
      <c r="H316" s="102" t="s">
        <v>126</v>
      </c>
      <c r="I316" s="102">
        <v>1</v>
      </c>
      <c r="J316" s="102">
        <v>1.5</v>
      </c>
      <c r="K316" s="102">
        <v>0.5</v>
      </c>
      <c r="L316" s="102">
        <v>1</v>
      </c>
      <c r="M316" s="102">
        <v>1</v>
      </c>
      <c r="N316" s="104" t="s">
        <v>160</v>
      </c>
      <c r="O316" s="104">
        <f t="shared" si="48"/>
        <v>0.75</v>
      </c>
      <c r="P316" s="118">
        <v>44874</v>
      </c>
      <c r="Q316" s="118">
        <v>44912</v>
      </c>
      <c r="R316" s="105">
        <v>1</v>
      </c>
      <c r="S316" s="105">
        <v>1</v>
      </c>
      <c r="T316" s="105">
        <v>1</v>
      </c>
      <c r="U316" s="106">
        <f>IF(ISBLANK(Table1[[#This Row],[OHC Date]]),$B$7-Table1[[#This Row],[HOC Date]]+1,Table1[[#This Row],[OHC Date]]-Table1[[#This Row],[HOC Date]]+1)/7</f>
        <v>5.5714285714285712</v>
      </c>
      <c r="V316" s="107">
        <v>32.75</v>
      </c>
      <c r="W316" s="107">
        <v>1.05</v>
      </c>
      <c r="X316" s="107">
        <f>ROUND(0.7*Table1[[#This Row],[E&amp;D Rate per unit]]*R316*Table1[[#This Row],[Quantity]],2)</f>
        <v>17.190000000000001</v>
      </c>
      <c r="Y316" s="107">
        <f t="shared" si="49"/>
        <v>4.3899999999999997</v>
      </c>
      <c r="Z316" s="107">
        <f>ROUND(0.3*T316*Table1[[#This Row],[E&amp;D Rate per unit]]*Table1[[#This Row],[Quantity]],2)</f>
        <v>7.37</v>
      </c>
      <c r="AA316" s="107">
        <f t="shared" si="50"/>
        <v>28.95</v>
      </c>
      <c r="AB316" s="126">
        <v>28.95</v>
      </c>
      <c r="AC316" s="126">
        <f>Table1[[#This Row],[Total Amount]]-Table1[[#This Row],[Previous Amount]]</f>
        <v>0</v>
      </c>
      <c r="AD316" s="108"/>
    </row>
    <row r="317" spans="1:30" ht="30" customHeight="1" x14ac:dyDescent="0.3">
      <c r="A317" s="92" t="s">
        <v>89</v>
      </c>
      <c r="B317" s="92" t="s">
        <v>96</v>
      </c>
      <c r="C317" s="102" t="s">
        <v>404</v>
      </c>
      <c r="D317" s="102">
        <v>77620</v>
      </c>
      <c r="E317" s="102"/>
      <c r="F317" s="103" t="s">
        <v>281</v>
      </c>
      <c r="G317" s="17" t="s">
        <v>163</v>
      </c>
      <c r="H317" s="102" t="s">
        <v>406</v>
      </c>
      <c r="I317" s="102">
        <v>1</v>
      </c>
      <c r="J317" s="102">
        <v>3</v>
      </c>
      <c r="K317" s="102">
        <v>1.8</v>
      </c>
      <c r="L317" s="102">
        <v>1</v>
      </c>
      <c r="M317" s="102">
        <v>1</v>
      </c>
      <c r="N317" s="104" t="s">
        <v>160</v>
      </c>
      <c r="O317" s="104">
        <f t="shared" si="48"/>
        <v>5.4</v>
      </c>
      <c r="P317" s="186">
        <v>44874</v>
      </c>
      <c r="Q317" s="118"/>
      <c r="R317" s="105">
        <v>1</v>
      </c>
      <c r="S317" s="105">
        <v>1</v>
      </c>
      <c r="T317" s="105">
        <v>0</v>
      </c>
      <c r="U317" s="106">
        <f>IF(ISBLANK(Table1[[#This Row],[OHC Date]]),$B$7-Table1[[#This Row],[HOC Date]]+1,Table1[[#This Row],[OHC Date]]-Table1[[#This Row],[HOC Date]]+1)/7</f>
        <v>11.142857142857142</v>
      </c>
      <c r="V317" s="107">
        <v>36.520000000000003</v>
      </c>
      <c r="W317" s="107">
        <v>2.94</v>
      </c>
      <c r="X317" s="107">
        <f>ROUND(0.7*Table1[[#This Row],[E&amp;D Rate per unit]]*R317*Table1[[#This Row],[Quantity]],2)</f>
        <v>138.05000000000001</v>
      </c>
      <c r="Y317" s="107">
        <f t="shared" si="49"/>
        <v>176.9</v>
      </c>
      <c r="Z317" s="107">
        <f>ROUND(0.3*T317*Table1[[#This Row],[E&amp;D Rate per unit]]*Table1[[#This Row],[Quantity]],2)</f>
        <v>0</v>
      </c>
      <c r="AA317" s="107">
        <f t="shared" si="50"/>
        <v>314.95</v>
      </c>
      <c r="AB317" s="126">
        <v>244.65</v>
      </c>
      <c r="AC317" s="126">
        <f>Table1[[#This Row],[Total Amount]]-Table1[[#This Row],[Previous Amount]]</f>
        <v>70.299999999999983</v>
      </c>
      <c r="AD317" s="108"/>
    </row>
    <row r="318" spans="1:30" ht="30" customHeight="1" x14ac:dyDescent="0.3">
      <c r="A318" s="92" t="s">
        <v>89</v>
      </c>
      <c r="B318" s="92" t="s">
        <v>96</v>
      </c>
      <c r="C318" s="102" t="s">
        <v>405</v>
      </c>
      <c r="D318" s="102">
        <v>77621</v>
      </c>
      <c r="E318" s="102"/>
      <c r="F318" s="103" t="s">
        <v>281</v>
      </c>
      <c r="G318" s="17" t="s">
        <v>163</v>
      </c>
      <c r="H318" s="102" t="s">
        <v>406</v>
      </c>
      <c r="I318" s="102">
        <v>1</v>
      </c>
      <c r="J318" s="102">
        <v>1.8</v>
      </c>
      <c r="K318" s="102">
        <v>1.5</v>
      </c>
      <c r="L318" s="102">
        <v>1</v>
      </c>
      <c r="M318" s="102">
        <v>1</v>
      </c>
      <c r="N318" s="104" t="s">
        <v>160</v>
      </c>
      <c r="O318" s="104">
        <f t="shared" si="48"/>
        <v>2.7</v>
      </c>
      <c r="P318" s="186">
        <v>44874</v>
      </c>
      <c r="Q318" s="118"/>
      <c r="R318" s="105">
        <v>1</v>
      </c>
      <c r="S318" s="105">
        <v>1</v>
      </c>
      <c r="T318" s="105">
        <v>0</v>
      </c>
      <c r="U318" s="106">
        <f>IF(ISBLANK(Table1[[#This Row],[OHC Date]]),$B$7-Table1[[#This Row],[HOC Date]]+1,Table1[[#This Row],[OHC Date]]-Table1[[#This Row],[HOC Date]]+1)/7</f>
        <v>11.142857142857142</v>
      </c>
      <c r="V318" s="107">
        <v>36.520000000000003</v>
      </c>
      <c r="W318" s="107">
        <v>2.94</v>
      </c>
      <c r="X318" s="107">
        <f>ROUND(0.7*Table1[[#This Row],[E&amp;D Rate per unit]]*R318*Table1[[#This Row],[Quantity]],2)</f>
        <v>69.02</v>
      </c>
      <c r="Y318" s="107">
        <f t="shared" si="49"/>
        <v>88.45</v>
      </c>
      <c r="Z318" s="107">
        <f>ROUND(0.3*T318*Table1[[#This Row],[E&amp;D Rate per unit]]*Table1[[#This Row],[Quantity]],2)</f>
        <v>0</v>
      </c>
      <c r="AA318" s="107">
        <f t="shared" si="50"/>
        <v>157.47</v>
      </c>
      <c r="AB318" s="126">
        <v>122.32</v>
      </c>
      <c r="AC318" s="126">
        <f>Table1[[#This Row],[Total Amount]]-Table1[[#This Row],[Previous Amount]]</f>
        <v>35.150000000000006</v>
      </c>
      <c r="AD318" s="108"/>
    </row>
    <row r="319" spans="1:30" ht="30" customHeight="1" x14ac:dyDescent="0.3">
      <c r="A319" s="92" t="s">
        <v>89</v>
      </c>
      <c r="B319" s="92" t="s">
        <v>96</v>
      </c>
      <c r="C319" s="102" t="s">
        <v>407</v>
      </c>
      <c r="D319" s="102">
        <v>77622</v>
      </c>
      <c r="E319" s="102">
        <v>76823</v>
      </c>
      <c r="F319" s="103" t="s">
        <v>307</v>
      </c>
      <c r="G319" s="17" t="s">
        <v>163</v>
      </c>
      <c r="H319" s="102" t="s">
        <v>408</v>
      </c>
      <c r="I319" s="102">
        <v>1</v>
      </c>
      <c r="J319" s="102">
        <v>41</v>
      </c>
      <c r="K319" s="102">
        <v>1</v>
      </c>
      <c r="L319" s="102">
        <v>1</v>
      </c>
      <c r="M319" s="102"/>
      <c r="N319" s="104" t="s">
        <v>283</v>
      </c>
      <c r="O319" s="104">
        <f t="shared" si="48"/>
        <v>41</v>
      </c>
      <c r="P319" s="118">
        <v>44874</v>
      </c>
      <c r="Q319" s="118">
        <v>44876</v>
      </c>
      <c r="R319" s="105">
        <v>1</v>
      </c>
      <c r="S319" s="105">
        <v>1</v>
      </c>
      <c r="T319" s="105">
        <v>1</v>
      </c>
      <c r="U319" s="106">
        <f>IF(ISBLANK(Table1[[#This Row],[OHC Date]]),$B$7-Table1[[#This Row],[HOC Date]]+1,Table1[[#This Row],[OHC Date]]-Table1[[#This Row],[HOC Date]]+1)/7</f>
        <v>0.42857142857142855</v>
      </c>
      <c r="V319" s="107">
        <v>7</v>
      </c>
      <c r="W319" s="107">
        <v>0.42</v>
      </c>
      <c r="X319" s="107">
        <f>ROUND(0.7*Table1[[#This Row],[E&amp;D Rate per unit]]*R319*Table1[[#This Row],[Quantity]],2)</f>
        <v>200.9</v>
      </c>
      <c r="Y319" s="107">
        <f t="shared" si="49"/>
        <v>7.38</v>
      </c>
      <c r="Z319" s="107">
        <f>ROUND(0.3*T319*Table1[[#This Row],[E&amp;D Rate per unit]]*Table1[[#This Row],[Quantity]],2)</f>
        <v>86.1</v>
      </c>
      <c r="AA319" s="107">
        <f t="shared" si="50"/>
        <v>294.38</v>
      </c>
      <c r="AB319" s="126">
        <v>294.38</v>
      </c>
      <c r="AC319" s="126">
        <f>Table1[[#This Row],[Total Amount]]-Table1[[#This Row],[Previous Amount]]</f>
        <v>0</v>
      </c>
      <c r="AD319" s="108"/>
    </row>
    <row r="320" spans="1:30" ht="30" customHeight="1" x14ac:dyDescent="0.3">
      <c r="A320" s="92" t="s">
        <v>89</v>
      </c>
      <c r="B320" s="92" t="s">
        <v>96</v>
      </c>
      <c r="C320" s="102">
        <v>37</v>
      </c>
      <c r="D320" s="102">
        <v>77623</v>
      </c>
      <c r="E320" s="102">
        <v>76813</v>
      </c>
      <c r="F320" s="103" t="s">
        <v>409</v>
      </c>
      <c r="G320" s="17" t="s">
        <v>200</v>
      </c>
      <c r="H320" s="102" t="s">
        <v>205</v>
      </c>
      <c r="I320" s="102">
        <v>1</v>
      </c>
      <c r="J320" s="102">
        <v>3</v>
      </c>
      <c r="K320" s="102">
        <v>1.5</v>
      </c>
      <c r="L320" s="102">
        <v>1</v>
      </c>
      <c r="M320" s="102">
        <v>1</v>
      </c>
      <c r="N320" s="104" t="s">
        <v>206</v>
      </c>
      <c r="O320" s="104">
        <f t="shared" si="48"/>
        <v>3</v>
      </c>
      <c r="P320" s="118">
        <v>44874</v>
      </c>
      <c r="Q320" s="118">
        <v>44875</v>
      </c>
      <c r="R320" s="105">
        <v>1</v>
      </c>
      <c r="S320" s="105">
        <v>1</v>
      </c>
      <c r="T320" s="105">
        <v>1</v>
      </c>
      <c r="U320" s="106">
        <f>IF(ISBLANK(Table1[[#This Row],[OHC Date]]),$B$7-Table1[[#This Row],[HOC Date]]+1,Table1[[#This Row],[OHC Date]]-Table1[[#This Row],[HOC Date]]+1)/7</f>
        <v>0.2857142857142857</v>
      </c>
      <c r="V320" s="107">
        <v>12.01</v>
      </c>
      <c r="W320" s="107">
        <v>0.49</v>
      </c>
      <c r="X320" s="107">
        <f>ROUND(0.7*Table1[[#This Row],[E&amp;D Rate per unit]]*R320*Table1[[#This Row],[Quantity]],2)</f>
        <v>25.22</v>
      </c>
      <c r="Y320" s="107">
        <f t="shared" si="49"/>
        <v>0.42</v>
      </c>
      <c r="Z320" s="107">
        <f>ROUND(0.3*T320*Table1[[#This Row],[E&amp;D Rate per unit]]*Table1[[#This Row],[Quantity]],2)</f>
        <v>10.81</v>
      </c>
      <c r="AA320" s="107">
        <f t="shared" si="50"/>
        <v>36.450000000000003</v>
      </c>
      <c r="AB320" s="126">
        <v>36.450000000000003</v>
      </c>
      <c r="AC320" s="126">
        <f>Table1[[#This Row],[Total Amount]]-Table1[[#This Row],[Previous Amount]]</f>
        <v>0</v>
      </c>
      <c r="AD320" s="108"/>
    </row>
    <row r="321" spans="1:30" ht="30" customHeight="1" x14ac:dyDescent="0.3">
      <c r="A321" s="92" t="s">
        <v>89</v>
      </c>
      <c r="B321" s="92" t="s">
        <v>96</v>
      </c>
      <c r="C321" s="102" t="s">
        <v>410</v>
      </c>
      <c r="D321" s="102">
        <v>77624</v>
      </c>
      <c r="E321" s="102"/>
      <c r="F321" s="103" t="s">
        <v>393</v>
      </c>
      <c r="G321" s="17" t="s">
        <v>226</v>
      </c>
      <c r="H321" s="102" t="s">
        <v>205</v>
      </c>
      <c r="I321" s="102">
        <v>1</v>
      </c>
      <c r="J321" s="102">
        <v>5</v>
      </c>
      <c r="K321" s="102">
        <v>1.3</v>
      </c>
      <c r="L321" s="102">
        <v>2.2000000000000002</v>
      </c>
      <c r="M321" s="102">
        <v>1</v>
      </c>
      <c r="N321" s="104" t="s">
        <v>206</v>
      </c>
      <c r="O321" s="104">
        <f t="shared" si="48"/>
        <v>11</v>
      </c>
      <c r="P321" s="186">
        <v>44875</v>
      </c>
      <c r="Q321" s="118"/>
      <c r="R321" s="105">
        <v>1</v>
      </c>
      <c r="S321" s="105">
        <v>1</v>
      </c>
      <c r="T321" s="105">
        <v>0</v>
      </c>
      <c r="U321" s="106">
        <f>IF(ISBLANK(Table1[[#This Row],[OHC Date]]),$B$7-Table1[[#This Row],[HOC Date]]+1,Table1[[#This Row],[OHC Date]]-Table1[[#This Row],[HOC Date]]+1)/7</f>
        <v>11</v>
      </c>
      <c r="V321" s="107">
        <v>12.01</v>
      </c>
      <c r="W321" s="107">
        <v>0.49</v>
      </c>
      <c r="X321" s="107">
        <f>ROUND(0.7*Table1[[#This Row],[E&amp;D Rate per unit]]*R321*Table1[[#This Row],[Quantity]],2)</f>
        <v>92.48</v>
      </c>
      <c r="Y321" s="107">
        <f t="shared" si="49"/>
        <v>59.29</v>
      </c>
      <c r="Z321" s="107">
        <f>ROUND(0.3*T321*Table1[[#This Row],[E&amp;D Rate per unit]]*Table1[[#This Row],[Quantity]],2)</f>
        <v>0</v>
      </c>
      <c r="AA321" s="107">
        <f t="shared" si="50"/>
        <v>151.77000000000001</v>
      </c>
      <c r="AB321" s="126">
        <v>127.9</v>
      </c>
      <c r="AC321" s="126">
        <f>Table1[[#This Row],[Total Amount]]-Table1[[#This Row],[Previous Amount]]</f>
        <v>23.870000000000005</v>
      </c>
      <c r="AD321" s="108"/>
    </row>
    <row r="322" spans="1:30" ht="30" customHeight="1" x14ac:dyDescent="0.3">
      <c r="A322" s="92" t="s">
        <v>89</v>
      </c>
      <c r="B322" s="92" t="s">
        <v>96</v>
      </c>
      <c r="C322" s="102" t="s">
        <v>411</v>
      </c>
      <c r="D322" s="102">
        <v>77625</v>
      </c>
      <c r="E322" s="102"/>
      <c r="F322" s="103" t="s">
        <v>393</v>
      </c>
      <c r="G322" s="17" t="s">
        <v>226</v>
      </c>
      <c r="H322" s="102" t="s">
        <v>205</v>
      </c>
      <c r="I322" s="102">
        <v>1</v>
      </c>
      <c r="J322" s="102">
        <v>8.3000000000000007</v>
      </c>
      <c r="K322" s="102">
        <v>1.3</v>
      </c>
      <c r="L322" s="102">
        <v>2.2000000000000002</v>
      </c>
      <c r="M322" s="102">
        <v>1</v>
      </c>
      <c r="N322" s="104" t="s">
        <v>206</v>
      </c>
      <c r="O322" s="104">
        <f t="shared" si="48"/>
        <v>18.260000000000002</v>
      </c>
      <c r="P322" s="186">
        <v>44875</v>
      </c>
      <c r="Q322" s="118"/>
      <c r="R322" s="105">
        <v>1</v>
      </c>
      <c r="S322" s="105">
        <v>1</v>
      </c>
      <c r="T322" s="105">
        <v>0</v>
      </c>
      <c r="U322" s="106">
        <f>IF(ISBLANK(Table1[[#This Row],[OHC Date]]),$B$7-Table1[[#This Row],[HOC Date]]+1,Table1[[#This Row],[OHC Date]]-Table1[[#This Row],[HOC Date]]+1)/7</f>
        <v>11</v>
      </c>
      <c r="V322" s="107">
        <v>12.01</v>
      </c>
      <c r="W322" s="107">
        <v>0.49</v>
      </c>
      <c r="X322" s="107">
        <f>ROUND(0.7*Table1[[#This Row],[E&amp;D Rate per unit]]*R322*Table1[[#This Row],[Quantity]],2)</f>
        <v>153.51</v>
      </c>
      <c r="Y322" s="107">
        <f t="shared" si="49"/>
        <v>98.42</v>
      </c>
      <c r="Z322" s="107">
        <f>ROUND(0.3*T322*Table1[[#This Row],[E&amp;D Rate per unit]]*Table1[[#This Row],[Quantity]],2)</f>
        <v>0</v>
      </c>
      <c r="AA322" s="107">
        <f t="shared" si="50"/>
        <v>251.93</v>
      </c>
      <c r="AB322" s="126">
        <v>212.31</v>
      </c>
      <c r="AC322" s="126">
        <f>Table1[[#This Row],[Total Amount]]-Table1[[#This Row],[Previous Amount]]</f>
        <v>39.620000000000005</v>
      </c>
      <c r="AD322" s="108"/>
    </row>
    <row r="323" spans="1:30" ht="30" customHeight="1" x14ac:dyDescent="0.3">
      <c r="A323" s="92" t="s">
        <v>89</v>
      </c>
      <c r="B323" s="92" t="s">
        <v>96</v>
      </c>
      <c r="C323" s="102">
        <v>38</v>
      </c>
      <c r="D323" s="102">
        <v>77626</v>
      </c>
      <c r="E323" s="102">
        <v>76839</v>
      </c>
      <c r="F323" s="103" t="s">
        <v>341</v>
      </c>
      <c r="G323" s="17" t="s">
        <v>226</v>
      </c>
      <c r="H323" s="102" t="s">
        <v>205</v>
      </c>
      <c r="I323" s="102">
        <v>1</v>
      </c>
      <c r="J323" s="102">
        <v>3.8</v>
      </c>
      <c r="K323" s="102">
        <v>1.3</v>
      </c>
      <c r="L323" s="102">
        <v>2.8</v>
      </c>
      <c r="M323" s="102">
        <v>1</v>
      </c>
      <c r="N323" s="104" t="s">
        <v>206</v>
      </c>
      <c r="O323" s="104">
        <f t="shared" si="48"/>
        <v>10.64</v>
      </c>
      <c r="P323" s="118">
        <v>44876</v>
      </c>
      <c r="Q323" s="118">
        <v>44900</v>
      </c>
      <c r="R323" s="105">
        <v>1</v>
      </c>
      <c r="S323" s="105">
        <v>1</v>
      </c>
      <c r="T323" s="105">
        <v>1</v>
      </c>
      <c r="U323" s="106">
        <f>IF(ISBLANK(Table1[[#This Row],[OHC Date]]),$B$7-Table1[[#This Row],[HOC Date]]+1,Table1[[#This Row],[OHC Date]]-Table1[[#This Row],[HOC Date]]+1)/7</f>
        <v>3.5714285714285716</v>
      </c>
      <c r="V323" s="107">
        <v>12.01</v>
      </c>
      <c r="W323" s="107">
        <v>0.49</v>
      </c>
      <c r="X323" s="107">
        <f>ROUND(0.7*Table1[[#This Row],[E&amp;D Rate per unit]]*R323*Table1[[#This Row],[Quantity]],2)</f>
        <v>89.45</v>
      </c>
      <c r="Y323" s="107">
        <f t="shared" si="49"/>
        <v>18.62</v>
      </c>
      <c r="Z323" s="107">
        <f>ROUND(0.3*T323*Table1[[#This Row],[E&amp;D Rate per unit]]*Table1[[#This Row],[Quantity]],2)</f>
        <v>38.340000000000003</v>
      </c>
      <c r="AA323" s="107">
        <f t="shared" si="50"/>
        <v>146.41</v>
      </c>
      <c r="AB323" s="126">
        <v>146.41</v>
      </c>
      <c r="AC323" s="126">
        <f>Table1[[#This Row],[Total Amount]]-Table1[[#This Row],[Previous Amount]]</f>
        <v>0</v>
      </c>
      <c r="AD323" s="108"/>
    </row>
    <row r="324" spans="1:30" ht="30" customHeight="1" x14ac:dyDescent="0.3">
      <c r="A324" s="92" t="s">
        <v>89</v>
      </c>
      <c r="B324" s="92" t="s">
        <v>96</v>
      </c>
      <c r="C324" s="102">
        <v>39</v>
      </c>
      <c r="D324" s="102">
        <v>77627</v>
      </c>
      <c r="E324" s="102">
        <v>80801</v>
      </c>
      <c r="F324" s="103" t="s">
        <v>325</v>
      </c>
      <c r="G324" s="17" t="s">
        <v>200</v>
      </c>
      <c r="H324" s="102" t="s">
        <v>118</v>
      </c>
      <c r="I324" s="102">
        <v>1</v>
      </c>
      <c r="J324" s="102">
        <v>3.8</v>
      </c>
      <c r="K324" s="102">
        <v>2.5</v>
      </c>
      <c r="L324" s="102">
        <v>4</v>
      </c>
      <c r="M324" s="102">
        <v>1</v>
      </c>
      <c r="N324" s="104" t="s">
        <v>206</v>
      </c>
      <c r="O324" s="104">
        <f t="shared" si="48"/>
        <v>15.2</v>
      </c>
      <c r="P324" s="118">
        <v>44876</v>
      </c>
      <c r="Q324" s="118">
        <v>44882</v>
      </c>
      <c r="R324" s="105">
        <v>1</v>
      </c>
      <c r="S324" s="105">
        <v>1</v>
      </c>
      <c r="T324" s="105">
        <v>1</v>
      </c>
      <c r="U324" s="106">
        <f>IF(ISBLANK(Table1[[#This Row],[OHC Date]]),$B$7-Table1[[#This Row],[HOC Date]]+1,Table1[[#This Row],[OHC Date]]-Table1[[#This Row],[HOC Date]]+1)/7</f>
        <v>1</v>
      </c>
      <c r="V324" s="107">
        <v>16.760000000000002</v>
      </c>
      <c r="W324" s="107">
        <v>0.77</v>
      </c>
      <c r="X324" s="107">
        <f>ROUND(0.7*Table1[[#This Row],[E&amp;D Rate per unit]]*R324*Table1[[#This Row],[Quantity]],2)</f>
        <v>178.33</v>
      </c>
      <c r="Y324" s="107">
        <f t="shared" si="49"/>
        <v>11.7</v>
      </c>
      <c r="Z324" s="107">
        <f>ROUND(0.3*T324*Table1[[#This Row],[E&amp;D Rate per unit]]*Table1[[#This Row],[Quantity]],2)</f>
        <v>76.430000000000007</v>
      </c>
      <c r="AA324" s="107">
        <f t="shared" si="50"/>
        <v>266.45999999999998</v>
      </c>
      <c r="AB324" s="126">
        <v>266.45999999999998</v>
      </c>
      <c r="AC324" s="126">
        <f>Table1[[#This Row],[Total Amount]]-Table1[[#This Row],[Previous Amount]]</f>
        <v>0</v>
      </c>
      <c r="AD324" s="108"/>
    </row>
    <row r="325" spans="1:30" ht="30" customHeight="1" x14ac:dyDescent="0.3">
      <c r="A325" s="92" t="s">
        <v>89</v>
      </c>
      <c r="B325" s="92" t="s">
        <v>96</v>
      </c>
      <c r="C325" s="102">
        <v>40</v>
      </c>
      <c r="D325" s="102">
        <v>77628</v>
      </c>
      <c r="E325" s="102">
        <v>76833</v>
      </c>
      <c r="F325" s="103" t="s">
        <v>370</v>
      </c>
      <c r="G325" s="17" t="s">
        <v>226</v>
      </c>
      <c r="H325" s="102" t="s">
        <v>220</v>
      </c>
      <c r="I325" s="102">
        <v>1</v>
      </c>
      <c r="J325" s="102">
        <v>2.5</v>
      </c>
      <c r="K325" s="102">
        <v>1.3</v>
      </c>
      <c r="L325" s="102">
        <v>3.5</v>
      </c>
      <c r="M325" s="102">
        <v>1</v>
      </c>
      <c r="N325" s="104" t="s">
        <v>221</v>
      </c>
      <c r="O325" s="104">
        <f t="shared" si="48"/>
        <v>3.5</v>
      </c>
      <c r="P325" s="118">
        <v>44877</v>
      </c>
      <c r="Q325" s="118">
        <v>44894</v>
      </c>
      <c r="R325" s="105">
        <v>1</v>
      </c>
      <c r="S325" s="105">
        <v>1</v>
      </c>
      <c r="T325" s="105">
        <v>1</v>
      </c>
      <c r="U325" s="106">
        <f>IF(ISBLANK(Table1[[#This Row],[OHC Date]]),$B$7-Table1[[#This Row],[HOC Date]]+1,Table1[[#This Row],[OHC Date]]-Table1[[#This Row],[HOC Date]]+1)/7</f>
        <v>2.5714285714285716</v>
      </c>
      <c r="V325" s="107">
        <v>63.34</v>
      </c>
      <c r="W325" s="107">
        <v>7.28</v>
      </c>
      <c r="X325" s="107">
        <f>ROUND(0.7*Table1[[#This Row],[E&amp;D Rate per unit]]*R325*Table1[[#This Row],[Quantity]],2)</f>
        <v>155.18</v>
      </c>
      <c r="Y325" s="107">
        <f t="shared" si="49"/>
        <v>65.52</v>
      </c>
      <c r="Z325" s="107">
        <f>ROUND(0.3*T325*Table1[[#This Row],[E&amp;D Rate per unit]]*Table1[[#This Row],[Quantity]],2)</f>
        <v>66.510000000000005</v>
      </c>
      <c r="AA325" s="107">
        <f t="shared" si="50"/>
        <v>287.20999999999998</v>
      </c>
      <c r="AB325" s="126">
        <v>287.20999999999998</v>
      </c>
      <c r="AC325" s="126">
        <f>Table1[[#This Row],[Total Amount]]-Table1[[#This Row],[Previous Amount]]</f>
        <v>0</v>
      </c>
      <c r="AD325" s="108"/>
    </row>
    <row r="326" spans="1:30" ht="30" customHeight="1" x14ac:dyDescent="0.3">
      <c r="A326" s="92" t="s">
        <v>89</v>
      </c>
      <c r="B326" s="92" t="s">
        <v>96</v>
      </c>
      <c r="C326" s="102">
        <v>41</v>
      </c>
      <c r="D326" s="102">
        <v>77629</v>
      </c>
      <c r="E326" s="102">
        <v>76834</v>
      </c>
      <c r="F326" s="103" t="s">
        <v>370</v>
      </c>
      <c r="G326" s="17" t="s">
        <v>226</v>
      </c>
      <c r="H326" s="102" t="s">
        <v>220</v>
      </c>
      <c r="I326" s="102">
        <v>1</v>
      </c>
      <c r="J326" s="102">
        <v>2.5</v>
      </c>
      <c r="K326" s="102">
        <v>1.3</v>
      </c>
      <c r="L326" s="102">
        <v>3</v>
      </c>
      <c r="M326" s="102">
        <v>1</v>
      </c>
      <c r="N326" s="104" t="s">
        <v>221</v>
      </c>
      <c r="O326" s="104">
        <f t="shared" si="48"/>
        <v>3</v>
      </c>
      <c r="P326" s="118">
        <v>44877</v>
      </c>
      <c r="Q326" s="118">
        <v>44894</v>
      </c>
      <c r="R326" s="105">
        <v>1</v>
      </c>
      <c r="S326" s="105">
        <v>1</v>
      </c>
      <c r="T326" s="105">
        <v>1</v>
      </c>
      <c r="U326" s="106">
        <f>IF(ISBLANK(Table1[[#This Row],[OHC Date]]),$B$7-Table1[[#This Row],[HOC Date]]+1,Table1[[#This Row],[OHC Date]]-Table1[[#This Row],[HOC Date]]+1)/7</f>
        <v>2.5714285714285716</v>
      </c>
      <c r="V326" s="107">
        <v>63.34</v>
      </c>
      <c r="W326" s="107">
        <v>7.28</v>
      </c>
      <c r="X326" s="107">
        <f>ROUND(0.7*Table1[[#This Row],[E&amp;D Rate per unit]]*R326*Table1[[#This Row],[Quantity]],2)</f>
        <v>133.01</v>
      </c>
      <c r="Y326" s="107">
        <f t="shared" si="49"/>
        <v>56.16</v>
      </c>
      <c r="Z326" s="107">
        <f>ROUND(0.3*T326*Table1[[#This Row],[E&amp;D Rate per unit]]*Table1[[#This Row],[Quantity]],2)</f>
        <v>57.01</v>
      </c>
      <c r="AA326" s="107">
        <f t="shared" si="50"/>
        <v>246.18</v>
      </c>
      <c r="AB326" s="126">
        <v>246.18</v>
      </c>
      <c r="AC326" s="126">
        <f>Table1[[#This Row],[Total Amount]]-Table1[[#This Row],[Previous Amount]]</f>
        <v>0</v>
      </c>
      <c r="AD326" s="108"/>
    </row>
    <row r="327" spans="1:30" ht="30" customHeight="1" x14ac:dyDescent="0.3">
      <c r="A327" s="92" t="s">
        <v>89</v>
      </c>
      <c r="B327" s="92" t="s">
        <v>96</v>
      </c>
      <c r="C327" s="102">
        <v>42</v>
      </c>
      <c r="D327" s="102">
        <v>77630</v>
      </c>
      <c r="E327" s="102">
        <v>76829</v>
      </c>
      <c r="F327" s="103" t="s">
        <v>370</v>
      </c>
      <c r="G327" s="17" t="s">
        <v>226</v>
      </c>
      <c r="H327" s="102" t="s">
        <v>220</v>
      </c>
      <c r="I327" s="102">
        <v>1</v>
      </c>
      <c r="J327" s="102">
        <v>1.8</v>
      </c>
      <c r="K327" s="102">
        <v>1.3</v>
      </c>
      <c r="L327" s="102">
        <v>2.5</v>
      </c>
      <c r="M327" s="102">
        <v>1</v>
      </c>
      <c r="N327" s="104" t="s">
        <v>221</v>
      </c>
      <c r="O327" s="104">
        <f t="shared" si="48"/>
        <v>2.5</v>
      </c>
      <c r="P327" s="118">
        <v>44877</v>
      </c>
      <c r="Q327" s="118">
        <v>44894</v>
      </c>
      <c r="R327" s="105">
        <v>1</v>
      </c>
      <c r="S327" s="105">
        <v>1</v>
      </c>
      <c r="T327" s="105">
        <v>1</v>
      </c>
      <c r="U327" s="106">
        <f>IF(ISBLANK(Table1[[#This Row],[OHC Date]]),$B$7-Table1[[#This Row],[HOC Date]]+1,Table1[[#This Row],[OHC Date]]-Table1[[#This Row],[HOC Date]]+1)/7</f>
        <v>2.5714285714285716</v>
      </c>
      <c r="V327" s="107">
        <v>63.34</v>
      </c>
      <c r="W327" s="107">
        <v>7.28</v>
      </c>
      <c r="X327" s="107">
        <f>ROUND(0.7*Table1[[#This Row],[E&amp;D Rate per unit]]*R327*Table1[[#This Row],[Quantity]],2)</f>
        <v>110.85</v>
      </c>
      <c r="Y327" s="107">
        <f t="shared" si="49"/>
        <v>46.8</v>
      </c>
      <c r="Z327" s="107">
        <f>ROUND(0.3*T327*Table1[[#This Row],[E&amp;D Rate per unit]]*Table1[[#This Row],[Quantity]],2)</f>
        <v>47.51</v>
      </c>
      <c r="AA327" s="107">
        <f t="shared" si="50"/>
        <v>205.16</v>
      </c>
      <c r="AB327" s="126">
        <v>205.16</v>
      </c>
      <c r="AC327" s="126">
        <f>Table1[[#This Row],[Total Amount]]-Table1[[#This Row],[Previous Amount]]</f>
        <v>0</v>
      </c>
      <c r="AD327" s="108"/>
    </row>
    <row r="328" spans="1:30" ht="30" customHeight="1" x14ac:dyDescent="0.3">
      <c r="A328" s="131" t="s">
        <v>415</v>
      </c>
      <c r="B328" s="92" t="s">
        <v>96</v>
      </c>
      <c r="C328" s="152" t="s">
        <v>414</v>
      </c>
      <c r="D328" s="102">
        <v>77633</v>
      </c>
      <c r="E328" s="102"/>
      <c r="F328" s="103" t="s">
        <v>412</v>
      </c>
      <c r="G328" s="17" t="s">
        <v>200</v>
      </c>
      <c r="H328" s="102" t="s">
        <v>413</v>
      </c>
      <c r="I328" s="102">
        <v>1</v>
      </c>
      <c r="J328" s="102">
        <v>9.1</v>
      </c>
      <c r="K328" s="102">
        <v>1.3</v>
      </c>
      <c r="L328" s="102">
        <v>5</v>
      </c>
      <c r="M328" s="102">
        <v>1</v>
      </c>
      <c r="N328" s="104" t="s">
        <v>206</v>
      </c>
      <c r="O328" s="104">
        <f t="shared" si="48"/>
        <v>45.5</v>
      </c>
      <c r="P328" s="186">
        <v>44879</v>
      </c>
      <c r="Q328" s="118"/>
      <c r="R328" s="105">
        <v>1</v>
      </c>
      <c r="S328" s="105">
        <v>1</v>
      </c>
      <c r="T328" s="105">
        <v>0</v>
      </c>
      <c r="U328" s="106">
        <f>IF(ISBLANK(Table1[[#This Row],[OHC Date]]),$B$7-Table1[[#This Row],[HOC Date]]+1,Table1[[#This Row],[OHC Date]]-Table1[[#This Row],[HOC Date]]+1)/7</f>
        <v>10.428571428571429</v>
      </c>
      <c r="V328" s="107">
        <v>95.9</v>
      </c>
      <c r="W328" s="107">
        <v>13.9</v>
      </c>
      <c r="X328" s="107">
        <f>ROUND(0.7*Table1[[#This Row],[E&amp;D Rate per unit]]*R328*Table1[[#This Row],[Quantity]],2)</f>
        <v>3054.42</v>
      </c>
      <c r="Y328" s="107">
        <f t="shared" si="49"/>
        <v>6595.55</v>
      </c>
      <c r="Z328" s="107">
        <f>ROUND(0.3*T328*Table1[[#This Row],[E&amp;D Rate per unit]]*Table1[[#This Row],[Quantity]],2)</f>
        <v>0</v>
      </c>
      <c r="AA328" s="107">
        <f t="shared" si="50"/>
        <v>9649.9699999999993</v>
      </c>
      <c r="AB328" s="126">
        <v>6849.12</v>
      </c>
      <c r="AC328" s="126">
        <f>Table1[[#This Row],[Total Amount]]-Table1[[#This Row],[Previous Amount]]</f>
        <v>2800.8499999999995</v>
      </c>
      <c r="AD328" s="132" t="s">
        <v>437</v>
      </c>
    </row>
    <row r="329" spans="1:30" ht="30" customHeight="1" x14ac:dyDescent="0.3">
      <c r="A329" s="92" t="s">
        <v>89</v>
      </c>
      <c r="B329" s="92" t="s">
        <v>96</v>
      </c>
      <c r="C329" s="102">
        <v>44</v>
      </c>
      <c r="D329" s="102">
        <v>77631</v>
      </c>
      <c r="E329" s="102">
        <v>76835</v>
      </c>
      <c r="F329" s="17" t="s">
        <v>370</v>
      </c>
      <c r="G329" s="17" t="s">
        <v>226</v>
      </c>
      <c r="H329" s="16" t="s">
        <v>220</v>
      </c>
      <c r="I329" s="102">
        <v>1</v>
      </c>
      <c r="J329" s="102">
        <v>2.5</v>
      </c>
      <c r="K329" s="102">
        <v>1.3</v>
      </c>
      <c r="L329" s="102">
        <v>4</v>
      </c>
      <c r="M329" s="102">
        <v>1</v>
      </c>
      <c r="N329" s="93" t="s">
        <v>221</v>
      </c>
      <c r="O329" s="104">
        <f t="shared" si="48"/>
        <v>4</v>
      </c>
      <c r="P329" s="118">
        <v>44880</v>
      </c>
      <c r="Q329" s="118">
        <v>44894</v>
      </c>
      <c r="R329" s="105">
        <v>1</v>
      </c>
      <c r="S329" s="105">
        <v>1</v>
      </c>
      <c r="T329" s="105">
        <v>1</v>
      </c>
      <c r="U329" s="106">
        <f>IF(ISBLANK(Table1[[#This Row],[OHC Date]]),$B$7-Table1[[#This Row],[HOC Date]]+1,Table1[[#This Row],[OHC Date]]-Table1[[#This Row],[HOC Date]]+1)/7</f>
        <v>2.1428571428571428</v>
      </c>
      <c r="V329" s="107">
        <v>63.34</v>
      </c>
      <c r="W329" s="107">
        <v>7.28</v>
      </c>
      <c r="X329" s="107">
        <f>ROUND(0.7*Table1[[#This Row],[E&amp;D Rate per unit]]*R329*Table1[[#This Row],[Quantity]],2)</f>
        <v>177.35</v>
      </c>
      <c r="Y329" s="107">
        <f t="shared" si="49"/>
        <v>62.4</v>
      </c>
      <c r="Z329" s="107">
        <f>ROUND(0.3*T329*Table1[[#This Row],[E&amp;D Rate per unit]]*Table1[[#This Row],[Quantity]],2)</f>
        <v>76.010000000000005</v>
      </c>
      <c r="AA329" s="107">
        <f t="shared" si="50"/>
        <v>315.76</v>
      </c>
      <c r="AB329" s="126">
        <v>315.76</v>
      </c>
      <c r="AC329" s="126">
        <f>Table1[[#This Row],[Total Amount]]-Table1[[#This Row],[Previous Amount]]</f>
        <v>0</v>
      </c>
      <c r="AD329" s="108"/>
    </row>
    <row r="330" spans="1:30" ht="30" customHeight="1" x14ac:dyDescent="0.3">
      <c r="A330" s="92" t="s">
        <v>89</v>
      </c>
      <c r="B330" s="92" t="s">
        <v>96</v>
      </c>
      <c r="C330" s="102">
        <v>45</v>
      </c>
      <c r="D330" s="102">
        <v>77632</v>
      </c>
      <c r="E330" s="102">
        <v>76830</v>
      </c>
      <c r="F330" s="17" t="s">
        <v>370</v>
      </c>
      <c r="G330" s="17" t="s">
        <v>226</v>
      </c>
      <c r="H330" s="102" t="s">
        <v>118</v>
      </c>
      <c r="I330" s="102">
        <v>1</v>
      </c>
      <c r="J330" s="102">
        <v>5</v>
      </c>
      <c r="K330" s="102">
        <v>2.5</v>
      </c>
      <c r="L330" s="102">
        <v>3.25</v>
      </c>
      <c r="M330" s="102">
        <v>1</v>
      </c>
      <c r="N330" s="104" t="s">
        <v>206</v>
      </c>
      <c r="O330" s="104">
        <f t="shared" si="48"/>
        <v>16.25</v>
      </c>
      <c r="P330" s="118">
        <v>44880</v>
      </c>
      <c r="Q330" s="118">
        <v>44894</v>
      </c>
      <c r="R330" s="105">
        <v>1</v>
      </c>
      <c r="S330" s="105">
        <v>1</v>
      </c>
      <c r="T330" s="105">
        <v>1</v>
      </c>
      <c r="U330" s="106">
        <f>IF(ISBLANK(Table1[[#This Row],[OHC Date]]),$B$7-Table1[[#This Row],[HOC Date]]+1,Table1[[#This Row],[OHC Date]]-Table1[[#This Row],[HOC Date]]+1)/7</f>
        <v>2.1428571428571428</v>
      </c>
      <c r="V330" s="107">
        <v>16.760000000000002</v>
      </c>
      <c r="W330" s="107">
        <v>0.77</v>
      </c>
      <c r="X330" s="107">
        <f>ROUND(0.7*Table1[[#This Row],[E&amp;D Rate per unit]]*R330*Table1[[#This Row],[Quantity]],2)</f>
        <v>190.65</v>
      </c>
      <c r="Y330" s="107">
        <f t="shared" si="49"/>
        <v>26.81</v>
      </c>
      <c r="Z330" s="107">
        <f>ROUND(0.3*T330*Table1[[#This Row],[E&amp;D Rate per unit]]*Table1[[#This Row],[Quantity]],2)</f>
        <v>81.709999999999994</v>
      </c>
      <c r="AA330" s="107">
        <f t="shared" si="50"/>
        <v>299.17</v>
      </c>
      <c r="AB330" s="126">
        <v>299.17</v>
      </c>
      <c r="AC330" s="126">
        <f>Table1[[#This Row],[Total Amount]]-Table1[[#This Row],[Previous Amount]]</f>
        <v>0</v>
      </c>
      <c r="AD330" s="108"/>
    </row>
    <row r="331" spans="1:30" ht="30" customHeight="1" x14ac:dyDescent="0.3">
      <c r="A331" s="92" t="s">
        <v>89</v>
      </c>
      <c r="B331" s="92" t="s">
        <v>96</v>
      </c>
      <c r="C331" s="16" t="s">
        <v>195</v>
      </c>
      <c r="D331" s="102">
        <v>77634</v>
      </c>
      <c r="E331" s="102">
        <v>80830</v>
      </c>
      <c r="F331" s="17" t="s">
        <v>417</v>
      </c>
      <c r="G331" s="17" t="s">
        <v>254</v>
      </c>
      <c r="H331" s="16" t="s">
        <v>176</v>
      </c>
      <c r="I331" s="102">
        <v>1</v>
      </c>
      <c r="J331" s="102">
        <v>3</v>
      </c>
      <c r="K331" s="102">
        <v>1</v>
      </c>
      <c r="L331" s="102">
        <v>1</v>
      </c>
      <c r="M331" s="102">
        <v>1</v>
      </c>
      <c r="N331" s="104" t="s">
        <v>160</v>
      </c>
      <c r="O331" s="104">
        <f t="shared" si="48"/>
        <v>3</v>
      </c>
      <c r="P331" s="118">
        <v>44881</v>
      </c>
      <c r="Q331" s="118">
        <v>44915</v>
      </c>
      <c r="R331" s="105">
        <v>1</v>
      </c>
      <c r="S331" s="105">
        <v>1</v>
      </c>
      <c r="T331" s="105">
        <v>1</v>
      </c>
      <c r="U331" s="106">
        <f>IF(ISBLANK(Table1[[#This Row],[OHC Date]]),$B$7-Table1[[#This Row],[HOC Date]]+1,Table1[[#This Row],[OHC Date]]-Table1[[#This Row],[HOC Date]]+1)/7</f>
        <v>5</v>
      </c>
      <c r="V331" s="107">
        <v>6.63</v>
      </c>
      <c r="W331" s="107">
        <v>0.7</v>
      </c>
      <c r="X331" s="107">
        <f>ROUND(0.7*Table1[[#This Row],[E&amp;D Rate per unit]]*R331*Table1[[#This Row],[Quantity]],2)</f>
        <v>13.92</v>
      </c>
      <c r="Y331" s="107">
        <f t="shared" si="49"/>
        <v>10.5</v>
      </c>
      <c r="Z331" s="107">
        <f>ROUND(0.3*T331*Table1[[#This Row],[E&amp;D Rate per unit]]*Table1[[#This Row],[Quantity]],2)</f>
        <v>5.97</v>
      </c>
      <c r="AA331" s="107">
        <f t="shared" si="50"/>
        <v>30.39</v>
      </c>
      <c r="AB331" s="126">
        <v>30.39</v>
      </c>
      <c r="AC331" s="126">
        <f>Table1[[#This Row],[Total Amount]]-Table1[[#This Row],[Previous Amount]]</f>
        <v>0</v>
      </c>
      <c r="AD331" s="108"/>
    </row>
    <row r="332" spans="1:30" ht="30" customHeight="1" x14ac:dyDescent="0.3">
      <c r="A332" s="92" t="s">
        <v>89</v>
      </c>
      <c r="B332" s="92" t="s">
        <v>96</v>
      </c>
      <c r="C332" s="16">
        <v>46</v>
      </c>
      <c r="D332" s="16">
        <v>77635</v>
      </c>
      <c r="E332" s="16">
        <v>76831</v>
      </c>
      <c r="F332" s="17" t="s">
        <v>370</v>
      </c>
      <c r="G332" s="17" t="s">
        <v>226</v>
      </c>
      <c r="H332" s="16" t="s">
        <v>220</v>
      </c>
      <c r="I332" s="16">
        <v>1</v>
      </c>
      <c r="J332" s="16">
        <v>2.5</v>
      </c>
      <c r="K332" s="16">
        <v>2.5</v>
      </c>
      <c r="L332" s="16">
        <v>3</v>
      </c>
      <c r="M332" s="16">
        <v>1</v>
      </c>
      <c r="N332" s="93" t="s">
        <v>221</v>
      </c>
      <c r="O332" s="93">
        <f t="shared" si="48"/>
        <v>3</v>
      </c>
      <c r="P332" s="118">
        <v>44882</v>
      </c>
      <c r="Q332" s="18">
        <v>44894</v>
      </c>
      <c r="R332" s="105">
        <v>1</v>
      </c>
      <c r="S332" s="105">
        <v>1</v>
      </c>
      <c r="T332" s="105">
        <v>1</v>
      </c>
      <c r="U332" s="20">
        <f>IF(ISBLANK(Table1[[#This Row],[OHC Date]]),$B$7-Table1[[#This Row],[HOC Date]]+1,Table1[[#This Row],[OHC Date]]-Table1[[#This Row],[HOC Date]]+1)/7</f>
        <v>1.8571428571428572</v>
      </c>
      <c r="V332" s="21">
        <v>63.34</v>
      </c>
      <c r="W332" s="21">
        <v>7.28</v>
      </c>
      <c r="X332" s="21">
        <f>ROUND(0.7*Table1[[#This Row],[E&amp;D Rate per unit]]*R332*Table1[[#This Row],[Quantity]],2)</f>
        <v>133.01</v>
      </c>
      <c r="Y332" s="21">
        <f t="shared" si="49"/>
        <v>40.56</v>
      </c>
      <c r="Z332" s="21">
        <f>ROUND(0.3*T332*Table1[[#This Row],[E&amp;D Rate per unit]]*Table1[[#This Row],[Quantity]],2)</f>
        <v>57.01</v>
      </c>
      <c r="AA332" s="21">
        <f t="shared" si="50"/>
        <v>230.58</v>
      </c>
      <c r="AB332" s="129">
        <v>230.58</v>
      </c>
      <c r="AC332" s="129">
        <f>Table1[[#This Row],[Total Amount]]-Table1[[#This Row],[Previous Amount]]</f>
        <v>0</v>
      </c>
      <c r="AD332" s="127"/>
    </row>
    <row r="333" spans="1:30" ht="30" customHeight="1" x14ac:dyDescent="0.3">
      <c r="A333" s="92" t="s">
        <v>89</v>
      </c>
      <c r="B333" s="92" t="s">
        <v>96</v>
      </c>
      <c r="C333" s="16" t="s">
        <v>340</v>
      </c>
      <c r="D333" s="16">
        <v>77636</v>
      </c>
      <c r="E333" s="16">
        <v>76832</v>
      </c>
      <c r="F333" s="17" t="s">
        <v>370</v>
      </c>
      <c r="G333" s="17" t="s">
        <v>226</v>
      </c>
      <c r="H333" s="151" t="s">
        <v>123</v>
      </c>
      <c r="I333" s="16">
        <v>1</v>
      </c>
      <c r="J333" s="16">
        <v>2.5</v>
      </c>
      <c r="K333" s="16">
        <v>2.5</v>
      </c>
      <c r="L333" s="16">
        <v>3</v>
      </c>
      <c r="M333" s="16"/>
      <c r="N333" s="93" t="s">
        <v>224</v>
      </c>
      <c r="O333" s="93">
        <f t="shared" si="48"/>
        <v>18.75</v>
      </c>
      <c r="P333" s="118">
        <v>44882</v>
      </c>
      <c r="Q333" s="18">
        <v>44894</v>
      </c>
      <c r="R333" s="105">
        <v>1</v>
      </c>
      <c r="S333" s="105">
        <v>1</v>
      </c>
      <c r="T333" s="105">
        <v>1</v>
      </c>
      <c r="U333" s="20">
        <f>IF(ISBLANK(Table1[[#This Row],[OHC Date]]),$B$7-Table1[[#This Row],[HOC Date]]+1,Table1[[#This Row],[OHC Date]]-Table1[[#This Row],[HOC Date]]+1)/7</f>
        <v>1.8571428571428572</v>
      </c>
      <c r="V333" s="21">
        <v>5.29</v>
      </c>
      <c r="W333" s="21">
        <v>0.35</v>
      </c>
      <c r="X333" s="21">
        <f>ROUND(0.7*Table1[[#This Row],[E&amp;D Rate per unit]]*R333*Table1[[#This Row],[Quantity]],2)</f>
        <v>69.430000000000007</v>
      </c>
      <c r="Y333" s="21">
        <f t="shared" si="49"/>
        <v>12.19</v>
      </c>
      <c r="Z333" s="21">
        <f>ROUND(0.3*T333*Table1[[#This Row],[E&amp;D Rate per unit]]*Table1[[#This Row],[Quantity]],2)</f>
        <v>29.76</v>
      </c>
      <c r="AA333" s="21">
        <f t="shared" si="50"/>
        <v>111.38</v>
      </c>
      <c r="AB333" s="129">
        <v>111.38</v>
      </c>
      <c r="AC333" s="129">
        <f>Table1[[#This Row],[Total Amount]]-Table1[[#This Row],[Previous Amount]]</f>
        <v>0</v>
      </c>
      <c r="AD333" s="127"/>
    </row>
    <row r="334" spans="1:30" ht="30" customHeight="1" x14ac:dyDescent="0.3">
      <c r="A334" s="92" t="s">
        <v>89</v>
      </c>
      <c r="B334" s="92" t="s">
        <v>96</v>
      </c>
      <c r="C334" s="16">
        <v>47</v>
      </c>
      <c r="D334" s="16">
        <v>77637</v>
      </c>
      <c r="E334" s="16">
        <v>76836</v>
      </c>
      <c r="F334" s="17" t="s">
        <v>370</v>
      </c>
      <c r="G334" s="17" t="s">
        <v>226</v>
      </c>
      <c r="H334" s="16" t="s">
        <v>220</v>
      </c>
      <c r="I334" s="16">
        <v>1</v>
      </c>
      <c r="J334" s="16">
        <v>2.5</v>
      </c>
      <c r="K334" s="16">
        <v>2.5</v>
      </c>
      <c r="L334" s="16">
        <v>4.2</v>
      </c>
      <c r="M334" s="16">
        <v>1</v>
      </c>
      <c r="N334" s="93" t="s">
        <v>221</v>
      </c>
      <c r="O334" s="93">
        <f t="shared" si="48"/>
        <v>4.2</v>
      </c>
      <c r="P334" s="118">
        <v>44882</v>
      </c>
      <c r="Q334" s="18">
        <v>44894</v>
      </c>
      <c r="R334" s="105">
        <v>1</v>
      </c>
      <c r="S334" s="105">
        <v>1</v>
      </c>
      <c r="T334" s="105">
        <v>1</v>
      </c>
      <c r="U334" s="20">
        <f>IF(ISBLANK(Table1[[#This Row],[OHC Date]]),$B$7-Table1[[#This Row],[HOC Date]]+1,Table1[[#This Row],[OHC Date]]-Table1[[#This Row],[HOC Date]]+1)/7</f>
        <v>1.8571428571428572</v>
      </c>
      <c r="V334" s="21">
        <v>63.34</v>
      </c>
      <c r="W334" s="21">
        <v>7.28</v>
      </c>
      <c r="X334" s="21">
        <f>ROUND(0.7*Table1[[#This Row],[E&amp;D Rate per unit]]*R334*Table1[[#This Row],[Quantity]],2)</f>
        <v>186.22</v>
      </c>
      <c r="Y334" s="21">
        <f t="shared" si="49"/>
        <v>56.78</v>
      </c>
      <c r="Z334" s="21">
        <f>ROUND(0.3*T334*Table1[[#This Row],[E&amp;D Rate per unit]]*Table1[[#This Row],[Quantity]],2)</f>
        <v>79.81</v>
      </c>
      <c r="AA334" s="21">
        <f t="shared" si="50"/>
        <v>322.81</v>
      </c>
      <c r="AB334" s="129">
        <v>322.81</v>
      </c>
      <c r="AC334" s="129">
        <f>Table1[[#This Row],[Total Amount]]-Table1[[#This Row],[Previous Amount]]</f>
        <v>0</v>
      </c>
      <c r="AD334" s="127"/>
    </row>
    <row r="335" spans="1:30" ht="30" customHeight="1" x14ac:dyDescent="0.3">
      <c r="A335" s="92" t="s">
        <v>89</v>
      </c>
      <c r="B335" s="92" t="s">
        <v>96</v>
      </c>
      <c r="C335" s="16">
        <v>48</v>
      </c>
      <c r="D335" s="16">
        <v>77638</v>
      </c>
      <c r="E335" s="16">
        <v>80837</v>
      </c>
      <c r="F335" s="17" t="s">
        <v>418</v>
      </c>
      <c r="G335" s="17" t="s">
        <v>276</v>
      </c>
      <c r="H335" s="16" t="s">
        <v>220</v>
      </c>
      <c r="I335" s="16">
        <v>1</v>
      </c>
      <c r="J335" s="16">
        <v>1.8</v>
      </c>
      <c r="K335" s="16">
        <v>1.8</v>
      </c>
      <c r="L335" s="16">
        <v>1.5</v>
      </c>
      <c r="M335" s="16">
        <v>1</v>
      </c>
      <c r="N335" s="93" t="s">
        <v>221</v>
      </c>
      <c r="O335" s="93">
        <f t="shared" si="48"/>
        <v>1.5</v>
      </c>
      <c r="P335" s="118">
        <v>44882</v>
      </c>
      <c r="Q335" s="18">
        <v>44916</v>
      </c>
      <c r="R335" s="105">
        <v>1</v>
      </c>
      <c r="S335" s="105">
        <v>1</v>
      </c>
      <c r="T335" s="105">
        <v>1</v>
      </c>
      <c r="U335" s="20">
        <f>IF(ISBLANK(Table1[[#This Row],[OHC Date]]),$B$7-Table1[[#This Row],[HOC Date]]+1,Table1[[#This Row],[OHC Date]]-Table1[[#This Row],[HOC Date]]+1)/7</f>
        <v>5</v>
      </c>
      <c r="V335" s="21">
        <v>63.34</v>
      </c>
      <c r="W335" s="21">
        <v>7.28</v>
      </c>
      <c r="X335" s="21">
        <f>ROUND(0.7*Table1[[#This Row],[E&amp;D Rate per unit]]*R335*Table1[[#This Row],[Quantity]],2)</f>
        <v>66.510000000000005</v>
      </c>
      <c r="Y335" s="21">
        <f t="shared" si="49"/>
        <v>54.6</v>
      </c>
      <c r="Z335" s="21">
        <f>ROUND(0.3*T335*Table1[[#This Row],[E&amp;D Rate per unit]]*Table1[[#This Row],[Quantity]],2)</f>
        <v>28.5</v>
      </c>
      <c r="AA335" s="21">
        <f t="shared" si="50"/>
        <v>149.61000000000001</v>
      </c>
      <c r="AB335" s="129">
        <v>149.61000000000001</v>
      </c>
      <c r="AC335" s="129">
        <f>Table1[[#This Row],[Total Amount]]-Table1[[#This Row],[Previous Amount]]</f>
        <v>0</v>
      </c>
      <c r="AD335" s="127"/>
    </row>
    <row r="336" spans="1:30" ht="30" customHeight="1" x14ac:dyDescent="0.3">
      <c r="A336" s="92" t="s">
        <v>89</v>
      </c>
      <c r="B336" s="92" t="s">
        <v>96</v>
      </c>
      <c r="C336" s="16" t="s">
        <v>419</v>
      </c>
      <c r="D336" s="16">
        <v>77638</v>
      </c>
      <c r="E336" s="16">
        <v>80837</v>
      </c>
      <c r="F336" s="17" t="s">
        <v>418</v>
      </c>
      <c r="G336" s="17" t="s">
        <v>276</v>
      </c>
      <c r="H336" s="102" t="s">
        <v>126</v>
      </c>
      <c r="I336" s="16">
        <v>1</v>
      </c>
      <c r="J336" s="16">
        <v>3.5</v>
      </c>
      <c r="K336" s="16">
        <v>0.5</v>
      </c>
      <c r="L336" s="16">
        <v>1</v>
      </c>
      <c r="M336" s="16">
        <v>1</v>
      </c>
      <c r="N336" s="93" t="s">
        <v>160</v>
      </c>
      <c r="O336" s="93">
        <f t="shared" si="48"/>
        <v>1.75</v>
      </c>
      <c r="P336" s="118">
        <v>44882</v>
      </c>
      <c r="Q336" s="18">
        <v>44916</v>
      </c>
      <c r="R336" s="105">
        <v>1</v>
      </c>
      <c r="S336" s="105">
        <v>1</v>
      </c>
      <c r="T336" s="105">
        <v>1</v>
      </c>
      <c r="U336" s="20">
        <f>IF(ISBLANK(Table1[[#This Row],[OHC Date]]),$B$7-Table1[[#This Row],[HOC Date]]+1,Table1[[#This Row],[OHC Date]]-Table1[[#This Row],[HOC Date]]+1)/7</f>
        <v>5</v>
      </c>
      <c r="V336" s="21">
        <v>32.75</v>
      </c>
      <c r="W336" s="21">
        <v>1.05</v>
      </c>
      <c r="X336" s="21">
        <f>ROUND(0.7*Table1[[#This Row],[E&amp;D Rate per unit]]*R336*Table1[[#This Row],[Quantity]],2)</f>
        <v>40.119999999999997</v>
      </c>
      <c r="Y336" s="21">
        <f t="shared" si="49"/>
        <v>9.19</v>
      </c>
      <c r="Z336" s="21">
        <f>ROUND(0.3*T336*Table1[[#This Row],[E&amp;D Rate per unit]]*Table1[[#This Row],[Quantity]],2)</f>
        <v>17.190000000000001</v>
      </c>
      <c r="AA336" s="21">
        <f t="shared" si="50"/>
        <v>66.5</v>
      </c>
      <c r="AB336" s="129">
        <v>66.5</v>
      </c>
      <c r="AC336" s="129">
        <f>Table1[[#This Row],[Total Amount]]-Table1[[#This Row],[Previous Amount]]</f>
        <v>0</v>
      </c>
      <c r="AD336" s="127"/>
    </row>
    <row r="337" spans="1:30" ht="30" customHeight="1" x14ac:dyDescent="0.3">
      <c r="A337" s="92" t="s">
        <v>89</v>
      </c>
      <c r="B337" s="92" t="s">
        <v>96</v>
      </c>
      <c r="C337" s="16" t="s">
        <v>419</v>
      </c>
      <c r="D337" s="16">
        <v>77638</v>
      </c>
      <c r="E337" s="16">
        <v>80837</v>
      </c>
      <c r="F337" s="17" t="s">
        <v>418</v>
      </c>
      <c r="G337" s="17" t="s">
        <v>276</v>
      </c>
      <c r="H337" s="16" t="s">
        <v>420</v>
      </c>
      <c r="I337" s="16">
        <v>1</v>
      </c>
      <c r="J337" s="16">
        <v>9</v>
      </c>
      <c r="K337" s="16">
        <v>1</v>
      </c>
      <c r="L337" s="16">
        <v>1</v>
      </c>
      <c r="M337" s="16">
        <v>1</v>
      </c>
      <c r="N337" s="93" t="s">
        <v>206</v>
      </c>
      <c r="O337" s="93">
        <f t="shared" si="48"/>
        <v>9</v>
      </c>
      <c r="P337" s="118">
        <v>44882</v>
      </c>
      <c r="Q337" s="18">
        <v>44916</v>
      </c>
      <c r="R337" s="105">
        <v>1</v>
      </c>
      <c r="S337" s="105">
        <v>1</v>
      </c>
      <c r="T337" s="105">
        <v>1</v>
      </c>
      <c r="U337" s="20">
        <f>IF(ISBLANK(Table1[[#This Row],[OHC Date]]),$B$7-Table1[[#This Row],[HOC Date]]+1,Table1[[#This Row],[OHC Date]]-Table1[[#This Row],[HOC Date]]+1)/7</f>
        <v>5</v>
      </c>
      <c r="V337" s="21">
        <v>8.52</v>
      </c>
      <c r="W337" s="21">
        <v>0</v>
      </c>
      <c r="X337" s="21">
        <f>ROUND(0.7*Table1[[#This Row],[E&amp;D Rate per unit]]*R337*Table1[[#This Row],[Quantity]],2)</f>
        <v>53.68</v>
      </c>
      <c r="Y337" s="21">
        <f t="shared" si="49"/>
        <v>0</v>
      </c>
      <c r="Z337" s="21">
        <f>ROUND(0.3*T337*Table1[[#This Row],[E&amp;D Rate per unit]]*Table1[[#This Row],[Quantity]],2)</f>
        <v>23</v>
      </c>
      <c r="AA337" s="21">
        <f t="shared" si="50"/>
        <v>76.680000000000007</v>
      </c>
      <c r="AB337" s="129">
        <v>76.680000000000007</v>
      </c>
      <c r="AC337" s="129">
        <f>Table1[[#This Row],[Total Amount]]-Table1[[#This Row],[Previous Amount]]</f>
        <v>0</v>
      </c>
      <c r="AD337" s="127"/>
    </row>
    <row r="338" spans="1:30" ht="30" customHeight="1" x14ac:dyDescent="0.3">
      <c r="A338" s="92" t="s">
        <v>89</v>
      </c>
      <c r="B338" s="92" t="s">
        <v>96</v>
      </c>
      <c r="C338" s="16" t="s">
        <v>421</v>
      </c>
      <c r="D338" s="16">
        <v>77639</v>
      </c>
      <c r="E338" s="16">
        <v>76848</v>
      </c>
      <c r="F338" s="17" t="s">
        <v>418</v>
      </c>
      <c r="G338" s="17" t="s">
        <v>400</v>
      </c>
      <c r="H338" s="16" t="s">
        <v>220</v>
      </c>
      <c r="I338" s="16">
        <v>1</v>
      </c>
      <c r="J338" s="16">
        <v>1.8</v>
      </c>
      <c r="K338" s="16">
        <v>1.8</v>
      </c>
      <c r="L338" s="16">
        <v>7</v>
      </c>
      <c r="M338" s="16">
        <v>1</v>
      </c>
      <c r="N338" s="93" t="s">
        <v>221</v>
      </c>
      <c r="O338" s="93">
        <f t="shared" si="48"/>
        <v>7</v>
      </c>
      <c r="P338" s="118">
        <v>44882</v>
      </c>
      <c r="Q338" s="18">
        <v>44907</v>
      </c>
      <c r="R338" s="105">
        <v>1</v>
      </c>
      <c r="S338" s="105">
        <v>1</v>
      </c>
      <c r="T338" s="105">
        <v>1</v>
      </c>
      <c r="U338" s="20">
        <f>IF(ISBLANK(Table1[[#This Row],[OHC Date]]),$B$7-Table1[[#This Row],[HOC Date]]+1,Table1[[#This Row],[OHC Date]]-Table1[[#This Row],[HOC Date]]+1)/7</f>
        <v>3.7142857142857144</v>
      </c>
      <c r="V338" s="21">
        <v>63.34</v>
      </c>
      <c r="W338" s="21">
        <v>7.28</v>
      </c>
      <c r="X338" s="21">
        <f>ROUND(0.7*Table1[[#This Row],[E&amp;D Rate per unit]]*R338*Table1[[#This Row],[Quantity]],2)</f>
        <v>310.37</v>
      </c>
      <c r="Y338" s="21">
        <f t="shared" si="49"/>
        <v>189.28</v>
      </c>
      <c r="Z338" s="21">
        <f>ROUND(0.3*T338*Table1[[#This Row],[E&amp;D Rate per unit]]*Table1[[#This Row],[Quantity]],2)</f>
        <v>133.01</v>
      </c>
      <c r="AA338" s="21">
        <f t="shared" si="50"/>
        <v>632.66</v>
      </c>
      <c r="AB338" s="129">
        <v>632.66</v>
      </c>
      <c r="AC338" s="129">
        <f>Table1[[#This Row],[Total Amount]]-Table1[[#This Row],[Previous Amount]]</f>
        <v>0</v>
      </c>
      <c r="AD338" s="127"/>
    </row>
    <row r="339" spans="1:30" ht="30" customHeight="1" x14ac:dyDescent="0.3">
      <c r="A339" s="92" t="s">
        <v>89</v>
      </c>
      <c r="B339" s="92" t="s">
        <v>96</v>
      </c>
      <c r="C339" s="16" t="s">
        <v>422</v>
      </c>
      <c r="D339" s="16">
        <v>77639</v>
      </c>
      <c r="E339" s="16">
        <v>76849</v>
      </c>
      <c r="F339" s="17" t="s">
        <v>418</v>
      </c>
      <c r="G339" s="17" t="s">
        <v>400</v>
      </c>
      <c r="H339" s="102" t="s">
        <v>126</v>
      </c>
      <c r="I339" s="16">
        <v>1</v>
      </c>
      <c r="J339" s="16">
        <v>3</v>
      </c>
      <c r="K339" s="16">
        <v>0.5</v>
      </c>
      <c r="L339" s="16">
        <v>1</v>
      </c>
      <c r="M339" s="16">
        <v>1</v>
      </c>
      <c r="N339" s="93" t="s">
        <v>160</v>
      </c>
      <c r="O339" s="93">
        <f t="shared" si="48"/>
        <v>1.5</v>
      </c>
      <c r="P339" s="118">
        <v>44882</v>
      </c>
      <c r="Q339" s="18">
        <v>44907</v>
      </c>
      <c r="R339" s="105">
        <v>1</v>
      </c>
      <c r="S339" s="105">
        <v>1</v>
      </c>
      <c r="T339" s="105">
        <v>1</v>
      </c>
      <c r="U339" s="20">
        <f>IF(ISBLANK(Table1[[#This Row],[OHC Date]]),$B$7-Table1[[#This Row],[HOC Date]]+1,Table1[[#This Row],[OHC Date]]-Table1[[#This Row],[HOC Date]]+1)/7</f>
        <v>3.7142857142857144</v>
      </c>
      <c r="V339" s="21">
        <v>32.75</v>
      </c>
      <c r="W339" s="21">
        <v>1.05</v>
      </c>
      <c r="X339" s="21">
        <f>ROUND(0.7*Table1[[#This Row],[E&amp;D Rate per unit]]*R339*Table1[[#This Row],[Quantity]],2)</f>
        <v>34.39</v>
      </c>
      <c r="Y339" s="21">
        <f t="shared" si="49"/>
        <v>5.85</v>
      </c>
      <c r="Z339" s="21">
        <f>ROUND(0.3*T339*Table1[[#This Row],[E&amp;D Rate per unit]]*Table1[[#This Row],[Quantity]],2)</f>
        <v>14.74</v>
      </c>
      <c r="AA339" s="21">
        <f t="shared" si="50"/>
        <v>54.98</v>
      </c>
      <c r="AB339" s="129">
        <v>54.98</v>
      </c>
      <c r="AC339" s="129">
        <f>Table1[[#This Row],[Total Amount]]-Table1[[#This Row],[Previous Amount]]</f>
        <v>0</v>
      </c>
      <c r="AD339" s="127"/>
    </row>
    <row r="340" spans="1:30" ht="30" customHeight="1" x14ac:dyDescent="0.3">
      <c r="A340" s="92" t="s">
        <v>89</v>
      </c>
      <c r="B340" s="92" t="s">
        <v>96</v>
      </c>
      <c r="C340" s="16" t="s">
        <v>422</v>
      </c>
      <c r="D340" s="16">
        <v>77639</v>
      </c>
      <c r="E340" s="16">
        <v>76849</v>
      </c>
      <c r="F340" s="17" t="s">
        <v>418</v>
      </c>
      <c r="G340" s="17" t="s">
        <v>400</v>
      </c>
      <c r="H340" s="16" t="s">
        <v>420</v>
      </c>
      <c r="I340" s="16">
        <v>1</v>
      </c>
      <c r="J340" s="16">
        <v>37.799999999999997</v>
      </c>
      <c r="K340" s="16">
        <v>1</v>
      </c>
      <c r="L340" s="16">
        <v>1</v>
      </c>
      <c r="M340" s="16"/>
      <c r="N340" s="93" t="s">
        <v>206</v>
      </c>
      <c r="O340" s="93">
        <f t="shared" si="48"/>
        <v>37.799999999999997</v>
      </c>
      <c r="P340" s="118">
        <v>44882</v>
      </c>
      <c r="Q340" s="18">
        <v>44907</v>
      </c>
      <c r="R340" s="105">
        <v>1</v>
      </c>
      <c r="S340" s="105">
        <v>1</v>
      </c>
      <c r="T340" s="105">
        <v>1</v>
      </c>
      <c r="U340" s="20">
        <f>IF(ISBLANK(Table1[[#This Row],[OHC Date]]),$B$7-Table1[[#This Row],[HOC Date]]+1,Table1[[#This Row],[OHC Date]]-Table1[[#This Row],[HOC Date]]+1)/7</f>
        <v>3.7142857142857144</v>
      </c>
      <c r="V340" s="21">
        <v>8.52</v>
      </c>
      <c r="W340" s="21"/>
      <c r="X340" s="21">
        <f>ROUND(0.7*Table1[[#This Row],[E&amp;D Rate per unit]]*R340*Table1[[#This Row],[Quantity]],2)</f>
        <v>225.44</v>
      </c>
      <c r="Y340" s="21">
        <f t="shared" si="49"/>
        <v>0</v>
      </c>
      <c r="Z340" s="21">
        <f>ROUND(0.3*T340*Table1[[#This Row],[E&amp;D Rate per unit]]*Table1[[#This Row],[Quantity]],2)</f>
        <v>96.62</v>
      </c>
      <c r="AA340" s="21">
        <f t="shared" si="50"/>
        <v>322.06</v>
      </c>
      <c r="AB340" s="129">
        <v>322.06</v>
      </c>
      <c r="AC340" s="129">
        <f>Table1[[#This Row],[Total Amount]]-Table1[[#This Row],[Previous Amount]]</f>
        <v>0</v>
      </c>
      <c r="AD340" s="127"/>
    </row>
    <row r="341" spans="1:30" ht="30" customHeight="1" x14ac:dyDescent="0.3">
      <c r="A341" s="101" t="s">
        <v>95</v>
      </c>
      <c r="B341" s="92" t="s">
        <v>96</v>
      </c>
      <c r="C341" s="16">
        <v>49</v>
      </c>
      <c r="D341" s="16">
        <v>77640</v>
      </c>
      <c r="E341" s="16"/>
      <c r="F341" s="17" t="s">
        <v>281</v>
      </c>
      <c r="G341" s="17" t="s">
        <v>163</v>
      </c>
      <c r="H341" s="16" t="s">
        <v>424</v>
      </c>
      <c r="I341" s="16">
        <v>1</v>
      </c>
      <c r="J341" s="16">
        <v>21</v>
      </c>
      <c r="K341" s="16">
        <v>1.8</v>
      </c>
      <c r="L341" s="16">
        <v>4</v>
      </c>
      <c r="M341" s="16">
        <v>1</v>
      </c>
      <c r="N341" s="93" t="s">
        <v>283</v>
      </c>
      <c r="O341" s="93">
        <f t="shared" si="48"/>
        <v>21</v>
      </c>
      <c r="P341" s="186">
        <v>44882</v>
      </c>
      <c r="Q341" s="18"/>
      <c r="R341" s="19">
        <v>1</v>
      </c>
      <c r="S341" s="19">
        <v>1</v>
      </c>
      <c r="T341" s="19">
        <v>0</v>
      </c>
      <c r="U341" s="20">
        <f>IF(ISBLANK(Table1[[#This Row],[OHC Date]]),$B$7-Table1[[#This Row],[HOC Date]]+1,Table1[[#This Row],[OHC Date]]-Table1[[#This Row],[HOC Date]]+1)/7</f>
        <v>10</v>
      </c>
      <c r="V341" s="107">
        <v>1002.22</v>
      </c>
      <c r="W341" s="107">
        <v>98.12</v>
      </c>
      <c r="X341" s="21">
        <f>ROUND(0.7*Table1[[#This Row],[E&amp;D Rate per unit]]*R341*Table1[[#This Row],[Quantity]],2)</f>
        <v>14732.63</v>
      </c>
      <c r="Y341" s="21">
        <f t="shared" si="49"/>
        <v>20605.2</v>
      </c>
      <c r="Z341" s="21">
        <f>ROUND(0.3*T341*Table1[[#This Row],[E&amp;D Rate per unit]]*Table1[[#This Row],[Quantity]],2)</f>
        <v>0</v>
      </c>
      <c r="AA341" s="21">
        <f t="shared" si="50"/>
        <v>35337.83</v>
      </c>
      <c r="AB341" s="129">
        <v>26212.67</v>
      </c>
      <c r="AC341" s="129">
        <f>Table1[[#This Row],[Total Amount]]-Table1[[#This Row],[Previous Amount]]</f>
        <v>9125.1600000000035</v>
      </c>
      <c r="AD341" s="108" t="s">
        <v>282</v>
      </c>
    </row>
    <row r="342" spans="1:30" ht="30" customHeight="1" x14ac:dyDescent="0.3">
      <c r="A342" s="92" t="s">
        <v>89</v>
      </c>
      <c r="B342" s="92" t="s">
        <v>96</v>
      </c>
      <c r="C342" s="16" t="s">
        <v>425</v>
      </c>
      <c r="D342" s="16">
        <v>77641</v>
      </c>
      <c r="E342" s="16"/>
      <c r="F342" s="17" t="s">
        <v>423</v>
      </c>
      <c r="G342" s="17" t="s">
        <v>163</v>
      </c>
      <c r="H342" s="16" t="s">
        <v>176</v>
      </c>
      <c r="I342" s="16">
        <v>1</v>
      </c>
      <c r="J342" s="16">
        <v>15</v>
      </c>
      <c r="K342" s="16">
        <v>1</v>
      </c>
      <c r="L342" s="16">
        <v>1</v>
      </c>
      <c r="M342" s="16">
        <v>1</v>
      </c>
      <c r="N342" s="93" t="s">
        <v>160</v>
      </c>
      <c r="O342" s="93">
        <f t="shared" si="48"/>
        <v>15</v>
      </c>
      <c r="P342" s="186">
        <v>44882</v>
      </c>
      <c r="Q342" s="18"/>
      <c r="R342" s="19">
        <v>1</v>
      </c>
      <c r="S342" s="19">
        <v>1</v>
      </c>
      <c r="T342" s="19">
        <v>0</v>
      </c>
      <c r="U342" s="20">
        <f>IF(ISBLANK(Table1[[#This Row],[OHC Date]]),$B$7-Table1[[#This Row],[HOC Date]]+1,Table1[[#This Row],[OHC Date]]-Table1[[#This Row],[HOC Date]]+1)/7</f>
        <v>10</v>
      </c>
      <c r="V342" s="21">
        <v>6.63</v>
      </c>
      <c r="W342" s="21">
        <v>0.7</v>
      </c>
      <c r="X342" s="21">
        <f>ROUND(0.7*Table1[[#This Row],[E&amp;D Rate per unit]]*R342*Table1[[#This Row],[Quantity]],2)</f>
        <v>69.62</v>
      </c>
      <c r="Y342" s="21">
        <f t="shared" si="49"/>
        <v>105</v>
      </c>
      <c r="Z342" s="21">
        <f>ROUND(0.3*T342*Table1[[#This Row],[E&amp;D Rate per unit]]*Table1[[#This Row],[Quantity]],2)</f>
        <v>0</v>
      </c>
      <c r="AA342" s="21">
        <f t="shared" si="50"/>
        <v>174.62</v>
      </c>
      <c r="AB342" s="129">
        <v>128.12</v>
      </c>
      <c r="AC342" s="129">
        <f>Table1[[#This Row],[Total Amount]]-Table1[[#This Row],[Previous Amount]]</f>
        <v>46.5</v>
      </c>
      <c r="AD342" s="127"/>
    </row>
    <row r="343" spans="1:30" ht="30" customHeight="1" x14ac:dyDescent="0.3">
      <c r="A343" s="92" t="s">
        <v>89</v>
      </c>
      <c r="B343" s="92" t="s">
        <v>96</v>
      </c>
      <c r="C343" s="16">
        <v>50</v>
      </c>
      <c r="D343" s="16">
        <v>77642</v>
      </c>
      <c r="E343" s="16">
        <v>76837</v>
      </c>
      <c r="F343" s="17" t="s">
        <v>370</v>
      </c>
      <c r="G343" s="17" t="s">
        <v>226</v>
      </c>
      <c r="H343" s="16" t="s">
        <v>220</v>
      </c>
      <c r="I343" s="16">
        <v>1</v>
      </c>
      <c r="J343" s="16">
        <v>2.5</v>
      </c>
      <c r="K343" s="16">
        <v>2.5</v>
      </c>
      <c r="L343" s="16">
        <v>4</v>
      </c>
      <c r="M343" s="16">
        <v>1</v>
      </c>
      <c r="N343" s="93" t="s">
        <v>221</v>
      </c>
      <c r="O343" s="93">
        <f t="shared" si="48"/>
        <v>4</v>
      </c>
      <c r="P343" s="118">
        <v>44883</v>
      </c>
      <c r="Q343" s="18">
        <v>44894</v>
      </c>
      <c r="R343" s="19">
        <v>1</v>
      </c>
      <c r="S343" s="19">
        <v>1</v>
      </c>
      <c r="T343" s="19">
        <v>1</v>
      </c>
      <c r="U343" s="20">
        <f>IF(ISBLANK(Table1[[#This Row],[OHC Date]]),$B$7-Table1[[#This Row],[HOC Date]]+1,Table1[[#This Row],[OHC Date]]-Table1[[#This Row],[HOC Date]]+1)/7</f>
        <v>1.7142857142857142</v>
      </c>
      <c r="V343" s="21">
        <v>63.34</v>
      </c>
      <c r="W343" s="21">
        <v>7.28</v>
      </c>
      <c r="X343" s="21">
        <f>ROUND(0.7*Table1[[#This Row],[E&amp;D Rate per unit]]*R343*Table1[[#This Row],[Quantity]],2)</f>
        <v>177.35</v>
      </c>
      <c r="Y343" s="21">
        <f t="shared" si="49"/>
        <v>49.92</v>
      </c>
      <c r="Z343" s="21">
        <f>ROUND(0.3*T343*Table1[[#This Row],[E&amp;D Rate per unit]]*Table1[[#This Row],[Quantity]],2)</f>
        <v>76.010000000000005</v>
      </c>
      <c r="AA343" s="21">
        <f t="shared" si="50"/>
        <v>303.27999999999997</v>
      </c>
      <c r="AB343" s="129">
        <v>303.27999999999997</v>
      </c>
      <c r="AC343" s="129">
        <f>Table1[[#This Row],[Total Amount]]-Table1[[#This Row],[Previous Amount]]</f>
        <v>0</v>
      </c>
      <c r="AD343" s="127"/>
    </row>
    <row r="344" spans="1:30" ht="30" customHeight="1" x14ac:dyDescent="0.3">
      <c r="A344" s="92" t="s">
        <v>89</v>
      </c>
      <c r="B344" s="92" t="s">
        <v>96</v>
      </c>
      <c r="C344" s="16">
        <v>51</v>
      </c>
      <c r="D344" s="16">
        <v>77643</v>
      </c>
      <c r="E344" s="16"/>
      <c r="F344" s="17" t="s">
        <v>383</v>
      </c>
      <c r="G344" s="17" t="s">
        <v>200</v>
      </c>
      <c r="H344" s="102" t="s">
        <v>118</v>
      </c>
      <c r="I344" s="16">
        <v>1</v>
      </c>
      <c r="J344" s="16">
        <v>3.8</v>
      </c>
      <c r="K344" s="16">
        <v>2.5</v>
      </c>
      <c r="L344" s="16">
        <v>2.8</v>
      </c>
      <c r="M344" s="16">
        <v>1</v>
      </c>
      <c r="N344" s="93" t="s">
        <v>206</v>
      </c>
      <c r="O344" s="93">
        <f t="shared" si="48"/>
        <v>10.64</v>
      </c>
      <c r="P344" s="186">
        <v>44883</v>
      </c>
      <c r="Q344" s="18"/>
      <c r="R344" s="19">
        <v>1</v>
      </c>
      <c r="S344" s="19">
        <v>1</v>
      </c>
      <c r="T344" s="19">
        <v>0</v>
      </c>
      <c r="U344" s="20">
        <f>IF(ISBLANK(Table1[[#This Row],[OHC Date]]),$B$7-Table1[[#This Row],[HOC Date]]+1,Table1[[#This Row],[OHC Date]]-Table1[[#This Row],[HOC Date]]+1)/7</f>
        <v>9.8571428571428577</v>
      </c>
      <c r="V344" s="107">
        <v>16.760000000000002</v>
      </c>
      <c r="W344" s="107">
        <v>0.77</v>
      </c>
      <c r="X344" s="21">
        <f>ROUND(0.7*Table1[[#This Row],[E&amp;D Rate per unit]]*R344*Table1[[#This Row],[Quantity]],2)</f>
        <v>124.83</v>
      </c>
      <c r="Y344" s="21">
        <f>ROUND(O344*U344*W344*S344,2)</f>
        <v>80.760000000000005</v>
      </c>
      <c r="Z344" s="21">
        <f>ROUND(0.3*T344*Table1[[#This Row],[E&amp;D Rate per unit]]*Table1[[#This Row],[Quantity]],2)</f>
        <v>0</v>
      </c>
      <c r="AA344" s="21">
        <f t="shared" si="50"/>
        <v>205.59</v>
      </c>
      <c r="AB344" s="129">
        <v>169.31</v>
      </c>
      <c r="AC344" s="129">
        <f>Table1[[#This Row],[Total Amount]]-Table1[[#This Row],[Previous Amount]]</f>
        <v>36.28</v>
      </c>
      <c r="AD344" s="127"/>
    </row>
    <row r="345" spans="1:30" ht="30" customHeight="1" x14ac:dyDescent="0.3">
      <c r="A345" s="131" t="s">
        <v>426</v>
      </c>
      <c r="B345" s="92" t="s">
        <v>96</v>
      </c>
      <c r="C345" s="16">
        <v>52</v>
      </c>
      <c r="D345" s="16">
        <v>77645</v>
      </c>
      <c r="E345" s="16"/>
      <c r="F345" s="17" t="s">
        <v>427</v>
      </c>
      <c r="G345" s="17" t="s">
        <v>428</v>
      </c>
      <c r="H345" s="16" t="s">
        <v>220</v>
      </c>
      <c r="I345" s="16">
        <v>1</v>
      </c>
      <c r="J345" s="16">
        <v>2.5</v>
      </c>
      <c r="K345" s="16">
        <v>1.3</v>
      </c>
      <c r="L345" s="16">
        <v>3.5</v>
      </c>
      <c r="M345" s="16">
        <v>1</v>
      </c>
      <c r="N345" s="93" t="s">
        <v>56</v>
      </c>
      <c r="O345" s="93">
        <f t="shared" si="48"/>
        <v>1</v>
      </c>
      <c r="P345" s="186">
        <v>44883</v>
      </c>
      <c r="Q345" s="18"/>
      <c r="R345" s="19">
        <v>1</v>
      </c>
      <c r="S345" s="19">
        <v>1</v>
      </c>
      <c r="T345" s="19">
        <v>0</v>
      </c>
      <c r="U345" s="20">
        <f>IF(ISBLANK(Table1[[#This Row],[OHC Date]]),$B$7-Table1[[#This Row],[HOC Date]]+1,Table1[[#This Row],[OHC Date]]-Table1[[#This Row],[HOC Date]]+1)/7</f>
        <v>9.8571428571428577</v>
      </c>
      <c r="V345" s="21">
        <v>1118.57</v>
      </c>
      <c r="W345" s="21">
        <v>25.48</v>
      </c>
      <c r="X345" s="21">
        <f>ROUND(0.7*Table1[[#This Row],[E&amp;D Rate per unit]]*R345*Table1[[#This Row],[Quantity]],2)</f>
        <v>783</v>
      </c>
      <c r="Y345" s="21">
        <f t="shared" si="49"/>
        <v>251.16</v>
      </c>
      <c r="Z345" s="21">
        <f>ROUND(0.3*T345*Table1[[#This Row],[E&amp;D Rate per unit]]*Table1[[#This Row],[Quantity]],2)</f>
        <v>0</v>
      </c>
      <c r="AA345" s="21">
        <f t="shared" si="50"/>
        <v>1034.1600000000001</v>
      </c>
      <c r="AB345" s="129">
        <v>921.31</v>
      </c>
      <c r="AC345" s="129">
        <f>Table1[[#This Row],[Total Amount]]-Table1[[#This Row],[Previous Amount]]</f>
        <v>112.85000000000014</v>
      </c>
      <c r="AD345" s="132" t="s">
        <v>429</v>
      </c>
    </row>
    <row r="346" spans="1:30" ht="30" customHeight="1" x14ac:dyDescent="0.3">
      <c r="A346" s="92" t="s">
        <v>89</v>
      </c>
      <c r="B346" s="92" t="s">
        <v>96</v>
      </c>
      <c r="C346" s="16" t="s">
        <v>430</v>
      </c>
      <c r="D346" s="16">
        <v>77645</v>
      </c>
      <c r="E346" s="16"/>
      <c r="F346" s="17" t="s">
        <v>427</v>
      </c>
      <c r="G346" s="17" t="s">
        <v>431</v>
      </c>
      <c r="H346" s="102" t="s">
        <v>127</v>
      </c>
      <c r="I346" s="16">
        <v>1</v>
      </c>
      <c r="J346" s="16">
        <v>1.3</v>
      </c>
      <c r="K346" s="16">
        <v>0.75</v>
      </c>
      <c r="L346" s="16">
        <v>1</v>
      </c>
      <c r="M346" s="16">
        <v>1</v>
      </c>
      <c r="N346" s="93" t="s">
        <v>160</v>
      </c>
      <c r="O346" s="93">
        <f t="shared" si="48"/>
        <v>0.98</v>
      </c>
      <c r="P346" s="186">
        <v>44883</v>
      </c>
      <c r="Q346" s="18"/>
      <c r="R346" s="19">
        <v>1</v>
      </c>
      <c r="S346" s="19">
        <v>1</v>
      </c>
      <c r="T346" s="19">
        <v>0</v>
      </c>
      <c r="U346" s="20">
        <f>IF(ISBLANK(Table1[[#This Row],[OHC Date]]),$B$7-Table1[[#This Row],[HOC Date]]+1,Table1[[#This Row],[OHC Date]]-Table1[[#This Row],[HOC Date]]+1)/7</f>
        <v>9.8571428571428577</v>
      </c>
      <c r="V346" s="21">
        <v>36.520000000000003</v>
      </c>
      <c r="W346" s="21">
        <v>2.94</v>
      </c>
      <c r="X346" s="21">
        <f>ROUND(0.7*Table1[[#This Row],[E&amp;D Rate per unit]]*R346*Table1[[#This Row],[Quantity]],2)</f>
        <v>25.05</v>
      </c>
      <c r="Y346" s="21">
        <f t="shared" si="49"/>
        <v>28.4</v>
      </c>
      <c r="Z346" s="21">
        <f>ROUND(0.3*T346*Table1[[#This Row],[E&amp;D Rate per unit]]*Table1[[#This Row],[Quantity]],2)</f>
        <v>0</v>
      </c>
      <c r="AA346" s="21">
        <f t="shared" si="50"/>
        <v>53.45</v>
      </c>
      <c r="AB346" s="129">
        <v>40.69</v>
      </c>
      <c r="AC346" s="129">
        <f>Table1[[#This Row],[Total Amount]]-Table1[[#This Row],[Previous Amount]]</f>
        <v>12.760000000000005</v>
      </c>
      <c r="AD346" s="127"/>
    </row>
    <row r="347" spans="1:30" ht="30" customHeight="1" x14ac:dyDescent="0.3">
      <c r="A347" s="92" t="s">
        <v>89</v>
      </c>
      <c r="B347" s="92" t="s">
        <v>96</v>
      </c>
      <c r="C347" s="16" t="s">
        <v>432</v>
      </c>
      <c r="D347" s="16">
        <v>77646</v>
      </c>
      <c r="E347" s="16">
        <v>80811</v>
      </c>
      <c r="F347" s="17" t="s">
        <v>418</v>
      </c>
      <c r="G347" s="17" t="s">
        <v>251</v>
      </c>
      <c r="H347" s="16" t="s">
        <v>220</v>
      </c>
      <c r="I347" s="16">
        <v>1</v>
      </c>
      <c r="J347" s="16">
        <v>1.5</v>
      </c>
      <c r="K347" s="16">
        <v>0.5</v>
      </c>
      <c r="L347" s="16">
        <v>1.5</v>
      </c>
      <c r="M347" s="16">
        <v>1</v>
      </c>
      <c r="N347" s="93" t="s">
        <v>221</v>
      </c>
      <c r="O347" s="93">
        <f t="shared" si="48"/>
        <v>1.5</v>
      </c>
      <c r="P347" s="118">
        <v>44883</v>
      </c>
      <c r="Q347" s="18">
        <v>44912</v>
      </c>
      <c r="R347" s="19">
        <v>1</v>
      </c>
      <c r="S347" s="19">
        <v>1</v>
      </c>
      <c r="T347" s="19">
        <v>1</v>
      </c>
      <c r="U347" s="20">
        <f>IF(ISBLANK(Table1[[#This Row],[OHC Date]]),$B$7-Table1[[#This Row],[HOC Date]]+1,Table1[[#This Row],[OHC Date]]-Table1[[#This Row],[HOC Date]]+1)/7</f>
        <v>4.2857142857142856</v>
      </c>
      <c r="V347" s="21">
        <v>63.34</v>
      </c>
      <c r="W347" s="21">
        <v>7.28</v>
      </c>
      <c r="X347" s="21">
        <f>ROUND(0.7*Table1[[#This Row],[E&amp;D Rate per unit]]*R347*Table1[[#This Row],[Quantity]],2)</f>
        <v>66.510000000000005</v>
      </c>
      <c r="Y347" s="21">
        <f t="shared" si="49"/>
        <v>46.8</v>
      </c>
      <c r="Z347" s="21">
        <f>ROUND(0.3*T347*Table1[[#This Row],[E&amp;D Rate per unit]]*Table1[[#This Row],[Quantity]],2)</f>
        <v>28.5</v>
      </c>
      <c r="AA347" s="21">
        <f t="shared" si="50"/>
        <v>141.81</v>
      </c>
      <c r="AB347" s="129">
        <v>141.81</v>
      </c>
      <c r="AC347" s="129">
        <f>Table1[[#This Row],[Total Amount]]-Table1[[#This Row],[Previous Amount]]</f>
        <v>0</v>
      </c>
      <c r="AD347" s="127"/>
    </row>
    <row r="348" spans="1:30" ht="30" customHeight="1" x14ac:dyDescent="0.3">
      <c r="A348" s="92" t="s">
        <v>89</v>
      </c>
      <c r="B348" s="92" t="s">
        <v>96</v>
      </c>
      <c r="C348" s="16" t="s">
        <v>433</v>
      </c>
      <c r="D348" s="16">
        <v>77647</v>
      </c>
      <c r="E348" s="16">
        <v>76845</v>
      </c>
      <c r="F348" s="17" t="s">
        <v>434</v>
      </c>
      <c r="G348" s="17" t="s">
        <v>226</v>
      </c>
      <c r="H348" s="102" t="s">
        <v>127</v>
      </c>
      <c r="I348" s="16">
        <v>1</v>
      </c>
      <c r="J348" s="16">
        <v>1.5</v>
      </c>
      <c r="K348" s="16">
        <v>1</v>
      </c>
      <c r="L348" s="16">
        <v>1</v>
      </c>
      <c r="M348" s="16">
        <v>1</v>
      </c>
      <c r="N348" s="93" t="s">
        <v>160</v>
      </c>
      <c r="O348" s="93">
        <f t="shared" si="48"/>
        <v>1.5</v>
      </c>
      <c r="P348" s="118">
        <v>44884</v>
      </c>
      <c r="Q348" s="18">
        <v>44905</v>
      </c>
      <c r="R348" s="19">
        <v>1</v>
      </c>
      <c r="S348" s="19">
        <v>1</v>
      </c>
      <c r="T348" s="19">
        <v>1</v>
      </c>
      <c r="U348" s="20">
        <f>IF(ISBLANK(Table1[[#This Row],[OHC Date]]),$B$7-Table1[[#This Row],[HOC Date]]+1,Table1[[#This Row],[OHC Date]]-Table1[[#This Row],[HOC Date]]+1)/7</f>
        <v>3.1428571428571428</v>
      </c>
      <c r="V348" s="21">
        <v>36.520000000000003</v>
      </c>
      <c r="W348" s="21">
        <v>2.94</v>
      </c>
      <c r="X348" s="21">
        <f>ROUND(0.7*Table1[[#This Row],[E&amp;D Rate per unit]]*R348*Table1[[#This Row],[Quantity]],2)</f>
        <v>38.35</v>
      </c>
      <c r="Y348" s="21">
        <f t="shared" si="49"/>
        <v>13.86</v>
      </c>
      <c r="Z348" s="21">
        <f>ROUND(0.3*T348*Table1[[#This Row],[E&amp;D Rate per unit]]*Table1[[#This Row],[Quantity]],2)</f>
        <v>16.43</v>
      </c>
      <c r="AA348" s="21">
        <f t="shared" si="50"/>
        <v>68.64</v>
      </c>
      <c r="AB348" s="129">
        <v>68.64</v>
      </c>
      <c r="AC348" s="129">
        <f>Table1[[#This Row],[Total Amount]]-Table1[[#This Row],[Previous Amount]]</f>
        <v>0</v>
      </c>
      <c r="AD348" s="127"/>
    </row>
    <row r="349" spans="1:30" ht="30" customHeight="1" x14ac:dyDescent="0.3">
      <c r="A349" s="92" t="s">
        <v>89</v>
      </c>
      <c r="B349" s="92" t="s">
        <v>96</v>
      </c>
      <c r="C349" s="102" t="s">
        <v>435</v>
      </c>
      <c r="D349" s="102">
        <v>77644</v>
      </c>
      <c r="E349" s="102"/>
      <c r="F349" s="103" t="s">
        <v>383</v>
      </c>
      <c r="G349" s="17" t="s">
        <v>200</v>
      </c>
      <c r="H349" s="102" t="s">
        <v>220</v>
      </c>
      <c r="I349" s="102">
        <v>1</v>
      </c>
      <c r="J349" s="102">
        <v>2.5</v>
      </c>
      <c r="K349" s="102">
        <v>0.9</v>
      </c>
      <c r="L349" s="102">
        <v>2.5</v>
      </c>
      <c r="M349" s="102">
        <v>1</v>
      </c>
      <c r="N349" s="104" t="s">
        <v>221</v>
      </c>
      <c r="O349" s="104">
        <f t="shared" ref="O349:O367" si="51">ROUND(IF(N349="m3",I349*J349*K349*L349,IF(N349="m2-LxH",I349*J349*L349,IF(N349="m2-LxW",I349*J349*K349,IF(N349="rm",I349*L349,IF(N349="lm",I349*J349,IF(N349="unit",I349,"NA")))))),2)</f>
        <v>2.5</v>
      </c>
      <c r="P349" s="186">
        <v>44883</v>
      </c>
      <c r="Q349" s="118"/>
      <c r="R349" s="105">
        <v>1</v>
      </c>
      <c r="S349" s="105">
        <v>1</v>
      </c>
      <c r="T349" s="105">
        <v>0</v>
      </c>
      <c r="U349" s="106">
        <f>IF(ISBLANK(Table1[[#This Row],[OHC Date]]),$B$7-Table1[[#This Row],[HOC Date]]+1,Table1[[#This Row],[OHC Date]]-Table1[[#This Row],[HOC Date]]+1)/7</f>
        <v>9.8571428571428577</v>
      </c>
      <c r="V349" s="107">
        <v>63.34</v>
      </c>
      <c r="W349" s="107">
        <v>7.28</v>
      </c>
      <c r="X349" s="107">
        <f>ROUND(0.7*Table1[[#This Row],[E&amp;D Rate per unit]]*R349*Table1[[#This Row],[Quantity]],2)</f>
        <v>110.85</v>
      </c>
      <c r="Y349" s="107">
        <f t="shared" ref="Y349:Y367" si="52">ROUND(O349*U349*W349*S349,2)</f>
        <v>179.4</v>
      </c>
      <c r="Z349" s="107">
        <f>ROUND(0.3*T349*Table1[[#This Row],[E&amp;D Rate per unit]]*Table1[[#This Row],[Quantity]],2)</f>
        <v>0</v>
      </c>
      <c r="AA349" s="107">
        <f t="shared" ref="AA349:AA367" si="53">ROUND(X349+Z349+Y349,2)</f>
        <v>290.25</v>
      </c>
      <c r="AB349" s="126">
        <v>209.65</v>
      </c>
      <c r="AC349" s="126">
        <f>Table1[[#This Row],[Total Amount]]-Table1[[#This Row],[Previous Amount]]</f>
        <v>80.599999999999994</v>
      </c>
      <c r="AD349" s="108"/>
    </row>
    <row r="350" spans="1:30" ht="30" customHeight="1" x14ac:dyDescent="0.3">
      <c r="A350" s="131" t="s">
        <v>415</v>
      </c>
      <c r="B350" s="92" t="s">
        <v>96</v>
      </c>
      <c r="C350" s="152" t="s">
        <v>436</v>
      </c>
      <c r="D350" s="102">
        <v>77648</v>
      </c>
      <c r="E350" s="102"/>
      <c r="F350" s="103" t="s">
        <v>412</v>
      </c>
      <c r="G350" s="17" t="s">
        <v>200</v>
      </c>
      <c r="H350" s="102" t="s">
        <v>413</v>
      </c>
      <c r="I350" s="102">
        <v>1</v>
      </c>
      <c r="J350" s="102">
        <v>5.0999999999999996</v>
      </c>
      <c r="K350" s="102">
        <v>1.3</v>
      </c>
      <c r="L350" s="102">
        <v>5</v>
      </c>
      <c r="M350" s="102">
        <v>1</v>
      </c>
      <c r="N350" s="104" t="s">
        <v>206</v>
      </c>
      <c r="O350" s="104">
        <f t="shared" si="51"/>
        <v>25.5</v>
      </c>
      <c r="P350" s="118">
        <v>44886</v>
      </c>
      <c r="Q350" s="118"/>
      <c r="R350" s="105">
        <v>1</v>
      </c>
      <c r="S350" s="105">
        <v>1</v>
      </c>
      <c r="T350" s="105">
        <v>0</v>
      </c>
      <c r="U350" s="106">
        <f>IF(ISBLANK(Table1[[#This Row],[OHC Date]]),$B$7-Table1[[#This Row],[HOC Date]]+1,Table1[[#This Row],[OHC Date]]-Table1[[#This Row],[HOC Date]]+1)/7</f>
        <v>9.4285714285714288</v>
      </c>
      <c r="V350" s="107">
        <v>95.9</v>
      </c>
      <c r="W350" s="107">
        <v>13.9</v>
      </c>
      <c r="X350" s="107">
        <f>ROUND(0.7*Table1[[#This Row],[E&amp;D Rate per unit]]*R350*Table1[[#This Row],[Quantity]],2)</f>
        <v>1711.82</v>
      </c>
      <c r="Y350" s="107">
        <f t="shared" si="52"/>
        <v>3341.96</v>
      </c>
      <c r="Z350" s="107">
        <f>ROUND(0.3*T350*Table1[[#This Row],[E&amp;D Rate per unit]]*Table1[[#This Row],[Quantity]],2)</f>
        <v>0</v>
      </c>
      <c r="AA350" s="107">
        <f t="shared" si="53"/>
        <v>5053.78</v>
      </c>
      <c r="AB350" s="126">
        <v>3484.07</v>
      </c>
      <c r="AC350" s="126">
        <f>Table1[[#This Row],[Total Amount]]-Table1[[#This Row],[Previous Amount]]</f>
        <v>1569.7099999999996</v>
      </c>
      <c r="AD350" s="132" t="s">
        <v>437</v>
      </c>
    </row>
    <row r="351" spans="1:30" ht="30" customHeight="1" x14ac:dyDescent="0.3">
      <c r="A351" s="92" t="s">
        <v>89</v>
      </c>
      <c r="B351" s="92" t="s">
        <v>96</v>
      </c>
      <c r="C351" s="102">
        <v>53</v>
      </c>
      <c r="D351" s="102">
        <v>77649</v>
      </c>
      <c r="E351" s="102">
        <v>80831</v>
      </c>
      <c r="F351" s="103" t="s">
        <v>438</v>
      </c>
      <c r="G351" s="17" t="s">
        <v>254</v>
      </c>
      <c r="H351" s="102" t="s">
        <v>118</v>
      </c>
      <c r="I351" s="102">
        <v>1</v>
      </c>
      <c r="J351" s="102">
        <v>4.3</v>
      </c>
      <c r="K351" s="102">
        <v>1.8</v>
      </c>
      <c r="L351" s="102">
        <v>4.5</v>
      </c>
      <c r="M351" s="102">
        <v>1</v>
      </c>
      <c r="N351" s="104" t="s">
        <v>206</v>
      </c>
      <c r="O351" s="104">
        <f t="shared" si="51"/>
        <v>19.350000000000001</v>
      </c>
      <c r="P351" s="118">
        <v>44886</v>
      </c>
      <c r="Q351" s="118">
        <v>44915</v>
      </c>
      <c r="R351" s="105">
        <v>1</v>
      </c>
      <c r="S351" s="105">
        <v>1</v>
      </c>
      <c r="T351" s="105">
        <v>1</v>
      </c>
      <c r="U351" s="106">
        <f>IF(ISBLANK(Table1[[#This Row],[OHC Date]]),$B$7-Table1[[#This Row],[HOC Date]]+1,Table1[[#This Row],[OHC Date]]-Table1[[#This Row],[HOC Date]]+1)/7</f>
        <v>4.2857142857142856</v>
      </c>
      <c r="V351" s="107">
        <v>16.760000000000002</v>
      </c>
      <c r="W351" s="107">
        <v>0.77</v>
      </c>
      <c r="X351" s="107">
        <f>ROUND(0.7*Table1[[#This Row],[E&amp;D Rate per unit]]*R351*Table1[[#This Row],[Quantity]],2)</f>
        <v>227.01</v>
      </c>
      <c r="Y351" s="107">
        <f t="shared" si="52"/>
        <v>63.86</v>
      </c>
      <c r="Z351" s="107">
        <f>ROUND(0.3*T351*Table1[[#This Row],[E&amp;D Rate per unit]]*Table1[[#This Row],[Quantity]],2)</f>
        <v>97.29</v>
      </c>
      <c r="AA351" s="107">
        <f t="shared" si="53"/>
        <v>388.16</v>
      </c>
      <c r="AB351" s="126">
        <v>388.16</v>
      </c>
      <c r="AC351" s="126">
        <f>Table1[[#This Row],[Total Amount]]-Table1[[#This Row],[Previous Amount]]</f>
        <v>0</v>
      </c>
      <c r="AD351" s="108"/>
    </row>
    <row r="352" spans="1:30" ht="30" customHeight="1" x14ac:dyDescent="0.3">
      <c r="A352" s="92" t="s">
        <v>89</v>
      </c>
      <c r="B352" s="92" t="s">
        <v>96</v>
      </c>
      <c r="C352" s="102" t="s">
        <v>337</v>
      </c>
      <c r="D352" s="102">
        <v>79051</v>
      </c>
      <c r="E352" s="102">
        <v>80832</v>
      </c>
      <c r="F352" s="103" t="s">
        <v>438</v>
      </c>
      <c r="G352" s="17" t="s">
        <v>254</v>
      </c>
      <c r="H352" s="102" t="s">
        <v>220</v>
      </c>
      <c r="I352" s="102">
        <v>1</v>
      </c>
      <c r="J352" s="102">
        <v>2.5</v>
      </c>
      <c r="K352" s="102">
        <v>1.8</v>
      </c>
      <c r="L352" s="102">
        <v>2.5</v>
      </c>
      <c r="M352" s="102">
        <v>1</v>
      </c>
      <c r="N352" s="104" t="s">
        <v>221</v>
      </c>
      <c r="O352" s="104">
        <f t="shared" si="51"/>
        <v>2.5</v>
      </c>
      <c r="P352" s="118">
        <v>44887</v>
      </c>
      <c r="Q352" s="118">
        <v>44915</v>
      </c>
      <c r="R352" s="105">
        <v>1</v>
      </c>
      <c r="S352" s="105">
        <v>1</v>
      </c>
      <c r="T352" s="105">
        <v>1</v>
      </c>
      <c r="U352" s="106">
        <f>IF(ISBLANK(Table1[[#This Row],[OHC Date]]),$B$7-Table1[[#This Row],[HOC Date]]+1,Table1[[#This Row],[OHC Date]]-Table1[[#This Row],[HOC Date]]+1)/7</f>
        <v>4.1428571428571432</v>
      </c>
      <c r="V352" s="107">
        <v>63.34</v>
      </c>
      <c r="W352" s="107">
        <v>7.28</v>
      </c>
      <c r="X352" s="107">
        <f>ROUND(0.7*Table1[[#This Row],[E&amp;D Rate per unit]]*R352*Table1[[#This Row],[Quantity]],2)</f>
        <v>110.85</v>
      </c>
      <c r="Y352" s="107">
        <f t="shared" si="52"/>
        <v>75.400000000000006</v>
      </c>
      <c r="Z352" s="107">
        <f>ROUND(0.3*T352*Table1[[#This Row],[E&amp;D Rate per unit]]*Table1[[#This Row],[Quantity]],2)</f>
        <v>47.51</v>
      </c>
      <c r="AA352" s="107">
        <f t="shared" si="53"/>
        <v>233.76</v>
      </c>
      <c r="AB352" s="126">
        <v>233.76</v>
      </c>
      <c r="AC352" s="126">
        <f>Table1[[#This Row],[Total Amount]]-Table1[[#This Row],[Previous Amount]]</f>
        <v>0</v>
      </c>
      <c r="AD352" s="108"/>
    </row>
    <row r="353" spans="1:30" ht="30" customHeight="1" x14ac:dyDescent="0.3">
      <c r="A353" s="131" t="s">
        <v>426</v>
      </c>
      <c r="B353" s="92" t="s">
        <v>96</v>
      </c>
      <c r="C353" s="102">
        <v>54</v>
      </c>
      <c r="D353" s="102">
        <v>79052</v>
      </c>
      <c r="E353" s="102"/>
      <c r="F353" s="17" t="s">
        <v>427</v>
      </c>
      <c r="G353" s="17" t="s">
        <v>439</v>
      </c>
      <c r="H353" s="102" t="s">
        <v>220</v>
      </c>
      <c r="I353" s="102">
        <v>1</v>
      </c>
      <c r="J353" s="102">
        <v>2.5</v>
      </c>
      <c r="K353" s="102">
        <v>1.3</v>
      </c>
      <c r="L353" s="102">
        <v>4</v>
      </c>
      <c r="M353" s="102">
        <v>1</v>
      </c>
      <c r="N353" s="104" t="s">
        <v>56</v>
      </c>
      <c r="O353" s="104">
        <f t="shared" si="51"/>
        <v>1</v>
      </c>
      <c r="P353" s="186">
        <v>44887</v>
      </c>
      <c r="Q353" s="118"/>
      <c r="R353" s="105">
        <v>1</v>
      </c>
      <c r="S353" s="105">
        <v>1</v>
      </c>
      <c r="T353" s="105">
        <v>0</v>
      </c>
      <c r="U353" s="106">
        <f>IF(ISBLANK(Table1[[#This Row],[OHC Date]]),$B$7-Table1[[#This Row],[HOC Date]]+1,Table1[[#This Row],[OHC Date]]-Table1[[#This Row],[HOC Date]]+1)/7</f>
        <v>9.2857142857142865</v>
      </c>
      <c r="V353" s="107">
        <v>1278.3599999999999</v>
      </c>
      <c r="W353" s="107">
        <v>29.12</v>
      </c>
      <c r="X353" s="107">
        <f>ROUND(0.7*Table1[[#This Row],[E&amp;D Rate per unit]]*R353*Table1[[#This Row],[Quantity]],2)</f>
        <v>894.85</v>
      </c>
      <c r="Y353" s="107">
        <f t="shared" si="52"/>
        <v>270.39999999999998</v>
      </c>
      <c r="Z353" s="107">
        <f>ROUND(0.3*T353*Table1[[#This Row],[E&amp;D Rate per unit]]*Table1[[#This Row],[Quantity]],2)</f>
        <v>0</v>
      </c>
      <c r="AA353" s="107">
        <f t="shared" si="53"/>
        <v>1165.25</v>
      </c>
      <c r="AB353" s="126">
        <v>1036.29</v>
      </c>
      <c r="AC353" s="126">
        <f>Table1[[#This Row],[Total Amount]]-Table1[[#This Row],[Previous Amount]]</f>
        <v>128.96000000000004</v>
      </c>
      <c r="AD353" s="132" t="s">
        <v>440</v>
      </c>
    </row>
    <row r="354" spans="1:30" ht="30" customHeight="1" x14ac:dyDescent="0.3">
      <c r="A354" s="92" t="s">
        <v>89</v>
      </c>
      <c r="B354" s="92" t="s">
        <v>96</v>
      </c>
      <c r="C354" s="102" t="s">
        <v>441</v>
      </c>
      <c r="D354" s="102">
        <v>79052</v>
      </c>
      <c r="E354" s="102"/>
      <c r="F354" s="17" t="s">
        <v>427</v>
      </c>
      <c r="G354" s="17" t="s">
        <v>439</v>
      </c>
      <c r="H354" s="102" t="s">
        <v>127</v>
      </c>
      <c r="I354" s="102">
        <v>1</v>
      </c>
      <c r="J354" s="102">
        <v>1.5</v>
      </c>
      <c r="K354" s="102">
        <v>1.3</v>
      </c>
      <c r="L354" s="102">
        <v>1</v>
      </c>
      <c r="M354" s="102">
        <v>1</v>
      </c>
      <c r="N354" s="104" t="s">
        <v>160</v>
      </c>
      <c r="O354" s="104">
        <f t="shared" si="51"/>
        <v>1.95</v>
      </c>
      <c r="P354" s="186">
        <v>44887</v>
      </c>
      <c r="Q354" s="118"/>
      <c r="R354" s="105">
        <v>1</v>
      </c>
      <c r="S354" s="105">
        <v>1</v>
      </c>
      <c r="T354" s="105">
        <v>0</v>
      </c>
      <c r="U354" s="106">
        <f>IF(ISBLANK(Table1[[#This Row],[OHC Date]]),$B$7-Table1[[#This Row],[HOC Date]]+1,Table1[[#This Row],[OHC Date]]-Table1[[#This Row],[HOC Date]]+1)/7</f>
        <v>9.2857142857142865</v>
      </c>
      <c r="V354" s="107">
        <v>36.520000000000003</v>
      </c>
      <c r="W354" s="107">
        <v>2.94</v>
      </c>
      <c r="X354" s="107">
        <f>ROUND(0.7*Table1[[#This Row],[E&amp;D Rate per unit]]*R354*Table1[[#This Row],[Quantity]],2)</f>
        <v>49.85</v>
      </c>
      <c r="Y354" s="107">
        <f t="shared" si="52"/>
        <v>53.24</v>
      </c>
      <c r="Z354" s="107">
        <f>ROUND(0.3*T354*Table1[[#This Row],[E&amp;D Rate per unit]]*Table1[[#This Row],[Quantity]],2)</f>
        <v>0</v>
      </c>
      <c r="AA354" s="107">
        <f t="shared" si="53"/>
        <v>103.09</v>
      </c>
      <c r="AB354" s="126">
        <v>77.7</v>
      </c>
      <c r="AC354" s="126">
        <f>Table1[[#This Row],[Total Amount]]-Table1[[#This Row],[Previous Amount]]</f>
        <v>25.39</v>
      </c>
      <c r="AD354" s="108"/>
    </row>
    <row r="355" spans="1:30" ht="30" customHeight="1" x14ac:dyDescent="0.3">
      <c r="A355" s="92" t="s">
        <v>89</v>
      </c>
      <c r="B355" s="92" t="s">
        <v>96</v>
      </c>
      <c r="C355" s="102">
        <v>55</v>
      </c>
      <c r="D355" s="102">
        <v>79053</v>
      </c>
      <c r="E355" s="102">
        <v>80812</v>
      </c>
      <c r="F355" s="103" t="s">
        <v>418</v>
      </c>
      <c r="G355" s="17" t="s">
        <v>274</v>
      </c>
      <c r="H355" s="102" t="s">
        <v>220</v>
      </c>
      <c r="I355" s="102">
        <v>1</v>
      </c>
      <c r="J355" s="102">
        <v>2.5</v>
      </c>
      <c r="K355" s="102">
        <v>1</v>
      </c>
      <c r="L355" s="102">
        <v>4.7</v>
      </c>
      <c r="M355" s="102">
        <v>1</v>
      </c>
      <c r="N355" s="104" t="s">
        <v>221</v>
      </c>
      <c r="O355" s="104">
        <f t="shared" si="51"/>
        <v>4.7</v>
      </c>
      <c r="P355" s="118">
        <v>44887</v>
      </c>
      <c r="Q355" s="118">
        <v>44912</v>
      </c>
      <c r="R355" s="105">
        <v>1</v>
      </c>
      <c r="S355" s="105">
        <v>1</v>
      </c>
      <c r="T355" s="105">
        <v>1</v>
      </c>
      <c r="U355" s="106">
        <f>IF(ISBLANK(Table1[[#This Row],[OHC Date]]),$B$7-Table1[[#This Row],[HOC Date]]+1,Table1[[#This Row],[OHC Date]]-Table1[[#This Row],[HOC Date]]+1)/7</f>
        <v>3.7142857142857144</v>
      </c>
      <c r="V355" s="107">
        <v>63.34</v>
      </c>
      <c r="W355" s="107">
        <v>7.28</v>
      </c>
      <c r="X355" s="107">
        <f>ROUND(0.7*Table1[[#This Row],[E&amp;D Rate per unit]]*R355*Table1[[#This Row],[Quantity]],2)</f>
        <v>208.39</v>
      </c>
      <c r="Y355" s="107">
        <f t="shared" si="52"/>
        <v>127.09</v>
      </c>
      <c r="Z355" s="107">
        <f>ROUND(0.3*T355*Table1[[#This Row],[E&amp;D Rate per unit]]*Table1[[#This Row],[Quantity]],2)</f>
        <v>89.31</v>
      </c>
      <c r="AA355" s="107">
        <f t="shared" si="53"/>
        <v>424.79</v>
      </c>
      <c r="AB355" s="126">
        <v>424.79</v>
      </c>
      <c r="AC355" s="126">
        <f>Table1[[#This Row],[Total Amount]]-Table1[[#This Row],[Previous Amount]]</f>
        <v>0</v>
      </c>
      <c r="AD355" s="108"/>
    </row>
    <row r="356" spans="1:30" ht="30" customHeight="1" x14ac:dyDescent="0.3">
      <c r="A356" s="92" t="s">
        <v>89</v>
      </c>
      <c r="B356" s="92" t="s">
        <v>96</v>
      </c>
      <c r="C356" s="102" t="s">
        <v>442</v>
      </c>
      <c r="D356" s="102">
        <v>79053</v>
      </c>
      <c r="E356" s="102">
        <v>80812</v>
      </c>
      <c r="F356" s="103" t="s">
        <v>418</v>
      </c>
      <c r="G356" s="17" t="s">
        <v>274</v>
      </c>
      <c r="H356" s="102" t="s">
        <v>126</v>
      </c>
      <c r="I356" s="102">
        <v>1</v>
      </c>
      <c r="J356" s="102">
        <v>1</v>
      </c>
      <c r="K356" s="102">
        <v>0.5</v>
      </c>
      <c r="L356" s="102">
        <v>1</v>
      </c>
      <c r="M356" s="102">
        <v>1</v>
      </c>
      <c r="N356" s="104" t="s">
        <v>160</v>
      </c>
      <c r="O356" s="104">
        <f t="shared" si="51"/>
        <v>0.5</v>
      </c>
      <c r="P356" s="118">
        <v>44887</v>
      </c>
      <c r="Q356" s="118">
        <v>44912</v>
      </c>
      <c r="R356" s="105">
        <v>1</v>
      </c>
      <c r="S356" s="105">
        <v>1</v>
      </c>
      <c r="T356" s="105">
        <v>1</v>
      </c>
      <c r="U356" s="106">
        <f>IF(ISBLANK(Table1[[#This Row],[OHC Date]]),$B$7-Table1[[#This Row],[HOC Date]]+1,Table1[[#This Row],[OHC Date]]-Table1[[#This Row],[HOC Date]]+1)/7</f>
        <v>3.7142857142857144</v>
      </c>
      <c r="V356" s="107">
        <v>32.75</v>
      </c>
      <c r="W356" s="107">
        <v>1.05</v>
      </c>
      <c r="X356" s="107">
        <f>ROUND(0.7*Table1[[#This Row],[E&amp;D Rate per unit]]*R356*Table1[[#This Row],[Quantity]],2)</f>
        <v>11.46</v>
      </c>
      <c r="Y356" s="107">
        <f t="shared" si="52"/>
        <v>1.95</v>
      </c>
      <c r="Z356" s="107">
        <f>ROUND(0.3*T356*Table1[[#This Row],[E&amp;D Rate per unit]]*Table1[[#This Row],[Quantity]],2)</f>
        <v>4.91</v>
      </c>
      <c r="AA356" s="107">
        <f t="shared" si="53"/>
        <v>18.32</v>
      </c>
      <c r="AB356" s="126">
        <v>18.32</v>
      </c>
      <c r="AC356" s="126">
        <f>Table1[[#This Row],[Total Amount]]-Table1[[#This Row],[Previous Amount]]</f>
        <v>0</v>
      </c>
      <c r="AD356" s="108"/>
    </row>
    <row r="357" spans="1:30" ht="30" customHeight="1" x14ac:dyDescent="0.3">
      <c r="A357" s="92" t="s">
        <v>89</v>
      </c>
      <c r="B357" s="92" t="s">
        <v>96</v>
      </c>
      <c r="C357" s="102">
        <v>55</v>
      </c>
      <c r="D357" s="102">
        <v>79053</v>
      </c>
      <c r="E357" s="102">
        <v>80812</v>
      </c>
      <c r="F357" s="103" t="s">
        <v>418</v>
      </c>
      <c r="G357" s="17" t="s">
        <v>274</v>
      </c>
      <c r="H357" s="102" t="s">
        <v>420</v>
      </c>
      <c r="I357" s="102">
        <v>1</v>
      </c>
      <c r="J357" s="102">
        <v>25</v>
      </c>
      <c r="K357" s="102">
        <v>1</v>
      </c>
      <c r="L357" s="102">
        <v>1</v>
      </c>
      <c r="M357" s="102">
        <v>1</v>
      </c>
      <c r="N357" s="104" t="s">
        <v>206</v>
      </c>
      <c r="O357" s="104">
        <f t="shared" si="51"/>
        <v>25</v>
      </c>
      <c r="P357" s="118">
        <v>44887</v>
      </c>
      <c r="Q357" s="118">
        <v>44912</v>
      </c>
      <c r="R357" s="105">
        <v>1</v>
      </c>
      <c r="S357" s="105">
        <v>1</v>
      </c>
      <c r="T357" s="105">
        <v>1</v>
      </c>
      <c r="U357" s="106">
        <f>IF(ISBLANK(Table1[[#This Row],[OHC Date]]),$B$7-Table1[[#This Row],[HOC Date]]+1,Table1[[#This Row],[OHC Date]]-Table1[[#This Row],[HOC Date]]+1)/7</f>
        <v>3.7142857142857144</v>
      </c>
      <c r="V357" s="107">
        <v>8.52</v>
      </c>
      <c r="W357" s="107">
        <v>0</v>
      </c>
      <c r="X357" s="107">
        <f>ROUND(0.7*Table1[[#This Row],[E&amp;D Rate per unit]]*R357*Table1[[#This Row],[Quantity]],2)</f>
        <v>149.1</v>
      </c>
      <c r="Y357" s="107">
        <f t="shared" si="52"/>
        <v>0</v>
      </c>
      <c r="Z357" s="107">
        <f>ROUND(0.3*T357*Table1[[#This Row],[E&amp;D Rate per unit]]*Table1[[#This Row],[Quantity]],2)</f>
        <v>63.9</v>
      </c>
      <c r="AA357" s="107">
        <f t="shared" si="53"/>
        <v>213</v>
      </c>
      <c r="AB357" s="126">
        <v>213</v>
      </c>
      <c r="AC357" s="126">
        <f>Table1[[#This Row],[Total Amount]]-Table1[[#This Row],[Previous Amount]]</f>
        <v>0</v>
      </c>
      <c r="AD357" s="108"/>
    </row>
    <row r="358" spans="1:30" ht="30" customHeight="1" x14ac:dyDescent="0.3">
      <c r="A358" s="92" t="s">
        <v>89</v>
      </c>
      <c r="B358" s="92" t="s">
        <v>96</v>
      </c>
      <c r="C358" s="102" t="s">
        <v>443</v>
      </c>
      <c r="D358" s="102">
        <v>79054</v>
      </c>
      <c r="E358" s="102">
        <v>76850</v>
      </c>
      <c r="F358" s="103" t="s">
        <v>418</v>
      </c>
      <c r="G358" s="17" t="s">
        <v>444</v>
      </c>
      <c r="H358" s="102" t="s">
        <v>127</v>
      </c>
      <c r="I358" s="102">
        <v>1</v>
      </c>
      <c r="J358" s="102">
        <v>1.5</v>
      </c>
      <c r="K358" s="102">
        <v>1.2</v>
      </c>
      <c r="L358" s="102">
        <v>1</v>
      </c>
      <c r="M358" s="102">
        <v>1</v>
      </c>
      <c r="N358" s="104" t="s">
        <v>160</v>
      </c>
      <c r="O358" s="104">
        <f t="shared" si="51"/>
        <v>1.8</v>
      </c>
      <c r="P358" s="118">
        <v>44887</v>
      </c>
      <c r="Q358" s="118">
        <v>44907</v>
      </c>
      <c r="R358" s="105">
        <v>1</v>
      </c>
      <c r="S358" s="105">
        <v>1</v>
      </c>
      <c r="T358" s="105">
        <v>1</v>
      </c>
      <c r="U358" s="106">
        <f>IF(ISBLANK(Table1[[#This Row],[OHC Date]]),$B$7-Table1[[#This Row],[HOC Date]]+1,Table1[[#This Row],[OHC Date]]-Table1[[#This Row],[HOC Date]]+1)/7</f>
        <v>3</v>
      </c>
      <c r="V358" s="107">
        <v>36.520000000000003</v>
      </c>
      <c r="W358" s="107">
        <v>2.94</v>
      </c>
      <c r="X358" s="107">
        <f>ROUND(0.7*Table1[[#This Row],[E&amp;D Rate per unit]]*R358*Table1[[#This Row],[Quantity]],2)</f>
        <v>46.02</v>
      </c>
      <c r="Y358" s="107">
        <f t="shared" si="52"/>
        <v>15.88</v>
      </c>
      <c r="Z358" s="107">
        <f>ROUND(0.3*T358*Table1[[#This Row],[E&amp;D Rate per unit]]*Table1[[#This Row],[Quantity]],2)</f>
        <v>19.72</v>
      </c>
      <c r="AA358" s="107">
        <f t="shared" si="53"/>
        <v>81.62</v>
      </c>
      <c r="AB358" s="126">
        <v>81.62</v>
      </c>
      <c r="AC358" s="126">
        <f>Table1[[#This Row],[Total Amount]]-Table1[[#This Row],[Previous Amount]]</f>
        <v>0</v>
      </c>
      <c r="AD358" s="108"/>
    </row>
    <row r="359" spans="1:30" ht="30" customHeight="1" x14ac:dyDescent="0.3">
      <c r="A359" s="131" t="s">
        <v>426</v>
      </c>
      <c r="B359" s="92" t="s">
        <v>96</v>
      </c>
      <c r="C359" s="102">
        <v>56</v>
      </c>
      <c r="D359" s="102">
        <v>79055</v>
      </c>
      <c r="E359" s="102"/>
      <c r="F359" s="103" t="s">
        <v>427</v>
      </c>
      <c r="G359" s="17" t="s">
        <v>278</v>
      </c>
      <c r="H359" s="102" t="s">
        <v>220</v>
      </c>
      <c r="I359" s="102">
        <v>1</v>
      </c>
      <c r="J359" s="102">
        <v>2.5</v>
      </c>
      <c r="K359" s="102">
        <v>1</v>
      </c>
      <c r="L359" s="102">
        <v>3.5</v>
      </c>
      <c r="M359" s="102">
        <v>1</v>
      </c>
      <c r="N359" s="104" t="s">
        <v>56</v>
      </c>
      <c r="O359" s="104">
        <f t="shared" si="51"/>
        <v>1</v>
      </c>
      <c r="P359" s="186">
        <v>44888</v>
      </c>
      <c r="Q359" s="118"/>
      <c r="R359" s="105">
        <v>1</v>
      </c>
      <c r="S359" s="105">
        <v>1</v>
      </c>
      <c r="T359" s="105">
        <v>0</v>
      </c>
      <c r="U359" s="106">
        <f>IF(ISBLANK(Table1[[#This Row],[OHC Date]]),$B$7-Table1[[#This Row],[HOC Date]]+1,Table1[[#This Row],[OHC Date]]-Table1[[#This Row],[HOC Date]]+1)/7</f>
        <v>9.1428571428571423</v>
      </c>
      <c r="V359" s="107">
        <v>1246.69</v>
      </c>
      <c r="W359" s="107">
        <v>25.48</v>
      </c>
      <c r="X359" s="107">
        <f>ROUND(0.7*Table1[[#This Row],[E&amp;D Rate per unit]]*R359*Table1[[#This Row],[Quantity]],2)</f>
        <v>872.68</v>
      </c>
      <c r="Y359" s="107">
        <f t="shared" si="52"/>
        <v>232.96</v>
      </c>
      <c r="Z359" s="107">
        <f>ROUND(0.3*T359*Table1[[#This Row],[E&amp;D Rate per unit]]*Table1[[#This Row],[Quantity]],2)</f>
        <v>0</v>
      </c>
      <c r="AA359" s="107">
        <f t="shared" si="53"/>
        <v>1105.6400000000001</v>
      </c>
      <c r="AB359" s="126">
        <v>903.11</v>
      </c>
      <c r="AC359" s="126">
        <f>Table1[[#This Row],[Total Amount]]-Table1[[#This Row],[Previous Amount]]</f>
        <v>202.53000000000009</v>
      </c>
      <c r="AD359" s="132" t="s">
        <v>445</v>
      </c>
    </row>
    <row r="360" spans="1:30" ht="30" customHeight="1" x14ac:dyDescent="0.3">
      <c r="A360" s="92" t="s">
        <v>89</v>
      </c>
      <c r="B360" s="92" t="s">
        <v>96</v>
      </c>
      <c r="C360" s="102" t="s">
        <v>446</v>
      </c>
      <c r="D360" s="102">
        <v>79055</v>
      </c>
      <c r="E360" s="102"/>
      <c r="F360" s="103" t="s">
        <v>427</v>
      </c>
      <c r="G360" s="17" t="s">
        <v>278</v>
      </c>
      <c r="H360" s="102" t="s">
        <v>127</v>
      </c>
      <c r="I360" s="102">
        <v>1</v>
      </c>
      <c r="J360" s="102">
        <v>1.5</v>
      </c>
      <c r="K360" s="102">
        <v>1</v>
      </c>
      <c r="L360" s="102">
        <v>1</v>
      </c>
      <c r="M360" s="102">
        <v>1</v>
      </c>
      <c r="N360" s="104" t="s">
        <v>160</v>
      </c>
      <c r="O360" s="104">
        <f t="shared" si="51"/>
        <v>1.5</v>
      </c>
      <c r="P360" s="186">
        <v>44888</v>
      </c>
      <c r="Q360" s="118"/>
      <c r="R360" s="105">
        <v>1</v>
      </c>
      <c r="S360" s="105">
        <v>1</v>
      </c>
      <c r="T360" s="105">
        <v>0</v>
      </c>
      <c r="U360" s="106">
        <f>IF(ISBLANK(Table1[[#This Row],[OHC Date]]),$B$7-Table1[[#This Row],[HOC Date]]+1,Table1[[#This Row],[OHC Date]]-Table1[[#This Row],[HOC Date]]+1)/7</f>
        <v>9.1428571428571423</v>
      </c>
      <c r="V360" s="107">
        <v>36.520000000000003</v>
      </c>
      <c r="W360" s="107">
        <v>2.94</v>
      </c>
      <c r="X360" s="107">
        <f>ROUND(0.7*Table1[[#This Row],[E&amp;D Rate per unit]]*R360*Table1[[#This Row],[Quantity]],2)</f>
        <v>38.35</v>
      </c>
      <c r="Y360" s="107">
        <f t="shared" si="52"/>
        <v>40.32</v>
      </c>
      <c r="Z360" s="107">
        <f>ROUND(0.3*T360*Table1[[#This Row],[E&amp;D Rate per unit]]*Table1[[#This Row],[Quantity]],2)</f>
        <v>0</v>
      </c>
      <c r="AA360" s="107">
        <f t="shared" si="53"/>
        <v>78.67</v>
      </c>
      <c r="AB360" s="126">
        <v>59.14</v>
      </c>
      <c r="AC360" s="126">
        <f>Table1[[#This Row],[Total Amount]]-Table1[[#This Row],[Previous Amount]]</f>
        <v>19.53</v>
      </c>
      <c r="AD360" s="108"/>
    </row>
    <row r="361" spans="1:30" ht="30" customHeight="1" x14ac:dyDescent="0.3">
      <c r="A361" s="131" t="s">
        <v>426</v>
      </c>
      <c r="B361" s="92" t="s">
        <v>96</v>
      </c>
      <c r="C361" s="102">
        <v>57</v>
      </c>
      <c r="D361" s="102">
        <v>79056</v>
      </c>
      <c r="E361" s="102"/>
      <c r="F361" s="103" t="s">
        <v>427</v>
      </c>
      <c r="G361" s="17" t="s">
        <v>447</v>
      </c>
      <c r="H361" s="102" t="s">
        <v>220</v>
      </c>
      <c r="I361" s="102">
        <v>1</v>
      </c>
      <c r="J361" s="102">
        <v>2.5</v>
      </c>
      <c r="K361" s="102">
        <v>1</v>
      </c>
      <c r="L361" s="102">
        <v>6</v>
      </c>
      <c r="M361" s="102">
        <v>3</v>
      </c>
      <c r="N361" s="104" t="s">
        <v>56</v>
      </c>
      <c r="O361" s="104">
        <f t="shared" si="51"/>
        <v>1</v>
      </c>
      <c r="P361" s="186">
        <v>44888</v>
      </c>
      <c r="Q361" s="118"/>
      <c r="R361" s="105">
        <v>1</v>
      </c>
      <c r="S361" s="105">
        <v>1</v>
      </c>
      <c r="T361" s="105">
        <v>0</v>
      </c>
      <c r="U361" s="106">
        <f>IF(ISBLANK(Table1[[#This Row],[OHC Date]]),$B$7-Table1[[#This Row],[HOC Date]]+1,Table1[[#This Row],[OHC Date]]-Table1[[#This Row],[HOC Date]]+1)/7</f>
        <v>9.1428571428571423</v>
      </c>
      <c r="V361" s="107">
        <v>1783.37</v>
      </c>
      <c r="W361" s="107">
        <v>40.04</v>
      </c>
      <c r="X361" s="107">
        <f>ROUND(0.7*Table1[[#This Row],[E&amp;D Rate per unit]]*R361*Table1[[#This Row],[Quantity]],2)</f>
        <v>1248.3599999999999</v>
      </c>
      <c r="Y361" s="107">
        <f t="shared" si="52"/>
        <v>366.08</v>
      </c>
      <c r="Z361" s="107">
        <f>ROUND(0.3*T361*Table1[[#This Row],[E&amp;D Rate per unit]]*Table1[[#This Row],[Quantity]],2)</f>
        <v>0</v>
      </c>
      <c r="AA361" s="107">
        <f t="shared" si="53"/>
        <v>1614.44</v>
      </c>
      <c r="AB361" s="126">
        <v>1437.12</v>
      </c>
      <c r="AC361" s="126">
        <f>Table1[[#This Row],[Total Amount]]-Table1[[#This Row],[Previous Amount]]</f>
        <v>177.32000000000016</v>
      </c>
      <c r="AD361" s="132" t="s">
        <v>448</v>
      </c>
    </row>
    <row r="362" spans="1:30" ht="30" customHeight="1" x14ac:dyDescent="0.3">
      <c r="A362" s="92" t="s">
        <v>89</v>
      </c>
      <c r="B362" s="92" t="s">
        <v>96</v>
      </c>
      <c r="C362" s="102" t="s">
        <v>449</v>
      </c>
      <c r="D362" s="102">
        <v>79056</v>
      </c>
      <c r="E362" s="102"/>
      <c r="F362" s="103" t="s">
        <v>427</v>
      </c>
      <c r="G362" s="17" t="s">
        <v>447</v>
      </c>
      <c r="H362" s="102" t="s">
        <v>127</v>
      </c>
      <c r="I362" s="102">
        <v>1</v>
      </c>
      <c r="J362" s="102">
        <v>1</v>
      </c>
      <c r="K362" s="102">
        <v>1</v>
      </c>
      <c r="L362" s="102">
        <v>1</v>
      </c>
      <c r="M362" s="102">
        <v>1</v>
      </c>
      <c r="N362" s="104" t="s">
        <v>160</v>
      </c>
      <c r="O362" s="104">
        <f t="shared" si="51"/>
        <v>1</v>
      </c>
      <c r="P362" s="186">
        <v>44888</v>
      </c>
      <c r="Q362" s="118"/>
      <c r="R362" s="105">
        <v>1</v>
      </c>
      <c r="S362" s="105">
        <v>1</v>
      </c>
      <c r="T362" s="105">
        <v>0</v>
      </c>
      <c r="U362" s="106">
        <f>IF(ISBLANK(Table1[[#This Row],[OHC Date]]),$B$7-Table1[[#This Row],[HOC Date]]+1,Table1[[#This Row],[OHC Date]]-Table1[[#This Row],[HOC Date]]+1)/7</f>
        <v>9.1428571428571423</v>
      </c>
      <c r="V362" s="107">
        <v>36.520000000000003</v>
      </c>
      <c r="W362" s="107">
        <v>2.94</v>
      </c>
      <c r="X362" s="107">
        <f>ROUND(0.7*Table1[[#This Row],[E&amp;D Rate per unit]]*R362*Table1[[#This Row],[Quantity]],2)</f>
        <v>25.56</v>
      </c>
      <c r="Y362" s="107">
        <f t="shared" si="52"/>
        <v>26.88</v>
      </c>
      <c r="Z362" s="107">
        <f>ROUND(0.3*T362*Table1[[#This Row],[E&amp;D Rate per unit]]*Table1[[#This Row],[Quantity]],2)</f>
        <v>0</v>
      </c>
      <c r="AA362" s="107">
        <f t="shared" si="53"/>
        <v>52.44</v>
      </c>
      <c r="AB362" s="126">
        <v>39.42</v>
      </c>
      <c r="AC362" s="126">
        <f>Table1[[#This Row],[Total Amount]]-Table1[[#This Row],[Previous Amount]]</f>
        <v>13.019999999999996</v>
      </c>
      <c r="AD362" s="108"/>
    </row>
    <row r="363" spans="1:30" ht="30" customHeight="1" x14ac:dyDescent="0.3">
      <c r="A363" s="131" t="s">
        <v>426</v>
      </c>
      <c r="B363" s="92" t="s">
        <v>96</v>
      </c>
      <c r="C363" s="102">
        <v>58</v>
      </c>
      <c r="D363" s="102">
        <v>79057</v>
      </c>
      <c r="E363" s="102"/>
      <c r="F363" s="103" t="s">
        <v>427</v>
      </c>
      <c r="G363" s="17" t="s">
        <v>304</v>
      </c>
      <c r="H363" s="102" t="s">
        <v>220</v>
      </c>
      <c r="I363" s="102">
        <v>1</v>
      </c>
      <c r="J363" s="102">
        <v>2.5</v>
      </c>
      <c r="K363" s="102">
        <v>1</v>
      </c>
      <c r="L363" s="102">
        <v>3.5</v>
      </c>
      <c r="M363" s="102">
        <v>1</v>
      </c>
      <c r="N363" s="104" t="s">
        <v>56</v>
      </c>
      <c r="O363" s="104">
        <f t="shared" si="51"/>
        <v>1</v>
      </c>
      <c r="P363" s="186">
        <v>44888</v>
      </c>
      <c r="Q363" s="118"/>
      <c r="R363" s="105">
        <v>1</v>
      </c>
      <c r="S363" s="105">
        <v>1</v>
      </c>
      <c r="T363" s="105">
        <v>0</v>
      </c>
      <c r="U363" s="106">
        <f>IF(ISBLANK(Table1[[#This Row],[OHC Date]]),$B$7-Table1[[#This Row],[HOC Date]]+1,Table1[[#This Row],[OHC Date]]-Table1[[#This Row],[HOC Date]]+1)/7</f>
        <v>9.1428571428571423</v>
      </c>
      <c r="V363" s="107">
        <v>1246.69</v>
      </c>
      <c r="W363" s="107">
        <v>25.48</v>
      </c>
      <c r="X363" s="107">
        <f>ROUND(0.7*Table1[[#This Row],[E&amp;D Rate per unit]]*R363*Table1[[#This Row],[Quantity]],2)</f>
        <v>872.68</v>
      </c>
      <c r="Y363" s="107">
        <f t="shared" si="52"/>
        <v>232.96</v>
      </c>
      <c r="Z363" s="107">
        <f>ROUND(0.3*T363*Table1[[#This Row],[E&amp;D Rate per unit]]*Table1[[#This Row],[Quantity]],2)</f>
        <v>0</v>
      </c>
      <c r="AA363" s="107">
        <f t="shared" si="53"/>
        <v>1105.6400000000001</v>
      </c>
      <c r="AB363" s="126">
        <v>903.11</v>
      </c>
      <c r="AC363" s="126">
        <f>Table1[[#This Row],[Total Amount]]-Table1[[#This Row],[Previous Amount]]</f>
        <v>202.53000000000009</v>
      </c>
      <c r="AD363" s="132" t="s">
        <v>450</v>
      </c>
    </row>
    <row r="364" spans="1:30" ht="30" customHeight="1" x14ac:dyDescent="0.3">
      <c r="A364" s="92" t="s">
        <v>89</v>
      </c>
      <c r="B364" s="92" t="s">
        <v>96</v>
      </c>
      <c r="C364" s="102" t="s">
        <v>451</v>
      </c>
      <c r="D364" s="102">
        <v>79057</v>
      </c>
      <c r="E364" s="102"/>
      <c r="F364" s="103" t="s">
        <v>427</v>
      </c>
      <c r="G364" s="17" t="s">
        <v>304</v>
      </c>
      <c r="H364" s="102" t="s">
        <v>127</v>
      </c>
      <c r="I364" s="102">
        <v>1</v>
      </c>
      <c r="J364" s="102">
        <v>1.5</v>
      </c>
      <c r="K364" s="102">
        <v>1</v>
      </c>
      <c r="L364" s="102">
        <v>1</v>
      </c>
      <c r="M364" s="102">
        <v>1</v>
      </c>
      <c r="N364" s="104" t="s">
        <v>160</v>
      </c>
      <c r="O364" s="104">
        <f t="shared" si="51"/>
        <v>1.5</v>
      </c>
      <c r="P364" s="186">
        <v>44888</v>
      </c>
      <c r="Q364" s="118"/>
      <c r="R364" s="105">
        <v>1</v>
      </c>
      <c r="S364" s="105">
        <v>1</v>
      </c>
      <c r="T364" s="105">
        <v>0</v>
      </c>
      <c r="U364" s="106">
        <f>IF(ISBLANK(Table1[[#This Row],[OHC Date]]),$B$7-Table1[[#This Row],[HOC Date]]+1,Table1[[#This Row],[OHC Date]]-Table1[[#This Row],[HOC Date]]+1)/7</f>
        <v>9.1428571428571423</v>
      </c>
      <c r="V364" s="107">
        <v>36.520000000000003</v>
      </c>
      <c r="W364" s="107">
        <v>2.94</v>
      </c>
      <c r="X364" s="107">
        <f>ROUND(0.7*Table1[[#This Row],[E&amp;D Rate per unit]]*R364*Table1[[#This Row],[Quantity]],2)</f>
        <v>38.35</v>
      </c>
      <c r="Y364" s="107">
        <f t="shared" si="52"/>
        <v>40.32</v>
      </c>
      <c r="Z364" s="107">
        <f>ROUND(0.3*T364*Table1[[#This Row],[E&amp;D Rate per unit]]*Table1[[#This Row],[Quantity]],2)</f>
        <v>0</v>
      </c>
      <c r="AA364" s="107">
        <f t="shared" si="53"/>
        <v>78.67</v>
      </c>
      <c r="AB364" s="126">
        <v>59.14</v>
      </c>
      <c r="AC364" s="126">
        <f>Table1[[#This Row],[Total Amount]]-Table1[[#This Row],[Previous Amount]]</f>
        <v>19.53</v>
      </c>
      <c r="AD364" s="108"/>
    </row>
    <row r="365" spans="1:30" ht="30" customHeight="1" x14ac:dyDescent="0.3">
      <c r="A365" s="131" t="s">
        <v>426</v>
      </c>
      <c r="B365" s="92" t="s">
        <v>96</v>
      </c>
      <c r="C365" s="102">
        <v>59</v>
      </c>
      <c r="D365" s="102">
        <v>79058</v>
      </c>
      <c r="E365" s="102"/>
      <c r="F365" s="103" t="s">
        <v>427</v>
      </c>
      <c r="G365" s="17" t="s">
        <v>274</v>
      </c>
      <c r="H365" s="102" t="s">
        <v>220</v>
      </c>
      <c r="I365" s="102">
        <v>1</v>
      </c>
      <c r="J365" s="102">
        <v>2.5</v>
      </c>
      <c r="K365" s="102">
        <v>1</v>
      </c>
      <c r="L365" s="102">
        <v>3.5</v>
      </c>
      <c r="M365" s="102">
        <v>1</v>
      </c>
      <c r="N365" s="104" t="s">
        <v>56</v>
      </c>
      <c r="O365" s="104">
        <f t="shared" si="51"/>
        <v>1</v>
      </c>
      <c r="P365" s="186">
        <v>44889</v>
      </c>
      <c r="Q365" s="118"/>
      <c r="R365" s="105">
        <v>1</v>
      </c>
      <c r="S365" s="105">
        <v>1</v>
      </c>
      <c r="T365" s="105">
        <v>0</v>
      </c>
      <c r="U365" s="106">
        <f>IF(ISBLANK(Table1[[#This Row],[OHC Date]]),$B$7-Table1[[#This Row],[HOC Date]]+1,Table1[[#This Row],[OHC Date]]-Table1[[#This Row],[HOC Date]]+1)/7</f>
        <v>9</v>
      </c>
      <c r="V365" s="107">
        <v>1246.69</v>
      </c>
      <c r="W365" s="107">
        <v>25.48</v>
      </c>
      <c r="X365" s="107">
        <f>ROUND(0.7*Table1[[#This Row],[E&amp;D Rate per unit]]*R365*Table1[[#This Row],[Quantity]],2)</f>
        <v>872.68</v>
      </c>
      <c r="Y365" s="107">
        <f t="shared" si="52"/>
        <v>229.32</v>
      </c>
      <c r="Z365" s="107">
        <f>ROUND(0.3*T365*Table1[[#This Row],[E&amp;D Rate per unit]]*Table1[[#This Row],[Quantity]],2)</f>
        <v>0</v>
      </c>
      <c r="AA365" s="107">
        <f t="shared" si="53"/>
        <v>1102</v>
      </c>
      <c r="AB365" s="126">
        <v>899.47</v>
      </c>
      <c r="AC365" s="126">
        <f>Table1[[#This Row],[Total Amount]]-Table1[[#This Row],[Previous Amount]]</f>
        <v>202.52999999999997</v>
      </c>
      <c r="AD365" s="132" t="s">
        <v>452</v>
      </c>
    </row>
    <row r="366" spans="1:30" ht="30" customHeight="1" x14ac:dyDescent="0.3">
      <c r="A366" s="92" t="s">
        <v>89</v>
      </c>
      <c r="B366" s="92" t="s">
        <v>96</v>
      </c>
      <c r="C366" s="102" t="s">
        <v>453</v>
      </c>
      <c r="D366" s="102">
        <v>79058</v>
      </c>
      <c r="E366" s="102"/>
      <c r="F366" s="103" t="s">
        <v>427</v>
      </c>
      <c r="G366" s="17" t="s">
        <v>274</v>
      </c>
      <c r="H366" s="102" t="s">
        <v>127</v>
      </c>
      <c r="I366" s="102">
        <v>1</v>
      </c>
      <c r="J366" s="102">
        <v>1.5</v>
      </c>
      <c r="K366" s="102">
        <v>1</v>
      </c>
      <c r="L366" s="102">
        <v>1</v>
      </c>
      <c r="M366" s="102">
        <v>1</v>
      </c>
      <c r="N366" s="104" t="s">
        <v>160</v>
      </c>
      <c r="O366" s="104">
        <f t="shared" si="51"/>
        <v>1.5</v>
      </c>
      <c r="P366" s="186">
        <v>44889</v>
      </c>
      <c r="Q366" s="118"/>
      <c r="R366" s="105">
        <v>1</v>
      </c>
      <c r="S366" s="105">
        <v>1</v>
      </c>
      <c r="T366" s="105">
        <v>0</v>
      </c>
      <c r="U366" s="106">
        <f>IF(ISBLANK(Table1[[#This Row],[OHC Date]]),$B$7-Table1[[#This Row],[HOC Date]]+1,Table1[[#This Row],[OHC Date]]-Table1[[#This Row],[HOC Date]]+1)/7</f>
        <v>9</v>
      </c>
      <c r="V366" s="107">
        <v>36.520000000000003</v>
      </c>
      <c r="W366" s="107">
        <v>2.94</v>
      </c>
      <c r="X366" s="107">
        <f>ROUND(0.7*Table1[[#This Row],[E&amp;D Rate per unit]]*R366*Table1[[#This Row],[Quantity]],2)</f>
        <v>38.35</v>
      </c>
      <c r="Y366" s="107">
        <f t="shared" si="52"/>
        <v>39.69</v>
      </c>
      <c r="Z366" s="107">
        <f>ROUND(0.3*T366*Table1[[#This Row],[E&amp;D Rate per unit]]*Table1[[#This Row],[Quantity]],2)</f>
        <v>0</v>
      </c>
      <c r="AA366" s="107">
        <f t="shared" si="53"/>
        <v>78.040000000000006</v>
      </c>
      <c r="AB366" s="126">
        <v>58.51</v>
      </c>
      <c r="AC366" s="126">
        <f>Table1[[#This Row],[Total Amount]]-Table1[[#This Row],[Previous Amount]]</f>
        <v>19.530000000000008</v>
      </c>
      <c r="AD366" s="108"/>
    </row>
    <row r="367" spans="1:30" ht="30" customHeight="1" x14ac:dyDescent="0.3">
      <c r="A367" s="92" t="s">
        <v>89</v>
      </c>
      <c r="B367" s="92" t="s">
        <v>96</v>
      </c>
      <c r="C367" s="102" t="s">
        <v>454</v>
      </c>
      <c r="D367" s="102">
        <v>79059</v>
      </c>
      <c r="E367" s="102">
        <v>76846</v>
      </c>
      <c r="F367" s="103" t="s">
        <v>434</v>
      </c>
      <c r="G367" s="17" t="s">
        <v>226</v>
      </c>
      <c r="H367" s="102" t="s">
        <v>205</v>
      </c>
      <c r="I367" s="102">
        <v>1</v>
      </c>
      <c r="J367" s="102">
        <v>4.0999999999999996</v>
      </c>
      <c r="K367" s="102">
        <v>1.3</v>
      </c>
      <c r="L367" s="102">
        <v>1.5</v>
      </c>
      <c r="M367" s="102">
        <v>1</v>
      </c>
      <c r="N367" s="104" t="s">
        <v>206</v>
      </c>
      <c r="O367" s="104">
        <f t="shared" si="51"/>
        <v>6.15</v>
      </c>
      <c r="P367" s="118">
        <v>44889</v>
      </c>
      <c r="Q367" s="118">
        <v>44905</v>
      </c>
      <c r="R367" s="105">
        <v>1</v>
      </c>
      <c r="S367" s="105">
        <v>1</v>
      </c>
      <c r="T367" s="105">
        <v>1</v>
      </c>
      <c r="U367" s="106">
        <f>IF(ISBLANK(Table1[[#This Row],[OHC Date]]),$B$7-Table1[[#This Row],[HOC Date]]+1,Table1[[#This Row],[OHC Date]]-Table1[[#This Row],[HOC Date]]+1)/7</f>
        <v>2.4285714285714284</v>
      </c>
      <c r="V367" s="107">
        <v>12.01</v>
      </c>
      <c r="W367" s="107">
        <v>0.49</v>
      </c>
      <c r="X367" s="107">
        <f>ROUND(0.7*Table1[[#This Row],[E&amp;D Rate per unit]]*R367*Table1[[#This Row],[Quantity]],2)</f>
        <v>51.7</v>
      </c>
      <c r="Y367" s="107">
        <f t="shared" si="52"/>
        <v>7.32</v>
      </c>
      <c r="Z367" s="107">
        <f>ROUND(0.3*T367*Table1[[#This Row],[E&amp;D Rate per unit]]*Table1[[#This Row],[Quantity]],2)</f>
        <v>22.16</v>
      </c>
      <c r="AA367" s="107">
        <f t="shared" si="53"/>
        <v>81.180000000000007</v>
      </c>
      <c r="AB367" s="126">
        <v>81.180000000000007</v>
      </c>
      <c r="AC367" s="126">
        <f>Table1[[#This Row],[Total Amount]]-Table1[[#This Row],[Previous Amount]]</f>
        <v>0</v>
      </c>
      <c r="AD367" s="108"/>
    </row>
    <row r="368" spans="1:30" ht="30" customHeight="1" x14ac:dyDescent="0.3">
      <c r="A368" s="92" t="s">
        <v>89</v>
      </c>
      <c r="B368" s="92" t="s">
        <v>97</v>
      </c>
      <c r="C368" s="136">
        <v>102</v>
      </c>
      <c r="D368" s="136">
        <v>77534</v>
      </c>
      <c r="E368" s="136"/>
      <c r="F368" s="137" t="s">
        <v>481</v>
      </c>
      <c r="G368" s="17" t="s">
        <v>200</v>
      </c>
      <c r="H368" s="136" t="s">
        <v>220</v>
      </c>
      <c r="I368" s="136">
        <v>1</v>
      </c>
      <c r="J368" s="136">
        <v>2.5</v>
      </c>
      <c r="K368" s="136">
        <v>1.8</v>
      </c>
      <c r="L368" s="136">
        <v>4</v>
      </c>
      <c r="M368" s="136">
        <v>1</v>
      </c>
      <c r="N368" s="138" t="s">
        <v>221</v>
      </c>
      <c r="O368" s="138">
        <f t="shared" ref="O368:O377" si="54">ROUND(IF(N368="m3",I368*J368*K368*L368,IF(N368="m2-LxH",I368*J368*L368,IF(N368="m2-LxW",I368*J368*K368,IF(N368="rm",I368*L368,IF(N368="lm",I368*J368,IF(N368="unit",I368,"NA")))))),2)</f>
        <v>4</v>
      </c>
      <c r="P368" s="186">
        <v>44891</v>
      </c>
      <c r="Q368" s="139"/>
      <c r="R368" s="140">
        <v>1</v>
      </c>
      <c r="S368" s="140">
        <v>1</v>
      </c>
      <c r="T368" s="140">
        <v>0</v>
      </c>
      <c r="U368" s="141">
        <f>IF(ISBLANK(Table1[[#This Row],[OHC Date]]),$B$7-Table1[[#This Row],[HOC Date]]+1,Table1[[#This Row],[OHC Date]]-Table1[[#This Row],[HOC Date]]+1)/7</f>
        <v>8.7142857142857135</v>
      </c>
      <c r="V368" s="142">
        <v>63.34</v>
      </c>
      <c r="W368" s="142">
        <v>7.28</v>
      </c>
      <c r="X368" s="142">
        <f>ROUND(0.7*Table1[[#This Row],[E&amp;D Rate per unit]]*R368*Table1[[#This Row],[Quantity]],2)</f>
        <v>177.35</v>
      </c>
      <c r="Y368" s="142">
        <f t="shared" ref="Y368:Y377" si="55">ROUND(O368*U368*W368*S368,2)</f>
        <v>253.76</v>
      </c>
      <c r="Z368" s="142">
        <f>ROUND(0.3*T368*Table1[[#This Row],[E&amp;D Rate per unit]]*Table1[[#This Row],[Quantity]],2)</f>
        <v>0</v>
      </c>
      <c r="AA368" s="142">
        <f t="shared" ref="AA368:AA377" si="56">ROUND(X368+Z368+Y368,2)</f>
        <v>431.11</v>
      </c>
      <c r="AB368" s="143">
        <v>302.14999999999998</v>
      </c>
      <c r="AC368" s="143">
        <f>Table1[[#This Row],[Total Amount]]-Table1[[#This Row],[Previous Amount]]</f>
        <v>128.96000000000004</v>
      </c>
      <c r="AD368" s="144"/>
    </row>
    <row r="369" spans="1:30" ht="30" customHeight="1" x14ac:dyDescent="0.3">
      <c r="A369" s="92" t="s">
        <v>89</v>
      </c>
      <c r="B369" s="92" t="s">
        <v>97</v>
      </c>
      <c r="C369" s="136">
        <v>103</v>
      </c>
      <c r="D369" s="136">
        <v>77535</v>
      </c>
      <c r="E369" s="196">
        <v>80591</v>
      </c>
      <c r="F369" s="137" t="s">
        <v>482</v>
      </c>
      <c r="G369" s="17" t="s">
        <v>200</v>
      </c>
      <c r="H369" s="102" t="s">
        <v>118</v>
      </c>
      <c r="I369" s="136">
        <v>1</v>
      </c>
      <c r="J369" s="136">
        <v>3</v>
      </c>
      <c r="K369" s="136">
        <v>2.5</v>
      </c>
      <c r="L369" s="136">
        <v>2.5</v>
      </c>
      <c r="M369" s="136">
        <v>1</v>
      </c>
      <c r="N369" s="138" t="s">
        <v>206</v>
      </c>
      <c r="O369" s="138">
        <f t="shared" si="54"/>
        <v>7.5</v>
      </c>
      <c r="P369" s="186">
        <v>44891</v>
      </c>
      <c r="Q369" s="189">
        <v>44922</v>
      </c>
      <c r="R369" s="140">
        <v>1</v>
      </c>
      <c r="S369" s="140">
        <v>1</v>
      </c>
      <c r="T369" s="140">
        <v>1</v>
      </c>
      <c r="U369" s="141">
        <f>IF(ISBLANK(Table1[[#This Row],[OHC Date]]),$B$7-Table1[[#This Row],[HOC Date]]+1,Table1[[#This Row],[OHC Date]]-Table1[[#This Row],[HOC Date]]+1)/7</f>
        <v>4.5714285714285712</v>
      </c>
      <c r="V369" s="142">
        <v>16.760000000000002</v>
      </c>
      <c r="W369" s="142">
        <v>0.77</v>
      </c>
      <c r="X369" s="142">
        <f>ROUND(0.7*Table1[[#This Row],[E&amp;D Rate per unit]]*R369*Table1[[#This Row],[Quantity]],2)</f>
        <v>87.99</v>
      </c>
      <c r="Y369" s="142">
        <f t="shared" si="55"/>
        <v>26.4</v>
      </c>
      <c r="Z369" s="142">
        <f>ROUND(0.3*T369*Table1[[#This Row],[E&amp;D Rate per unit]]*Table1[[#This Row],[Quantity]],2)</f>
        <v>37.71</v>
      </c>
      <c r="AA369" s="142">
        <f t="shared" si="56"/>
        <v>152.1</v>
      </c>
      <c r="AB369" s="143">
        <v>112.74</v>
      </c>
      <c r="AC369" s="143">
        <f>Table1[[#This Row],[Total Amount]]-Table1[[#This Row],[Previous Amount]]</f>
        <v>39.36</v>
      </c>
      <c r="AD369" s="144"/>
    </row>
    <row r="370" spans="1:30" ht="30" customHeight="1" x14ac:dyDescent="0.3">
      <c r="A370" s="92" t="s">
        <v>89</v>
      </c>
      <c r="B370" s="92" t="s">
        <v>97</v>
      </c>
      <c r="C370" s="136">
        <v>104</v>
      </c>
      <c r="D370" s="136">
        <v>77536</v>
      </c>
      <c r="E370" s="136">
        <v>80548</v>
      </c>
      <c r="F370" s="137" t="s">
        <v>483</v>
      </c>
      <c r="G370" s="17" t="s">
        <v>261</v>
      </c>
      <c r="H370" s="136" t="s">
        <v>119</v>
      </c>
      <c r="I370" s="136">
        <v>1</v>
      </c>
      <c r="J370" s="136">
        <v>5.4</v>
      </c>
      <c r="K370" s="136">
        <v>3.8</v>
      </c>
      <c r="L370" s="136">
        <v>2</v>
      </c>
      <c r="M370" s="136">
        <v>1</v>
      </c>
      <c r="N370" s="138" t="s">
        <v>224</v>
      </c>
      <c r="O370" s="138">
        <f t="shared" si="54"/>
        <v>41.04</v>
      </c>
      <c r="P370" s="118">
        <v>44891</v>
      </c>
      <c r="Q370" s="139">
        <v>44900</v>
      </c>
      <c r="R370" s="140">
        <v>1</v>
      </c>
      <c r="S370" s="140">
        <v>1</v>
      </c>
      <c r="T370" s="140">
        <v>1</v>
      </c>
      <c r="U370" s="141">
        <f>IF(ISBLANK(Table1[[#This Row],[OHC Date]]),$B$7-Table1[[#This Row],[HOC Date]]+1,Table1[[#This Row],[OHC Date]]-Table1[[#This Row],[HOC Date]]+1)/7</f>
        <v>1.4285714285714286</v>
      </c>
      <c r="V370" s="142">
        <v>7.08</v>
      </c>
      <c r="W370" s="142">
        <v>0.49</v>
      </c>
      <c r="X370" s="142">
        <f>ROUND(0.7*Table1[[#This Row],[E&amp;D Rate per unit]]*R370*Table1[[#This Row],[Quantity]],2)</f>
        <v>203.39</v>
      </c>
      <c r="Y370" s="142">
        <f t="shared" si="55"/>
        <v>28.73</v>
      </c>
      <c r="Z370" s="142">
        <f>ROUND(0.3*T370*Table1[[#This Row],[E&amp;D Rate per unit]]*Table1[[#This Row],[Quantity]],2)</f>
        <v>87.17</v>
      </c>
      <c r="AA370" s="142">
        <f t="shared" si="56"/>
        <v>319.29000000000002</v>
      </c>
      <c r="AB370" s="143">
        <v>319.29000000000002</v>
      </c>
      <c r="AC370" s="143">
        <f>Table1[[#This Row],[Total Amount]]-Table1[[#This Row],[Previous Amount]]</f>
        <v>0</v>
      </c>
      <c r="AD370" s="144"/>
    </row>
    <row r="371" spans="1:30" ht="30" customHeight="1" x14ac:dyDescent="0.3">
      <c r="A371" s="92" t="s">
        <v>89</v>
      </c>
      <c r="B371" s="92" t="s">
        <v>97</v>
      </c>
      <c r="C371" s="136">
        <v>104</v>
      </c>
      <c r="D371" s="136">
        <v>77536</v>
      </c>
      <c r="E371" s="136">
        <v>80548</v>
      </c>
      <c r="F371" s="137" t="s">
        <v>483</v>
      </c>
      <c r="G371" s="17" t="s">
        <v>261</v>
      </c>
      <c r="H371" s="136" t="s">
        <v>420</v>
      </c>
      <c r="I371" s="136">
        <v>1</v>
      </c>
      <c r="J371" s="136">
        <v>18.399999999999999</v>
      </c>
      <c r="K371" s="136">
        <v>1</v>
      </c>
      <c r="L371" s="136">
        <v>1</v>
      </c>
      <c r="M371" s="136"/>
      <c r="N371" s="138" t="s">
        <v>206</v>
      </c>
      <c r="O371" s="138">
        <f t="shared" si="54"/>
        <v>18.399999999999999</v>
      </c>
      <c r="P371" s="118">
        <v>44891</v>
      </c>
      <c r="Q371" s="139">
        <v>44900</v>
      </c>
      <c r="R371" s="140">
        <v>1</v>
      </c>
      <c r="S371" s="140">
        <v>1</v>
      </c>
      <c r="T371" s="140">
        <v>1</v>
      </c>
      <c r="U371" s="141">
        <f>IF(ISBLANK(Table1[[#This Row],[OHC Date]]),$B$7-Table1[[#This Row],[HOC Date]]+1,Table1[[#This Row],[OHC Date]]-Table1[[#This Row],[HOC Date]]+1)/7</f>
        <v>1.4285714285714286</v>
      </c>
      <c r="V371" s="142">
        <v>8.52</v>
      </c>
      <c r="W371" s="142">
        <v>0</v>
      </c>
      <c r="X371" s="142">
        <f>ROUND(0.7*Table1[[#This Row],[E&amp;D Rate per unit]]*R371*Table1[[#This Row],[Quantity]],2)</f>
        <v>109.74</v>
      </c>
      <c r="Y371" s="142">
        <f t="shared" si="55"/>
        <v>0</v>
      </c>
      <c r="Z371" s="142">
        <f>ROUND(0.3*T371*Table1[[#This Row],[E&amp;D Rate per unit]]*Table1[[#This Row],[Quantity]],2)</f>
        <v>47.03</v>
      </c>
      <c r="AA371" s="142">
        <f t="shared" si="56"/>
        <v>156.77000000000001</v>
      </c>
      <c r="AB371" s="143">
        <v>156.77000000000001</v>
      </c>
      <c r="AC371" s="143">
        <f>Table1[[#This Row],[Total Amount]]-Table1[[#This Row],[Previous Amount]]</f>
        <v>0</v>
      </c>
      <c r="AD371" s="144"/>
    </row>
    <row r="372" spans="1:30" ht="30" customHeight="1" x14ac:dyDescent="0.3">
      <c r="A372" s="92" t="s">
        <v>89</v>
      </c>
      <c r="B372" s="92" t="s">
        <v>97</v>
      </c>
      <c r="C372" s="136">
        <v>105</v>
      </c>
      <c r="D372" s="136">
        <v>77537</v>
      </c>
      <c r="E372" s="136">
        <v>80558</v>
      </c>
      <c r="F372" s="137" t="s">
        <v>484</v>
      </c>
      <c r="G372" s="17" t="s">
        <v>223</v>
      </c>
      <c r="H372" s="102" t="s">
        <v>205</v>
      </c>
      <c r="I372" s="136">
        <v>1</v>
      </c>
      <c r="J372" s="136">
        <v>5</v>
      </c>
      <c r="K372" s="136">
        <v>1.3</v>
      </c>
      <c r="L372" s="136">
        <v>2.5</v>
      </c>
      <c r="M372" s="136">
        <v>1</v>
      </c>
      <c r="N372" s="138" t="s">
        <v>206</v>
      </c>
      <c r="O372" s="138">
        <f t="shared" si="54"/>
        <v>12.5</v>
      </c>
      <c r="P372" s="118">
        <v>44891</v>
      </c>
      <c r="Q372" s="139">
        <v>44905</v>
      </c>
      <c r="R372" s="140">
        <v>1</v>
      </c>
      <c r="S372" s="140">
        <v>1</v>
      </c>
      <c r="T372" s="140">
        <v>1</v>
      </c>
      <c r="U372" s="141">
        <f>IF(ISBLANK(Table1[[#This Row],[OHC Date]]),$B$7-Table1[[#This Row],[HOC Date]]+1,Table1[[#This Row],[OHC Date]]-Table1[[#This Row],[HOC Date]]+1)/7</f>
        <v>2.1428571428571428</v>
      </c>
      <c r="V372" s="142">
        <v>12.01</v>
      </c>
      <c r="W372" s="142">
        <v>0.49</v>
      </c>
      <c r="X372" s="142">
        <f>ROUND(0.7*Table1[[#This Row],[E&amp;D Rate per unit]]*R372*Table1[[#This Row],[Quantity]],2)</f>
        <v>105.09</v>
      </c>
      <c r="Y372" s="142">
        <f t="shared" si="55"/>
        <v>13.13</v>
      </c>
      <c r="Z372" s="142">
        <f>ROUND(0.3*T372*Table1[[#This Row],[E&amp;D Rate per unit]]*Table1[[#This Row],[Quantity]],2)</f>
        <v>45.04</v>
      </c>
      <c r="AA372" s="142">
        <f t="shared" si="56"/>
        <v>163.26</v>
      </c>
      <c r="AB372" s="143">
        <v>163.26</v>
      </c>
      <c r="AC372" s="143">
        <f>Table1[[#This Row],[Total Amount]]-Table1[[#This Row],[Previous Amount]]</f>
        <v>0</v>
      </c>
      <c r="AD372" s="144"/>
    </row>
    <row r="373" spans="1:30" ht="30" customHeight="1" x14ac:dyDescent="0.3">
      <c r="A373" s="92" t="s">
        <v>89</v>
      </c>
      <c r="B373" s="92" t="s">
        <v>97</v>
      </c>
      <c r="C373" s="136" t="s">
        <v>485</v>
      </c>
      <c r="D373" s="136">
        <v>77538</v>
      </c>
      <c r="E373" s="136">
        <v>80559</v>
      </c>
      <c r="F373" s="137" t="s">
        <v>484</v>
      </c>
      <c r="G373" s="17" t="s">
        <v>223</v>
      </c>
      <c r="H373" s="136" t="s">
        <v>220</v>
      </c>
      <c r="I373" s="136">
        <v>1</v>
      </c>
      <c r="J373" s="136">
        <v>2.5</v>
      </c>
      <c r="K373" s="136">
        <v>1.8</v>
      </c>
      <c r="L373" s="136">
        <v>2.5</v>
      </c>
      <c r="M373" s="136">
        <v>1</v>
      </c>
      <c r="N373" s="138" t="s">
        <v>221</v>
      </c>
      <c r="O373" s="138">
        <f t="shared" si="54"/>
        <v>2.5</v>
      </c>
      <c r="P373" s="118">
        <v>44891</v>
      </c>
      <c r="Q373" s="139">
        <v>44905</v>
      </c>
      <c r="R373" s="140">
        <v>1</v>
      </c>
      <c r="S373" s="140">
        <v>1</v>
      </c>
      <c r="T373" s="140">
        <v>1</v>
      </c>
      <c r="U373" s="141">
        <f>IF(ISBLANK(Table1[[#This Row],[OHC Date]]),$B$7-Table1[[#This Row],[HOC Date]]+1,Table1[[#This Row],[OHC Date]]-Table1[[#This Row],[HOC Date]]+1)/7</f>
        <v>2.1428571428571428</v>
      </c>
      <c r="V373" s="142">
        <v>63.34</v>
      </c>
      <c r="W373" s="142">
        <v>7.28</v>
      </c>
      <c r="X373" s="142">
        <f>ROUND(0.7*Table1[[#This Row],[E&amp;D Rate per unit]]*R373*Table1[[#This Row],[Quantity]],2)</f>
        <v>110.85</v>
      </c>
      <c r="Y373" s="142">
        <f t="shared" si="55"/>
        <v>39</v>
      </c>
      <c r="Z373" s="142">
        <f>ROUND(0.3*T373*Table1[[#This Row],[E&amp;D Rate per unit]]*Table1[[#This Row],[Quantity]],2)</f>
        <v>47.51</v>
      </c>
      <c r="AA373" s="142">
        <f t="shared" si="56"/>
        <v>197.36</v>
      </c>
      <c r="AB373" s="143">
        <v>197.36</v>
      </c>
      <c r="AC373" s="143">
        <f>Table1[[#This Row],[Total Amount]]-Table1[[#This Row],[Previous Amount]]</f>
        <v>0</v>
      </c>
      <c r="AD373" s="144"/>
    </row>
    <row r="374" spans="1:30" ht="30" customHeight="1" x14ac:dyDescent="0.3">
      <c r="A374" s="92" t="s">
        <v>89</v>
      </c>
      <c r="B374" s="92" t="s">
        <v>97</v>
      </c>
      <c r="C374" s="136">
        <v>106</v>
      </c>
      <c r="D374" s="136">
        <v>77539</v>
      </c>
      <c r="E374" s="196">
        <v>80592</v>
      </c>
      <c r="F374" s="137" t="s">
        <v>482</v>
      </c>
      <c r="G374" s="17" t="s">
        <v>200</v>
      </c>
      <c r="H374" s="102" t="s">
        <v>118</v>
      </c>
      <c r="I374" s="136">
        <v>1</v>
      </c>
      <c r="J374" s="136">
        <v>3</v>
      </c>
      <c r="K374" s="136">
        <v>2</v>
      </c>
      <c r="L374" s="136">
        <v>3.5</v>
      </c>
      <c r="M374" s="136">
        <v>1</v>
      </c>
      <c r="N374" s="138" t="s">
        <v>206</v>
      </c>
      <c r="O374" s="138">
        <f t="shared" si="54"/>
        <v>10.5</v>
      </c>
      <c r="P374" s="186">
        <v>44891</v>
      </c>
      <c r="Q374" s="189">
        <v>44922</v>
      </c>
      <c r="R374" s="140">
        <v>1</v>
      </c>
      <c r="S374" s="140">
        <v>1</v>
      </c>
      <c r="T374" s="140">
        <v>1</v>
      </c>
      <c r="U374" s="141">
        <f>IF(ISBLANK(Table1[[#This Row],[OHC Date]]),$B$7-Table1[[#This Row],[HOC Date]]+1,Table1[[#This Row],[OHC Date]]-Table1[[#This Row],[HOC Date]]+1)/7</f>
        <v>4.5714285714285712</v>
      </c>
      <c r="V374" s="142">
        <v>16.760000000000002</v>
      </c>
      <c r="W374" s="142">
        <v>0.77</v>
      </c>
      <c r="X374" s="142">
        <f>ROUND(0.7*Table1[[#This Row],[E&amp;D Rate per unit]]*R374*Table1[[#This Row],[Quantity]],2)</f>
        <v>123.19</v>
      </c>
      <c r="Y374" s="142">
        <f t="shared" si="55"/>
        <v>36.96</v>
      </c>
      <c r="Z374" s="142">
        <f>ROUND(0.3*T374*Table1[[#This Row],[E&amp;D Rate per unit]]*Table1[[#This Row],[Quantity]],2)</f>
        <v>52.79</v>
      </c>
      <c r="AA374" s="142">
        <f t="shared" si="56"/>
        <v>212.94</v>
      </c>
      <c r="AB374" s="143">
        <v>157.84</v>
      </c>
      <c r="AC374" s="143">
        <f>Table1[[#This Row],[Total Amount]]-Table1[[#This Row],[Previous Amount]]</f>
        <v>55.099999999999994</v>
      </c>
      <c r="AD374" s="144"/>
    </row>
    <row r="375" spans="1:30" ht="30" customHeight="1" x14ac:dyDescent="0.3">
      <c r="A375" s="92" t="s">
        <v>89</v>
      </c>
      <c r="B375" s="92" t="s">
        <v>97</v>
      </c>
      <c r="C375" s="136">
        <v>107</v>
      </c>
      <c r="D375" s="136">
        <v>77540</v>
      </c>
      <c r="E375" s="136">
        <v>80565</v>
      </c>
      <c r="F375" s="137" t="s">
        <v>486</v>
      </c>
      <c r="G375" s="17" t="s">
        <v>200</v>
      </c>
      <c r="H375" s="102" t="s">
        <v>205</v>
      </c>
      <c r="I375" s="136">
        <v>1</v>
      </c>
      <c r="J375" s="136">
        <v>18.399999999999999</v>
      </c>
      <c r="K375" s="136">
        <v>0.9</v>
      </c>
      <c r="L375" s="136">
        <v>2</v>
      </c>
      <c r="M375" s="136">
        <v>1</v>
      </c>
      <c r="N375" s="138" t="s">
        <v>206</v>
      </c>
      <c r="O375" s="138">
        <f t="shared" si="54"/>
        <v>36.799999999999997</v>
      </c>
      <c r="P375" s="118">
        <v>44894</v>
      </c>
      <c r="Q375" s="139">
        <v>44907</v>
      </c>
      <c r="R375" s="140">
        <v>1</v>
      </c>
      <c r="S375" s="140">
        <v>1</v>
      </c>
      <c r="T375" s="140">
        <v>1</v>
      </c>
      <c r="U375" s="141">
        <f>IF(ISBLANK(Table1[[#This Row],[OHC Date]]),$B$7-Table1[[#This Row],[HOC Date]]+1,Table1[[#This Row],[OHC Date]]-Table1[[#This Row],[HOC Date]]+1)/7</f>
        <v>2</v>
      </c>
      <c r="V375" s="142">
        <v>12.01</v>
      </c>
      <c r="W375" s="142">
        <v>0.49</v>
      </c>
      <c r="X375" s="142">
        <f>ROUND(0.7*Table1[[#This Row],[E&amp;D Rate per unit]]*R375*Table1[[#This Row],[Quantity]],2)</f>
        <v>309.38</v>
      </c>
      <c r="Y375" s="142">
        <f t="shared" si="55"/>
        <v>36.06</v>
      </c>
      <c r="Z375" s="142">
        <f>ROUND(0.3*T375*Table1[[#This Row],[E&amp;D Rate per unit]]*Table1[[#This Row],[Quantity]],2)</f>
        <v>132.59</v>
      </c>
      <c r="AA375" s="142">
        <f t="shared" si="56"/>
        <v>478.03</v>
      </c>
      <c r="AB375" s="143">
        <v>478.03</v>
      </c>
      <c r="AC375" s="143">
        <f>Table1[[#This Row],[Total Amount]]-Table1[[#This Row],[Previous Amount]]</f>
        <v>0</v>
      </c>
      <c r="AD375" s="144"/>
    </row>
    <row r="376" spans="1:30" ht="30" customHeight="1" x14ac:dyDescent="0.3">
      <c r="A376" s="92" t="s">
        <v>89</v>
      </c>
      <c r="B376" s="92" t="s">
        <v>97</v>
      </c>
      <c r="C376" s="136">
        <v>107</v>
      </c>
      <c r="D376" s="136">
        <v>77540</v>
      </c>
      <c r="E376" s="136">
        <v>80565</v>
      </c>
      <c r="F376" s="137" t="s">
        <v>486</v>
      </c>
      <c r="G376" s="17" t="s">
        <v>200</v>
      </c>
      <c r="H376" s="136" t="s">
        <v>420</v>
      </c>
      <c r="I376" s="136">
        <v>1</v>
      </c>
      <c r="J376" s="136">
        <v>97.9</v>
      </c>
      <c r="K376" s="136">
        <v>1</v>
      </c>
      <c r="L376" s="136">
        <v>1</v>
      </c>
      <c r="M376" s="136"/>
      <c r="N376" s="138" t="s">
        <v>206</v>
      </c>
      <c r="O376" s="138">
        <f t="shared" si="54"/>
        <v>97.9</v>
      </c>
      <c r="P376" s="118">
        <v>44894</v>
      </c>
      <c r="Q376" s="139">
        <v>44907</v>
      </c>
      <c r="R376" s="140">
        <v>1</v>
      </c>
      <c r="S376" s="140">
        <v>1</v>
      </c>
      <c r="T376" s="140">
        <v>1</v>
      </c>
      <c r="U376" s="141">
        <f>IF(ISBLANK(Table1[[#This Row],[OHC Date]]),$B$7-Table1[[#This Row],[HOC Date]]+1,Table1[[#This Row],[OHC Date]]-Table1[[#This Row],[HOC Date]]+1)/7</f>
        <v>2</v>
      </c>
      <c r="V376" s="142">
        <v>8.52</v>
      </c>
      <c r="W376" s="142">
        <v>0</v>
      </c>
      <c r="X376" s="142">
        <f>ROUND(0.7*Table1[[#This Row],[E&amp;D Rate per unit]]*R376*Table1[[#This Row],[Quantity]],2)</f>
        <v>583.88</v>
      </c>
      <c r="Y376" s="142">
        <f t="shared" si="55"/>
        <v>0</v>
      </c>
      <c r="Z376" s="142">
        <f>ROUND(0.3*T376*Table1[[#This Row],[E&amp;D Rate per unit]]*Table1[[#This Row],[Quantity]],2)</f>
        <v>250.23</v>
      </c>
      <c r="AA376" s="142">
        <f t="shared" si="56"/>
        <v>834.11</v>
      </c>
      <c r="AB376" s="143">
        <v>834.11</v>
      </c>
      <c r="AC376" s="143">
        <f>Table1[[#This Row],[Total Amount]]-Table1[[#This Row],[Previous Amount]]</f>
        <v>0</v>
      </c>
      <c r="AD376" s="144"/>
    </row>
    <row r="377" spans="1:30" ht="30" customHeight="1" x14ac:dyDescent="0.3">
      <c r="A377" s="92" t="s">
        <v>89</v>
      </c>
      <c r="B377" s="92" t="s">
        <v>97</v>
      </c>
      <c r="C377" s="136" t="s">
        <v>487</v>
      </c>
      <c r="D377" s="136">
        <v>77541</v>
      </c>
      <c r="E377" s="136"/>
      <c r="F377" s="137" t="s">
        <v>488</v>
      </c>
      <c r="G377" s="17" t="s">
        <v>159</v>
      </c>
      <c r="H377" s="102" t="s">
        <v>126</v>
      </c>
      <c r="I377" s="136">
        <v>2</v>
      </c>
      <c r="J377" s="136">
        <v>8.5</v>
      </c>
      <c r="K377" s="136">
        <v>0.5</v>
      </c>
      <c r="L377" s="136">
        <v>1</v>
      </c>
      <c r="M377" s="136">
        <v>2</v>
      </c>
      <c r="N377" s="138" t="s">
        <v>160</v>
      </c>
      <c r="O377" s="138">
        <f t="shared" si="54"/>
        <v>8.5</v>
      </c>
      <c r="P377" s="186">
        <v>44894</v>
      </c>
      <c r="Q377" s="139"/>
      <c r="R377" s="140">
        <v>1</v>
      </c>
      <c r="S377" s="140">
        <v>1</v>
      </c>
      <c r="T377" s="140">
        <v>0</v>
      </c>
      <c r="U377" s="141">
        <f>IF(ISBLANK(Table1[[#This Row],[OHC Date]]),$B$7-Table1[[#This Row],[HOC Date]]+1,Table1[[#This Row],[OHC Date]]-Table1[[#This Row],[HOC Date]]+1)/7</f>
        <v>8.2857142857142865</v>
      </c>
      <c r="V377" s="142">
        <v>32.75</v>
      </c>
      <c r="W377" s="142">
        <v>1.05</v>
      </c>
      <c r="X377" s="142">
        <f>ROUND(0.7*Table1[[#This Row],[E&amp;D Rate per unit]]*R377*Table1[[#This Row],[Quantity]],2)</f>
        <v>194.86</v>
      </c>
      <c r="Y377" s="142">
        <f t="shared" si="55"/>
        <v>73.95</v>
      </c>
      <c r="Z377" s="142">
        <f>ROUND(0.3*T377*Table1[[#This Row],[E&amp;D Rate per unit]]*Table1[[#This Row],[Quantity]],2)</f>
        <v>0</v>
      </c>
      <c r="AA377" s="142">
        <f t="shared" si="56"/>
        <v>268.81</v>
      </c>
      <c r="AB377" s="143">
        <v>229.29</v>
      </c>
      <c r="AC377" s="143">
        <f>Table1[[#This Row],[Total Amount]]-Table1[[#This Row],[Previous Amount]]</f>
        <v>39.52000000000001</v>
      </c>
      <c r="AD377" s="144"/>
    </row>
    <row r="378" spans="1:30" ht="30" customHeight="1" x14ac:dyDescent="0.3">
      <c r="A378" s="92" t="s">
        <v>89</v>
      </c>
      <c r="B378" s="92" t="s">
        <v>97</v>
      </c>
      <c r="C378" s="136" t="s">
        <v>489</v>
      </c>
      <c r="D378" s="136">
        <v>77544</v>
      </c>
      <c r="E378" s="136"/>
      <c r="F378" s="137" t="s">
        <v>490</v>
      </c>
      <c r="G378" s="17" t="s">
        <v>491</v>
      </c>
      <c r="H378" s="136" t="s">
        <v>176</v>
      </c>
      <c r="I378" s="136">
        <v>4</v>
      </c>
      <c r="J378" s="136">
        <v>5</v>
      </c>
      <c r="K378" s="136">
        <v>1.8</v>
      </c>
      <c r="L378" s="136">
        <v>1</v>
      </c>
      <c r="M378" s="136">
        <v>4</v>
      </c>
      <c r="N378" s="138" t="s">
        <v>160</v>
      </c>
      <c r="O378" s="138">
        <f t="shared" ref="O378:O460" si="57">ROUND(IF(N378="m3",I378*J378*K378*L378,IF(N378="m2-LxH",I378*J378*L378,IF(N378="m2-LxW",I378*J378*K378,IF(N378="rm",I378*L378,IF(N378="lm",I378*J378,IF(N378="unit",I378,"NA")))))),2)</f>
        <v>36</v>
      </c>
      <c r="P378" s="186">
        <v>44895</v>
      </c>
      <c r="Q378" s="139"/>
      <c r="R378" s="140">
        <v>1</v>
      </c>
      <c r="S378" s="140">
        <v>1</v>
      </c>
      <c r="T378" s="140">
        <v>0</v>
      </c>
      <c r="U378" s="141">
        <f>IF(ISBLANK(Table1[[#This Row],[OHC Date]]),$B$7-Table1[[#This Row],[HOC Date]]+1,Table1[[#This Row],[OHC Date]]-Table1[[#This Row],[HOC Date]]+1)/7</f>
        <v>8.1428571428571423</v>
      </c>
      <c r="V378" s="142">
        <v>6.63</v>
      </c>
      <c r="W378" s="142">
        <v>0.7</v>
      </c>
      <c r="X378" s="142">
        <f>ROUND(0.7*Table1[[#This Row],[E&amp;D Rate per unit]]*R378*Table1[[#This Row],[Quantity]],2)</f>
        <v>167.08</v>
      </c>
      <c r="Y378" s="142">
        <f t="shared" ref="Y378:Y460" si="58">ROUND(O378*U378*W378*S378,2)</f>
        <v>205.2</v>
      </c>
      <c r="Z378" s="142">
        <f>ROUND(0.3*T378*Table1[[#This Row],[E&amp;D Rate per unit]]*Table1[[#This Row],[Quantity]],2)</f>
        <v>0</v>
      </c>
      <c r="AA378" s="142">
        <f t="shared" ref="AA378:AA460" si="59">ROUND(X378+Z378+Y378,2)</f>
        <v>372.28</v>
      </c>
      <c r="AB378" s="143">
        <v>260.68</v>
      </c>
      <c r="AC378" s="143">
        <f>Table1[[#This Row],[Total Amount]]-Table1[[#This Row],[Previous Amount]]</f>
        <v>111.59999999999997</v>
      </c>
      <c r="AD378" s="144"/>
    </row>
    <row r="379" spans="1:30" ht="30" customHeight="1" x14ac:dyDescent="0.3">
      <c r="A379" s="92" t="s">
        <v>89</v>
      </c>
      <c r="B379" s="92" t="s">
        <v>97</v>
      </c>
      <c r="C379" s="136" t="s">
        <v>489</v>
      </c>
      <c r="D379" s="136">
        <v>77544</v>
      </c>
      <c r="E379" s="136"/>
      <c r="F379" s="137" t="s">
        <v>490</v>
      </c>
      <c r="G379" s="17" t="s">
        <v>491</v>
      </c>
      <c r="H379" s="136" t="s">
        <v>420</v>
      </c>
      <c r="I379" s="136">
        <v>1</v>
      </c>
      <c r="J379" s="136">
        <v>36</v>
      </c>
      <c r="K379" s="136">
        <v>1</v>
      </c>
      <c r="L379" s="136">
        <v>1</v>
      </c>
      <c r="M379" s="136"/>
      <c r="N379" s="138" t="s">
        <v>206</v>
      </c>
      <c r="O379" s="138">
        <f t="shared" si="57"/>
        <v>36</v>
      </c>
      <c r="P379" s="186">
        <v>44895</v>
      </c>
      <c r="Q379" s="139"/>
      <c r="R379" s="140">
        <v>1</v>
      </c>
      <c r="S379" s="140">
        <v>1</v>
      </c>
      <c r="T379" s="140">
        <v>0</v>
      </c>
      <c r="U379" s="141">
        <f>IF(ISBLANK(Table1[[#This Row],[OHC Date]]),$B$7-Table1[[#This Row],[HOC Date]]+1,Table1[[#This Row],[OHC Date]]-Table1[[#This Row],[HOC Date]]+1)/7</f>
        <v>8.1428571428571423</v>
      </c>
      <c r="V379" s="142">
        <v>8.52</v>
      </c>
      <c r="W379" s="142">
        <v>0</v>
      </c>
      <c r="X379" s="142">
        <f>ROUND(0.7*Table1[[#This Row],[E&amp;D Rate per unit]]*R379*Table1[[#This Row],[Quantity]],2)</f>
        <v>214.7</v>
      </c>
      <c r="Y379" s="142">
        <f t="shared" si="58"/>
        <v>0</v>
      </c>
      <c r="Z379" s="142">
        <f>ROUND(0.3*T379*Table1[[#This Row],[E&amp;D Rate per unit]]*Table1[[#This Row],[Quantity]],2)</f>
        <v>0</v>
      </c>
      <c r="AA379" s="142">
        <f t="shared" si="59"/>
        <v>214.7</v>
      </c>
      <c r="AB379" s="143">
        <v>214.7</v>
      </c>
      <c r="AC379" s="143">
        <f>Table1[[#This Row],[Total Amount]]-Table1[[#This Row],[Previous Amount]]</f>
        <v>0</v>
      </c>
      <c r="AD379" s="144"/>
    </row>
    <row r="380" spans="1:30" ht="30" customHeight="1" x14ac:dyDescent="0.3">
      <c r="A380" s="92" t="s">
        <v>89</v>
      </c>
      <c r="B380" s="92" t="s">
        <v>97</v>
      </c>
      <c r="C380" s="136">
        <v>110</v>
      </c>
      <c r="D380" s="136">
        <v>77545</v>
      </c>
      <c r="E380" s="136"/>
      <c r="F380" s="137" t="s">
        <v>492</v>
      </c>
      <c r="G380" s="17" t="s">
        <v>223</v>
      </c>
      <c r="H380" s="136" t="s">
        <v>220</v>
      </c>
      <c r="I380" s="136">
        <v>1</v>
      </c>
      <c r="J380" s="136">
        <v>2.5</v>
      </c>
      <c r="K380" s="136">
        <v>1.3</v>
      </c>
      <c r="L380" s="136">
        <v>6</v>
      </c>
      <c r="M380" s="136">
        <v>1</v>
      </c>
      <c r="N380" s="138" t="s">
        <v>221</v>
      </c>
      <c r="O380" s="138">
        <f t="shared" si="57"/>
        <v>6</v>
      </c>
      <c r="P380" s="186">
        <v>44895</v>
      </c>
      <c r="Q380" s="139"/>
      <c r="R380" s="140">
        <v>1</v>
      </c>
      <c r="S380" s="140">
        <v>1</v>
      </c>
      <c r="T380" s="140">
        <v>0</v>
      </c>
      <c r="U380" s="141">
        <f>IF(ISBLANK(Table1[[#This Row],[OHC Date]]),$B$7-Table1[[#This Row],[HOC Date]]+1,Table1[[#This Row],[OHC Date]]-Table1[[#This Row],[HOC Date]]+1)/7</f>
        <v>8.1428571428571423</v>
      </c>
      <c r="V380" s="142">
        <v>63.34</v>
      </c>
      <c r="W380" s="142">
        <v>7.28</v>
      </c>
      <c r="X380" s="142">
        <f>ROUND(0.7*Table1[[#This Row],[E&amp;D Rate per unit]]*R380*Table1[[#This Row],[Quantity]],2)</f>
        <v>266.02999999999997</v>
      </c>
      <c r="Y380" s="142">
        <f t="shared" si="58"/>
        <v>355.68</v>
      </c>
      <c r="Z380" s="142">
        <f>ROUND(0.3*T380*Table1[[#This Row],[E&amp;D Rate per unit]]*Table1[[#This Row],[Quantity]],2)</f>
        <v>0</v>
      </c>
      <c r="AA380" s="142">
        <f t="shared" si="59"/>
        <v>621.71</v>
      </c>
      <c r="AB380" s="143">
        <v>428.27</v>
      </c>
      <c r="AC380" s="143">
        <f>Table1[[#This Row],[Total Amount]]-Table1[[#This Row],[Previous Amount]]</f>
        <v>193.44000000000005</v>
      </c>
      <c r="AD380" s="144"/>
    </row>
    <row r="381" spans="1:30" ht="30" customHeight="1" x14ac:dyDescent="0.3">
      <c r="A381" s="92" t="s">
        <v>89</v>
      </c>
      <c r="B381" s="92" t="s">
        <v>97</v>
      </c>
      <c r="C381" s="136">
        <v>110</v>
      </c>
      <c r="D381" s="136">
        <v>77545</v>
      </c>
      <c r="E381" s="136"/>
      <c r="F381" s="137" t="s">
        <v>492</v>
      </c>
      <c r="G381" s="17" t="s">
        <v>223</v>
      </c>
      <c r="H381" s="136" t="s">
        <v>176</v>
      </c>
      <c r="I381" s="136">
        <v>2</v>
      </c>
      <c r="J381" s="136">
        <v>2.5</v>
      </c>
      <c r="K381" s="136">
        <v>1.3</v>
      </c>
      <c r="L381" s="136">
        <v>1</v>
      </c>
      <c r="M381" s="136">
        <v>2</v>
      </c>
      <c r="N381" s="138" t="s">
        <v>160</v>
      </c>
      <c r="O381" s="138">
        <f t="shared" si="57"/>
        <v>6.5</v>
      </c>
      <c r="P381" s="186">
        <v>44895</v>
      </c>
      <c r="Q381" s="139"/>
      <c r="R381" s="140">
        <v>1</v>
      </c>
      <c r="S381" s="140">
        <v>1</v>
      </c>
      <c r="T381" s="140">
        <v>0</v>
      </c>
      <c r="U381" s="141">
        <f>IF(ISBLANK(Table1[[#This Row],[OHC Date]]),$B$7-Table1[[#This Row],[HOC Date]]+1,Table1[[#This Row],[OHC Date]]-Table1[[#This Row],[HOC Date]]+1)/7</f>
        <v>8.1428571428571423</v>
      </c>
      <c r="V381" s="142">
        <v>6.63</v>
      </c>
      <c r="W381" s="142">
        <v>0.7</v>
      </c>
      <c r="X381" s="142">
        <f>ROUND(0.7*Table1[[#This Row],[E&amp;D Rate per unit]]*R381*Table1[[#This Row],[Quantity]],2)</f>
        <v>30.17</v>
      </c>
      <c r="Y381" s="142">
        <f t="shared" si="58"/>
        <v>37.049999999999997</v>
      </c>
      <c r="Z381" s="142">
        <f>ROUND(0.3*T381*Table1[[#This Row],[E&amp;D Rate per unit]]*Table1[[#This Row],[Quantity]],2)</f>
        <v>0</v>
      </c>
      <c r="AA381" s="142">
        <f t="shared" si="59"/>
        <v>67.22</v>
      </c>
      <c r="AB381" s="143">
        <v>47.07</v>
      </c>
      <c r="AC381" s="143">
        <f>Table1[[#This Row],[Total Amount]]-Table1[[#This Row],[Previous Amount]]</f>
        <v>20.149999999999999</v>
      </c>
      <c r="AD381" s="144"/>
    </row>
    <row r="382" spans="1:30" ht="30" customHeight="1" x14ac:dyDescent="0.3">
      <c r="A382" s="92" t="s">
        <v>89</v>
      </c>
      <c r="B382" s="92" t="s">
        <v>97</v>
      </c>
      <c r="C382" s="136" t="s">
        <v>493</v>
      </c>
      <c r="D382" s="136">
        <v>77545</v>
      </c>
      <c r="E382" s="196">
        <v>80875</v>
      </c>
      <c r="F382" s="137" t="s">
        <v>492</v>
      </c>
      <c r="G382" s="17" t="s">
        <v>223</v>
      </c>
      <c r="H382" s="151" t="s">
        <v>123</v>
      </c>
      <c r="I382" s="136">
        <v>1</v>
      </c>
      <c r="J382" s="136">
        <v>2.5</v>
      </c>
      <c r="K382" s="136">
        <v>2.5</v>
      </c>
      <c r="L382" s="136">
        <v>3.5</v>
      </c>
      <c r="M382" s="136"/>
      <c r="N382" s="138" t="s">
        <v>224</v>
      </c>
      <c r="O382" s="138">
        <f t="shared" si="57"/>
        <v>21.88</v>
      </c>
      <c r="P382" s="186">
        <v>44895</v>
      </c>
      <c r="Q382" s="189">
        <v>44932</v>
      </c>
      <c r="R382" s="140">
        <v>1</v>
      </c>
      <c r="S382" s="140">
        <v>1</v>
      </c>
      <c r="T382" s="140">
        <v>1</v>
      </c>
      <c r="U382" s="141">
        <f>IF(ISBLANK(Table1[[#This Row],[OHC Date]]),$B$7-Table1[[#This Row],[HOC Date]]+1,Table1[[#This Row],[OHC Date]]-Table1[[#This Row],[HOC Date]]+1)/7</f>
        <v>5.4285714285714288</v>
      </c>
      <c r="V382" s="142">
        <v>5.29</v>
      </c>
      <c r="W382" s="142">
        <v>0.35</v>
      </c>
      <c r="X382" s="142">
        <f>ROUND(0.7*Table1[[#This Row],[E&amp;D Rate per unit]]*R382*Table1[[#This Row],[Quantity]],2)</f>
        <v>81.02</v>
      </c>
      <c r="Y382" s="142">
        <f t="shared" si="58"/>
        <v>41.57</v>
      </c>
      <c r="Z382" s="142">
        <f>ROUND(0.3*T382*Table1[[#This Row],[E&amp;D Rate per unit]]*Table1[[#This Row],[Quantity]],2)</f>
        <v>34.72</v>
      </c>
      <c r="AA382" s="142">
        <f t="shared" si="59"/>
        <v>157.31</v>
      </c>
      <c r="AB382" s="143">
        <v>109.46</v>
      </c>
      <c r="AC382" s="143">
        <f>Table1[[#This Row],[Total Amount]]-Table1[[#This Row],[Previous Amount]]</f>
        <v>47.850000000000009</v>
      </c>
      <c r="AD382" s="144"/>
    </row>
    <row r="383" spans="1:30" ht="30" customHeight="1" x14ac:dyDescent="0.3">
      <c r="A383" s="92" t="s">
        <v>89</v>
      </c>
      <c r="B383" s="92" t="s">
        <v>97</v>
      </c>
      <c r="C383" s="136" t="s">
        <v>494</v>
      </c>
      <c r="D383" s="136">
        <v>77546</v>
      </c>
      <c r="E383" s="136"/>
      <c r="F383" s="137" t="s">
        <v>492</v>
      </c>
      <c r="G383" s="17" t="s">
        <v>223</v>
      </c>
      <c r="H383" s="102" t="s">
        <v>126</v>
      </c>
      <c r="I383" s="136">
        <v>3</v>
      </c>
      <c r="J383" s="136">
        <v>1.3</v>
      </c>
      <c r="K383" s="136">
        <v>0.5</v>
      </c>
      <c r="L383" s="136">
        <v>1</v>
      </c>
      <c r="M383" s="136">
        <v>3</v>
      </c>
      <c r="N383" s="138" t="s">
        <v>160</v>
      </c>
      <c r="O383" s="138">
        <f t="shared" si="57"/>
        <v>1.95</v>
      </c>
      <c r="P383" s="186">
        <v>44895</v>
      </c>
      <c r="Q383" s="139"/>
      <c r="R383" s="140">
        <v>1</v>
      </c>
      <c r="S383" s="140">
        <v>1</v>
      </c>
      <c r="T383" s="140">
        <v>0</v>
      </c>
      <c r="U383" s="141">
        <f>IF(ISBLANK(Table1[[#This Row],[OHC Date]]),$B$7-Table1[[#This Row],[HOC Date]]+1,Table1[[#This Row],[OHC Date]]-Table1[[#This Row],[HOC Date]]+1)/7</f>
        <v>8.1428571428571423</v>
      </c>
      <c r="V383" s="142">
        <v>32.75</v>
      </c>
      <c r="W383" s="142">
        <v>1.05</v>
      </c>
      <c r="X383" s="142">
        <f>ROUND(0.7*Table1[[#This Row],[E&amp;D Rate per unit]]*R383*Table1[[#This Row],[Quantity]],2)</f>
        <v>44.7</v>
      </c>
      <c r="Y383" s="142">
        <f t="shared" si="58"/>
        <v>16.670000000000002</v>
      </c>
      <c r="Z383" s="142">
        <f>ROUND(0.3*T383*Table1[[#This Row],[E&amp;D Rate per unit]]*Table1[[#This Row],[Quantity]],2)</f>
        <v>0</v>
      </c>
      <c r="AA383" s="142">
        <f t="shared" si="59"/>
        <v>61.37</v>
      </c>
      <c r="AB383" s="143">
        <v>52.31</v>
      </c>
      <c r="AC383" s="143">
        <f>Table1[[#This Row],[Total Amount]]-Table1[[#This Row],[Previous Amount]]</f>
        <v>9.0599999999999952</v>
      </c>
      <c r="AD383" s="144"/>
    </row>
    <row r="384" spans="1:30" ht="30" customHeight="1" x14ac:dyDescent="0.3">
      <c r="A384" s="92" t="s">
        <v>89</v>
      </c>
      <c r="B384" s="92" t="s">
        <v>97</v>
      </c>
      <c r="C384" s="136" t="s">
        <v>495</v>
      </c>
      <c r="D384" s="136">
        <v>77547</v>
      </c>
      <c r="E384" s="136"/>
      <c r="F384" s="137" t="s">
        <v>496</v>
      </c>
      <c r="G384" s="17" t="s">
        <v>163</v>
      </c>
      <c r="H384" s="136" t="s">
        <v>176</v>
      </c>
      <c r="I384" s="136">
        <v>2</v>
      </c>
      <c r="J384" s="136">
        <v>1.8</v>
      </c>
      <c r="K384" s="136">
        <v>1.8</v>
      </c>
      <c r="L384" s="136">
        <v>1</v>
      </c>
      <c r="M384" s="136">
        <v>2</v>
      </c>
      <c r="N384" s="138" t="s">
        <v>160</v>
      </c>
      <c r="O384" s="138">
        <f t="shared" si="57"/>
        <v>6.48</v>
      </c>
      <c r="P384" s="186">
        <v>44900</v>
      </c>
      <c r="Q384" s="139"/>
      <c r="R384" s="140">
        <v>1</v>
      </c>
      <c r="S384" s="140">
        <v>1</v>
      </c>
      <c r="T384" s="140">
        <v>0</v>
      </c>
      <c r="U384" s="141">
        <f>IF(ISBLANK(Table1[[#This Row],[OHC Date]]),$B$7-Table1[[#This Row],[HOC Date]]+1,Table1[[#This Row],[OHC Date]]-Table1[[#This Row],[HOC Date]]+1)/7</f>
        <v>7.4285714285714288</v>
      </c>
      <c r="V384" s="142">
        <v>6.63</v>
      </c>
      <c r="W384" s="142">
        <v>0.7</v>
      </c>
      <c r="X384" s="142">
        <f>ROUND(0.7*Table1[[#This Row],[E&amp;D Rate per unit]]*R384*Table1[[#This Row],[Quantity]],2)</f>
        <v>30.07</v>
      </c>
      <c r="Y384" s="142">
        <f t="shared" si="58"/>
        <v>33.700000000000003</v>
      </c>
      <c r="Z384" s="142">
        <f>ROUND(0.3*T384*Table1[[#This Row],[E&amp;D Rate per unit]]*Table1[[#This Row],[Quantity]],2)</f>
        <v>0</v>
      </c>
      <c r="AA384" s="142">
        <f t="shared" si="59"/>
        <v>63.77</v>
      </c>
      <c r="AB384" s="143">
        <v>43.68</v>
      </c>
      <c r="AC384" s="143">
        <f>Table1[[#This Row],[Total Amount]]-Table1[[#This Row],[Previous Amount]]</f>
        <v>20.090000000000003</v>
      </c>
      <c r="AD384" s="144"/>
    </row>
    <row r="385" spans="1:30" ht="30" customHeight="1" x14ac:dyDescent="0.3">
      <c r="A385" s="92" t="s">
        <v>89</v>
      </c>
      <c r="B385" s="92" t="s">
        <v>97</v>
      </c>
      <c r="C385" s="136" t="s">
        <v>497</v>
      </c>
      <c r="D385" s="136">
        <v>77548</v>
      </c>
      <c r="E385" s="136"/>
      <c r="F385" s="137" t="s">
        <v>496</v>
      </c>
      <c r="G385" s="17" t="s">
        <v>163</v>
      </c>
      <c r="H385" s="102" t="s">
        <v>127</v>
      </c>
      <c r="I385" s="136">
        <v>1</v>
      </c>
      <c r="J385" s="136">
        <v>1.5</v>
      </c>
      <c r="K385" s="136">
        <v>1.5</v>
      </c>
      <c r="L385" s="136">
        <v>1</v>
      </c>
      <c r="M385" s="136">
        <v>1</v>
      </c>
      <c r="N385" s="138" t="s">
        <v>160</v>
      </c>
      <c r="O385" s="138">
        <f t="shared" si="57"/>
        <v>2.25</v>
      </c>
      <c r="P385" s="186">
        <v>44900</v>
      </c>
      <c r="Q385" s="139"/>
      <c r="R385" s="140">
        <v>1</v>
      </c>
      <c r="S385" s="140">
        <v>1</v>
      </c>
      <c r="T385" s="140">
        <v>0</v>
      </c>
      <c r="U385" s="141">
        <f>IF(ISBLANK(Table1[[#This Row],[OHC Date]]),$B$7-Table1[[#This Row],[HOC Date]]+1,Table1[[#This Row],[OHC Date]]-Table1[[#This Row],[HOC Date]]+1)/7</f>
        <v>7.4285714285714288</v>
      </c>
      <c r="V385" s="142">
        <v>36.520000000000003</v>
      </c>
      <c r="W385" s="142">
        <v>2.94</v>
      </c>
      <c r="X385" s="142">
        <f>ROUND(0.7*Table1[[#This Row],[E&amp;D Rate per unit]]*R385*Table1[[#This Row],[Quantity]],2)</f>
        <v>57.52</v>
      </c>
      <c r="Y385" s="142">
        <f t="shared" si="58"/>
        <v>49.14</v>
      </c>
      <c r="Z385" s="142">
        <f>ROUND(0.3*T385*Table1[[#This Row],[E&amp;D Rate per unit]]*Table1[[#This Row],[Quantity]],2)</f>
        <v>0</v>
      </c>
      <c r="AA385" s="142">
        <f t="shared" si="59"/>
        <v>106.66</v>
      </c>
      <c r="AB385" s="143">
        <v>77.37</v>
      </c>
      <c r="AC385" s="143">
        <f>Table1[[#This Row],[Total Amount]]-Table1[[#This Row],[Previous Amount]]</f>
        <v>29.289999999999992</v>
      </c>
      <c r="AD385" s="144"/>
    </row>
    <row r="386" spans="1:30" ht="30" customHeight="1" x14ac:dyDescent="0.3">
      <c r="A386" s="92" t="s">
        <v>89</v>
      </c>
      <c r="B386" s="92" t="s">
        <v>97</v>
      </c>
      <c r="C386" s="136" t="s">
        <v>498</v>
      </c>
      <c r="D386" s="136">
        <v>77549</v>
      </c>
      <c r="E386" s="136"/>
      <c r="F386" s="137" t="s">
        <v>238</v>
      </c>
      <c r="G386" s="17" t="s">
        <v>190</v>
      </c>
      <c r="H386" s="102" t="s">
        <v>126</v>
      </c>
      <c r="I386" s="136">
        <v>3</v>
      </c>
      <c r="J386" s="136">
        <v>8.5</v>
      </c>
      <c r="K386" s="136">
        <v>0.5</v>
      </c>
      <c r="L386" s="136">
        <v>1</v>
      </c>
      <c r="M386" s="136">
        <v>3</v>
      </c>
      <c r="N386" s="138" t="s">
        <v>160</v>
      </c>
      <c r="O386" s="138">
        <f t="shared" si="57"/>
        <v>12.75</v>
      </c>
      <c r="P386" s="186">
        <v>44901</v>
      </c>
      <c r="Q386" s="139"/>
      <c r="R386" s="140">
        <v>1</v>
      </c>
      <c r="S386" s="140">
        <v>1</v>
      </c>
      <c r="T386" s="140">
        <v>0</v>
      </c>
      <c r="U386" s="141">
        <f>IF(ISBLANK(Table1[[#This Row],[OHC Date]]),$B$7-Table1[[#This Row],[HOC Date]]+1,Table1[[#This Row],[OHC Date]]-Table1[[#This Row],[HOC Date]]+1)/7</f>
        <v>7.2857142857142856</v>
      </c>
      <c r="V386" s="142">
        <v>32.75</v>
      </c>
      <c r="W386" s="142">
        <v>1.05</v>
      </c>
      <c r="X386" s="142">
        <f>ROUND(0.7*Table1[[#This Row],[E&amp;D Rate per unit]]*R386*Table1[[#This Row],[Quantity]],2)</f>
        <v>292.29000000000002</v>
      </c>
      <c r="Y386" s="142">
        <f t="shared" si="58"/>
        <v>97.54</v>
      </c>
      <c r="Z386" s="142">
        <f>ROUND(0.3*T386*Table1[[#This Row],[E&amp;D Rate per unit]]*Table1[[#This Row],[Quantity]],2)</f>
        <v>0</v>
      </c>
      <c r="AA386" s="142">
        <f t="shared" si="59"/>
        <v>389.83</v>
      </c>
      <c r="AB386" s="143">
        <v>330.54</v>
      </c>
      <c r="AC386" s="143">
        <f>Table1[[#This Row],[Total Amount]]-Table1[[#This Row],[Previous Amount]]</f>
        <v>59.289999999999964</v>
      </c>
      <c r="AD386" s="144"/>
    </row>
    <row r="387" spans="1:30" ht="30" customHeight="1" x14ac:dyDescent="0.3">
      <c r="A387" s="92" t="s">
        <v>89</v>
      </c>
      <c r="B387" s="92" t="s">
        <v>97</v>
      </c>
      <c r="C387" s="136" t="s">
        <v>499</v>
      </c>
      <c r="D387" s="136">
        <v>79102</v>
      </c>
      <c r="E387" s="136"/>
      <c r="F387" s="137" t="s">
        <v>490</v>
      </c>
      <c r="G387" s="17" t="s">
        <v>159</v>
      </c>
      <c r="H387" s="136" t="s">
        <v>176</v>
      </c>
      <c r="I387" s="136">
        <v>1</v>
      </c>
      <c r="J387" s="136">
        <v>7.2</v>
      </c>
      <c r="K387" s="136">
        <v>1.8</v>
      </c>
      <c r="L387" s="136">
        <v>1</v>
      </c>
      <c r="M387" s="136">
        <v>1</v>
      </c>
      <c r="N387" s="138" t="s">
        <v>160</v>
      </c>
      <c r="O387" s="138">
        <f t="shared" si="57"/>
        <v>12.96</v>
      </c>
      <c r="P387" s="186">
        <v>44901</v>
      </c>
      <c r="Q387" s="139"/>
      <c r="R387" s="140">
        <v>1</v>
      </c>
      <c r="S387" s="140">
        <v>1</v>
      </c>
      <c r="T387" s="140">
        <v>0</v>
      </c>
      <c r="U387" s="141">
        <f>IF(ISBLANK(Table1[[#This Row],[OHC Date]]),$B$7-Table1[[#This Row],[HOC Date]]+1,Table1[[#This Row],[OHC Date]]-Table1[[#This Row],[HOC Date]]+1)/7</f>
        <v>7.2857142857142856</v>
      </c>
      <c r="V387" s="142">
        <v>6.63</v>
      </c>
      <c r="W387" s="142">
        <v>0.7</v>
      </c>
      <c r="X387" s="142">
        <f>ROUND(0.7*Table1[[#This Row],[E&amp;D Rate per unit]]*R387*Table1[[#This Row],[Quantity]],2)</f>
        <v>60.15</v>
      </c>
      <c r="Y387" s="142">
        <f t="shared" si="58"/>
        <v>66.099999999999994</v>
      </c>
      <c r="Z387" s="142">
        <f>ROUND(0.3*T387*Table1[[#This Row],[E&amp;D Rate per unit]]*Table1[[#This Row],[Quantity]],2)</f>
        <v>0</v>
      </c>
      <c r="AA387" s="142">
        <f t="shared" si="59"/>
        <v>126.25</v>
      </c>
      <c r="AB387" s="143">
        <v>86.07</v>
      </c>
      <c r="AC387" s="143">
        <f>Table1[[#This Row],[Total Amount]]-Table1[[#This Row],[Previous Amount]]</f>
        <v>40.180000000000007</v>
      </c>
      <c r="AD387" s="144"/>
    </row>
    <row r="388" spans="1:30" ht="30" customHeight="1" x14ac:dyDescent="0.3">
      <c r="A388" s="92" t="s">
        <v>89</v>
      </c>
      <c r="B388" s="92" t="s">
        <v>97</v>
      </c>
      <c r="C388" s="136" t="s">
        <v>500</v>
      </c>
      <c r="D388" s="136">
        <v>79118</v>
      </c>
      <c r="E388" s="136">
        <v>80555</v>
      </c>
      <c r="F388" s="137" t="s">
        <v>486</v>
      </c>
      <c r="G388" s="17" t="s">
        <v>200</v>
      </c>
      <c r="H388" s="102" t="s">
        <v>205</v>
      </c>
      <c r="I388" s="136">
        <v>1</v>
      </c>
      <c r="J388" s="136">
        <v>18.399999999999999</v>
      </c>
      <c r="K388" s="136">
        <v>0.9</v>
      </c>
      <c r="L388" s="136">
        <v>2</v>
      </c>
      <c r="M388" s="136">
        <v>1</v>
      </c>
      <c r="N388" s="138" t="s">
        <v>206</v>
      </c>
      <c r="O388" s="138">
        <f t="shared" si="57"/>
        <v>36.799999999999997</v>
      </c>
      <c r="P388" s="118">
        <v>44901</v>
      </c>
      <c r="Q388" s="139">
        <v>44902</v>
      </c>
      <c r="R388" s="140">
        <v>1</v>
      </c>
      <c r="S388" s="140">
        <v>1</v>
      </c>
      <c r="T388" s="140">
        <v>1</v>
      </c>
      <c r="U388" s="141">
        <f>IF(ISBLANK(Table1[[#This Row],[OHC Date]]),$B$7-Table1[[#This Row],[HOC Date]]+1,Table1[[#This Row],[OHC Date]]-Table1[[#This Row],[HOC Date]]+1)/7</f>
        <v>0.2857142857142857</v>
      </c>
      <c r="V388" s="142">
        <v>12.01</v>
      </c>
      <c r="W388" s="142">
        <v>0.49</v>
      </c>
      <c r="X388" s="142">
        <f>ROUND(0.7*Table1[[#This Row],[E&amp;D Rate per unit]]*R388*Table1[[#This Row],[Quantity]],2)</f>
        <v>309.38</v>
      </c>
      <c r="Y388" s="142">
        <f t="shared" si="58"/>
        <v>5.15</v>
      </c>
      <c r="Z388" s="142">
        <f>ROUND(0.3*T388*Table1[[#This Row],[E&amp;D Rate per unit]]*Table1[[#This Row],[Quantity]],2)</f>
        <v>132.59</v>
      </c>
      <c r="AA388" s="142">
        <f t="shared" si="59"/>
        <v>447.12</v>
      </c>
      <c r="AB388" s="143">
        <v>447.12</v>
      </c>
      <c r="AC388" s="143">
        <f>Table1[[#This Row],[Total Amount]]-Table1[[#This Row],[Previous Amount]]</f>
        <v>0</v>
      </c>
      <c r="AD388" s="144"/>
    </row>
    <row r="389" spans="1:30" ht="30" customHeight="1" x14ac:dyDescent="0.3">
      <c r="A389" s="92" t="s">
        <v>501</v>
      </c>
      <c r="B389" s="92" t="s">
        <v>97</v>
      </c>
      <c r="C389" s="136">
        <v>111</v>
      </c>
      <c r="D389" s="136">
        <v>79106</v>
      </c>
      <c r="E389" s="136"/>
      <c r="F389" s="137" t="s">
        <v>240</v>
      </c>
      <c r="G389" s="17" t="s">
        <v>439</v>
      </c>
      <c r="H389" s="136" t="s">
        <v>205</v>
      </c>
      <c r="I389" s="136">
        <v>1</v>
      </c>
      <c r="J389" s="136">
        <v>20</v>
      </c>
      <c r="K389" s="136">
        <v>0.6</v>
      </c>
      <c r="L389" s="136">
        <v>2.5</v>
      </c>
      <c r="M389" s="136">
        <v>1</v>
      </c>
      <c r="N389" s="138" t="s">
        <v>56</v>
      </c>
      <c r="O389" s="138">
        <f t="shared" si="57"/>
        <v>1</v>
      </c>
      <c r="P389" s="186">
        <v>44902</v>
      </c>
      <c r="Q389" s="139"/>
      <c r="R389" s="140">
        <v>1</v>
      </c>
      <c r="S389" s="140">
        <v>1</v>
      </c>
      <c r="T389" s="140">
        <v>0</v>
      </c>
      <c r="U389" s="141">
        <f>IF(ISBLANK(Table1[[#This Row],[OHC Date]]),$B$7-Table1[[#This Row],[HOC Date]]+1,Table1[[#This Row],[OHC Date]]-Table1[[#This Row],[HOC Date]]+1)/7</f>
        <v>7.1428571428571432</v>
      </c>
      <c r="V389" s="142">
        <v>2710.95</v>
      </c>
      <c r="W389" s="142">
        <v>253.17</v>
      </c>
      <c r="X389" s="142">
        <f>ROUND(0.7*Table1[[#This Row],[E&amp;D Rate per unit]]*R389*Table1[[#This Row],[Quantity]],2)</f>
        <v>1897.67</v>
      </c>
      <c r="Y389" s="142">
        <f t="shared" si="58"/>
        <v>1808.36</v>
      </c>
      <c r="Z389" s="142">
        <f>ROUND(0.3*T389*Table1[[#This Row],[E&amp;D Rate per unit]]*Table1[[#This Row],[Quantity]],2)</f>
        <v>0</v>
      </c>
      <c r="AA389" s="142">
        <f t="shared" si="59"/>
        <v>3706.03</v>
      </c>
      <c r="AB389" s="143">
        <v>2584.83</v>
      </c>
      <c r="AC389" s="143">
        <f>Table1[[#This Row],[Total Amount]]-Table1[[#This Row],[Previous Amount]]</f>
        <v>1121.2000000000003</v>
      </c>
      <c r="AD389" s="146" t="s">
        <v>512</v>
      </c>
    </row>
    <row r="390" spans="1:30" ht="30" customHeight="1" x14ac:dyDescent="0.3">
      <c r="A390" s="92" t="s">
        <v>501</v>
      </c>
      <c r="B390" s="92" t="s">
        <v>97</v>
      </c>
      <c r="C390" s="136" t="s">
        <v>502</v>
      </c>
      <c r="D390" s="136">
        <v>79107</v>
      </c>
      <c r="E390" s="136"/>
      <c r="F390" s="137" t="s">
        <v>240</v>
      </c>
      <c r="G390" s="17" t="s">
        <v>439</v>
      </c>
      <c r="H390" s="136" t="s">
        <v>205</v>
      </c>
      <c r="I390" s="136">
        <v>1</v>
      </c>
      <c r="J390" s="136">
        <v>2.6</v>
      </c>
      <c r="K390" s="136">
        <v>1.3</v>
      </c>
      <c r="L390" s="136">
        <v>2.6</v>
      </c>
      <c r="M390" s="136">
        <v>2</v>
      </c>
      <c r="N390" s="138" t="s">
        <v>56</v>
      </c>
      <c r="O390" s="138">
        <f t="shared" si="57"/>
        <v>1</v>
      </c>
      <c r="P390" s="186">
        <v>44902</v>
      </c>
      <c r="Q390" s="139"/>
      <c r="R390" s="140">
        <v>1</v>
      </c>
      <c r="S390" s="140">
        <v>1</v>
      </c>
      <c r="T390" s="140">
        <v>0</v>
      </c>
      <c r="U390" s="141">
        <f>IF(ISBLANK(Table1[[#This Row],[OHC Date]]),$B$7-Table1[[#This Row],[HOC Date]]+1,Table1[[#This Row],[OHC Date]]-Table1[[#This Row],[HOC Date]]+1)/7</f>
        <v>7.1428571428571432</v>
      </c>
      <c r="V390" s="142">
        <v>947.74</v>
      </c>
      <c r="W390" s="142">
        <v>95.55</v>
      </c>
      <c r="X390" s="142">
        <f>ROUND(0.7*Table1[[#This Row],[E&amp;D Rate per unit]]*R390*Table1[[#This Row],[Quantity]],2)</f>
        <v>663.42</v>
      </c>
      <c r="Y390" s="142">
        <f t="shared" si="58"/>
        <v>682.5</v>
      </c>
      <c r="Z390" s="142">
        <f>ROUND(0.3*T390*Table1[[#This Row],[E&amp;D Rate per unit]]*Table1[[#This Row],[Quantity]],2)</f>
        <v>0</v>
      </c>
      <c r="AA390" s="142">
        <f t="shared" si="59"/>
        <v>1345.92</v>
      </c>
      <c r="AB390" s="143">
        <v>645.94000000000005</v>
      </c>
      <c r="AC390" s="143">
        <f>Table1[[#This Row],[Total Amount]]-Table1[[#This Row],[Previous Amount]]</f>
        <v>699.98</v>
      </c>
      <c r="AD390" s="146" t="s">
        <v>511</v>
      </c>
    </row>
    <row r="391" spans="1:30" ht="30" customHeight="1" x14ac:dyDescent="0.3">
      <c r="A391" s="92" t="s">
        <v>89</v>
      </c>
      <c r="B391" s="92" t="s">
        <v>97</v>
      </c>
      <c r="C391" s="136">
        <v>112</v>
      </c>
      <c r="D391" s="136">
        <v>79105</v>
      </c>
      <c r="E391" s="136"/>
      <c r="F391" s="137" t="s">
        <v>503</v>
      </c>
      <c r="G391" s="17" t="s">
        <v>254</v>
      </c>
      <c r="H391" s="136" t="s">
        <v>220</v>
      </c>
      <c r="I391" s="136">
        <v>1</v>
      </c>
      <c r="J391" s="136">
        <v>1.8</v>
      </c>
      <c r="K391" s="136">
        <v>1.8</v>
      </c>
      <c r="L391" s="136">
        <v>3.5</v>
      </c>
      <c r="M391" s="136">
        <v>1</v>
      </c>
      <c r="N391" s="138" t="s">
        <v>221</v>
      </c>
      <c r="O391" s="138">
        <f t="shared" si="57"/>
        <v>3.5</v>
      </c>
      <c r="P391" s="186">
        <v>44902</v>
      </c>
      <c r="Q391" s="139"/>
      <c r="R391" s="140">
        <v>1</v>
      </c>
      <c r="S391" s="140">
        <v>1</v>
      </c>
      <c r="T391" s="140">
        <v>0</v>
      </c>
      <c r="U391" s="141">
        <f>IF(ISBLANK(Table1[[#This Row],[OHC Date]]),$B$7-Table1[[#This Row],[HOC Date]]+1,Table1[[#This Row],[OHC Date]]-Table1[[#This Row],[HOC Date]]+1)/7</f>
        <v>7.1428571428571432</v>
      </c>
      <c r="V391" s="142">
        <v>63.34</v>
      </c>
      <c r="W391" s="142">
        <v>7.28</v>
      </c>
      <c r="X391" s="142">
        <f>ROUND(0.7*Table1[[#This Row],[E&amp;D Rate per unit]]*R391*Table1[[#This Row],[Quantity]],2)</f>
        <v>155.18</v>
      </c>
      <c r="Y391" s="142">
        <f t="shared" si="58"/>
        <v>182</v>
      </c>
      <c r="Z391" s="142">
        <f>ROUND(0.3*T391*Table1[[#This Row],[E&amp;D Rate per unit]]*Table1[[#This Row],[Quantity]],2)</f>
        <v>0</v>
      </c>
      <c r="AA391" s="142">
        <f t="shared" si="59"/>
        <v>337.18</v>
      </c>
      <c r="AB391" s="143">
        <v>224.34</v>
      </c>
      <c r="AC391" s="143">
        <f>Table1[[#This Row],[Total Amount]]-Table1[[#This Row],[Previous Amount]]</f>
        <v>112.84</v>
      </c>
      <c r="AD391" s="144"/>
    </row>
    <row r="392" spans="1:30" ht="30" customHeight="1" x14ac:dyDescent="0.3">
      <c r="A392" s="92" t="s">
        <v>89</v>
      </c>
      <c r="B392" s="92" t="s">
        <v>97</v>
      </c>
      <c r="C392" s="136">
        <v>113</v>
      </c>
      <c r="D392" s="136">
        <v>79110</v>
      </c>
      <c r="E392" s="136">
        <v>80561</v>
      </c>
      <c r="F392" s="137" t="s">
        <v>504</v>
      </c>
      <c r="G392" s="17" t="s">
        <v>254</v>
      </c>
      <c r="H392" s="136" t="s">
        <v>220</v>
      </c>
      <c r="I392" s="136">
        <v>1</v>
      </c>
      <c r="J392" s="136">
        <v>2.5</v>
      </c>
      <c r="K392" s="136">
        <v>1</v>
      </c>
      <c r="L392" s="136">
        <v>1.5</v>
      </c>
      <c r="M392" s="136">
        <v>1</v>
      </c>
      <c r="N392" s="138" t="s">
        <v>221</v>
      </c>
      <c r="O392" s="138">
        <f t="shared" si="57"/>
        <v>1.5</v>
      </c>
      <c r="P392" s="118">
        <v>44903</v>
      </c>
      <c r="Q392" s="139">
        <v>44905</v>
      </c>
      <c r="R392" s="140">
        <v>1</v>
      </c>
      <c r="S392" s="140">
        <v>1</v>
      </c>
      <c r="T392" s="140">
        <v>1</v>
      </c>
      <c r="U392" s="141">
        <f>IF(ISBLANK(Table1[[#This Row],[OHC Date]]),$B$7-Table1[[#This Row],[HOC Date]]+1,Table1[[#This Row],[OHC Date]]-Table1[[#This Row],[HOC Date]]+1)/7</f>
        <v>0.42857142857142855</v>
      </c>
      <c r="V392" s="142">
        <v>63.34</v>
      </c>
      <c r="W392" s="142">
        <v>7.28</v>
      </c>
      <c r="X392" s="142">
        <f>ROUND(0.7*Table1[[#This Row],[E&amp;D Rate per unit]]*R392*Table1[[#This Row],[Quantity]],2)</f>
        <v>66.510000000000005</v>
      </c>
      <c r="Y392" s="142">
        <f t="shared" si="58"/>
        <v>4.68</v>
      </c>
      <c r="Z392" s="142">
        <f>ROUND(0.3*T392*Table1[[#This Row],[E&amp;D Rate per unit]]*Table1[[#This Row],[Quantity]],2)</f>
        <v>28.5</v>
      </c>
      <c r="AA392" s="142">
        <f t="shared" si="59"/>
        <v>99.69</v>
      </c>
      <c r="AB392" s="143">
        <v>99.69</v>
      </c>
      <c r="AC392" s="143">
        <f>Table1[[#This Row],[Total Amount]]-Table1[[#This Row],[Previous Amount]]</f>
        <v>0</v>
      </c>
      <c r="AD392" s="144"/>
    </row>
    <row r="393" spans="1:30" ht="30" customHeight="1" x14ac:dyDescent="0.3">
      <c r="A393" s="92" t="s">
        <v>89</v>
      </c>
      <c r="B393" s="92" t="s">
        <v>97</v>
      </c>
      <c r="C393" s="136" t="s">
        <v>505</v>
      </c>
      <c r="D393" s="136">
        <v>79111</v>
      </c>
      <c r="E393" s="136">
        <v>80562</v>
      </c>
      <c r="F393" s="137" t="s">
        <v>504</v>
      </c>
      <c r="G393" s="17" t="s">
        <v>254</v>
      </c>
      <c r="H393" s="102" t="s">
        <v>205</v>
      </c>
      <c r="I393" s="136">
        <v>1</v>
      </c>
      <c r="J393" s="136">
        <v>3</v>
      </c>
      <c r="K393" s="136">
        <v>0.6</v>
      </c>
      <c r="L393" s="136">
        <v>1.5</v>
      </c>
      <c r="M393" s="136">
        <v>1</v>
      </c>
      <c r="N393" s="138" t="s">
        <v>206</v>
      </c>
      <c r="O393" s="138">
        <f t="shared" si="57"/>
        <v>4.5</v>
      </c>
      <c r="P393" s="118">
        <v>44903</v>
      </c>
      <c r="Q393" s="139">
        <v>44905</v>
      </c>
      <c r="R393" s="140">
        <v>1</v>
      </c>
      <c r="S393" s="140">
        <v>1</v>
      </c>
      <c r="T393" s="140">
        <v>1</v>
      </c>
      <c r="U393" s="141">
        <f>IF(ISBLANK(Table1[[#This Row],[OHC Date]]),$B$7-Table1[[#This Row],[HOC Date]]+1,Table1[[#This Row],[OHC Date]]-Table1[[#This Row],[HOC Date]]+1)/7</f>
        <v>0.42857142857142855</v>
      </c>
      <c r="V393" s="142">
        <v>12.01</v>
      </c>
      <c r="W393" s="142">
        <v>0.49</v>
      </c>
      <c r="X393" s="142">
        <f>ROUND(0.7*Table1[[#This Row],[E&amp;D Rate per unit]]*R393*Table1[[#This Row],[Quantity]],2)</f>
        <v>37.83</v>
      </c>
      <c r="Y393" s="142">
        <f t="shared" si="58"/>
        <v>0.95</v>
      </c>
      <c r="Z393" s="142">
        <f>ROUND(0.3*T393*Table1[[#This Row],[E&amp;D Rate per unit]]*Table1[[#This Row],[Quantity]],2)</f>
        <v>16.21</v>
      </c>
      <c r="AA393" s="142">
        <f t="shared" si="59"/>
        <v>54.99</v>
      </c>
      <c r="AB393" s="143">
        <v>54.99</v>
      </c>
      <c r="AC393" s="143">
        <f>Table1[[#This Row],[Total Amount]]-Table1[[#This Row],[Previous Amount]]</f>
        <v>0</v>
      </c>
      <c r="AD393" s="144"/>
    </row>
    <row r="394" spans="1:30" ht="30" customHeight="1" x14ac:dyDescent="0.3">
      <c r="A394" s="92" t="s">
        <v>89</v>
      </c>
      <c r="B394" s="92" t="s">
        <v>97</v>
      </c>
      <c r="C394" s="136">
        <v>114</v>
      </c>
      <c r="D394" s="136">
        <v>79112</v>
      </c>
      <c r="E394" s="136">
        <v>80563</v>
      </c>
      <c r="F394" s="137" t="s">
        <v>504</v>
      </c>
      <c r="G394" s="17" t="s">
        <v>254</v>
      </c>
      <c r="H394" s="136" t="s">
        <v>220</v>
      </c>
      <c r="I394" s="136">
        <v>1</v>
      </c>
      <c r="J394" s="136">
        <v>2.5</v>
      </c>
      <c r="K394" s="136">
        <v>1</v>
      </c>
      <c r="L394" s="136">
        <v>1.5</v>
      </c>
      <c r="M394" s="136">
        <v>1</v>
      </c>
      <c r="N394" s="138" t="s">
        <v>221</v>
      </c>
      <c r="O394" s="138">
        <f t="shared" si="57"/>
        <v>1.5</v>
      </c>
      <c r="P394" s="118">
        <v>44903</v>
      </c>
      <c r="Q394" s="139">
        <v>44905</v>
      </c>
      <c r="R394" s="140">
        <v>1</v>
      </c>
      <c r="S394" s="140">
        <v>1</v>
      </c>
      <c r="T394" s="140">
        <v>1</v>
      </c>
      <c r="U394" s="141">
        <f>IF(ISBLANK(Table1[[#This Row],[OHC Date]]),$B$7-Table1[[#This Row],[HOC Date]]+1,Table1[[#This Row],[OHC Date]]-Table1[[#This Row],[HOC Date]]+1)/7</f>
        <v>0.42857142857142855</v>
      </c>
      <c r="V394" s="142">
        <v>63.34</v>
      </c>
      <c r="W394" s="142">
        <v>7.28</v>
      </c>
      <c r="X394" s="142">
        <f>ROUND(0.7*Table1[[#This Row],[E&amp;D Rate per unit]]*R394*Table1[[#This Row],[Quantity]],2)</f>
        <v>66.510000000000005</v>
      </c>
      <c r="Y394" s="142">
        <f t="shared" si="58"/>
        <v>4.68</v>
      </c>
      <c r="Z394" s="142">
        <f>ROUND(0.3*T394*Table1[[#This Row],[E&amp;D Rate per unit]]*Table1[[#This Row],[Quantity]],2)</f>
        <v>28.5</v>
      </c>
      <c r="AA394" s="142">
        <f t="shared" si="59"/>
        <v>99.69</v>
      </c>
      <c r="AB394" s="143">
        <v>99.69</v>
      </c>
      <c r="AC394" s="143">
        <f>Table1[[#This Row],[Total Amount]]-Table1[[#This Row],[Previous Amount]]</f>
        <v>0</v>
      </c>
      <c r="AD394" s="144"/>
    </row>
    <row r="395" spans="1:30" ht="30" customHeight="1" x14ac:dyDescent="0.3">
      <c r="A395" s="92" t="s">
        <v>89</v>
      </c>
      <c r="B395" s="92" t="s">
        <v>97</v>
      </c>
      <c r="C395" s="136">
        <v>115</v>
      </c>
      <c r="D395" s="136">
        <v>79113</v>
      </c>
      <c r="E395" s="196">
        <v>80852</v>
      </c>
      <c r="F395" s="137" t="s">
        <v>506</v>
      </c>
      <c r="G395" s="17" t="s">
        <v>204</v>
      </c>
      <c r="H395" s="136" t="s">
        <v>220</v>
      </c>
      <c r="I395" s="136">
        <v>1</v>
      </c>
      <c r="J395" s="136">
        <v>1.3</v>
      </c>
      <c r="K395" s="136">
        <v>1.3</v>
      </c>
      <c r="L395" s="136">
        <v>2</v>
      </c>
      <c r="M395" s="136">
        <v>1</v>
      </c>
      <c r="N395" s="138" t="s">
        <v>221</v>
      </c>
      <c r="O395" s="138">
        <f t="shared" si="57"/>
        <v>2</v>
      </c>
      <c r="P395" s="118">
        <v>44903</v>
      </c>
      <c r="Q395" s="189">
        <v>44929</v>
      </c>
      <c r="R395" s="140">
        <v>1</v>
      </c>
      <c r="S395" s="140">
        <v>1</v>
      </c>
      <c r="T395" s="140">
        <v>1</v>
      </c>
      <c r="U395" s="141">
        <f>IF(ISBLANK(Table1[[#This Row],[OHC Date]]),$B$7-Table1[[#This Row],[HOC Date]]+1,Table1[[#This Row],[OHC Date]]-Table1[[#This Row],[HOC Date]]+1)/7</f>
        <v>3.8571428571428572</v>
      </c>
      <c r="V395" s="142">
        <v>63.34</v>
      </c>
      <c r="W395" s="142">
        <v>7.28</v>
      </c>
      <c r="X395" s="142">
        <f>ROUND(0.7*Table1[[#This Row],[E&amp;D Rate per unit]]*R395*Table1[[#This Row],[Quantity]],2)</f>
        <v>88.68</v>
      </c>
      <c r="Y395" s="142">
        <f t="shared" si="58"/>
        <v>56.16</v>
      </c>
      <c r="Z395" s="142">
        <f>ROUND(0.3*T395*Table1[[#This Row],[E&amp;D Rate per unit]]*Table1[[#This Row],[Quantity]],2)</f>
        <v>38</v>
      </c>
      <c r="AA395" s="142">
        <f t="shared" si="59"/>
        <v>182.84</v>
      </c>
      <c r="AB395" s="143">
        <v>126.12</v>
      </c>
      <c r="AC395" s="143">
        <f>Table1[[#This Row],[Total Amount]]-Table1[[#This Row],[Previous Amount]]</f>
        <v>56.72</v>
      </c>
      <c r="AD395" s="144"/>
    </row>
    <row r="396" spans="1:30" ht="30" customHeight="1" x14ac:dyDescent="0.3">
      <c r="A396" s="92" t="s">
        <v>89</v>
      </c>
      <c r="B396" s="92" t="s">
        <v>97</v>
      </c>
      <c r="C396" s="136">
        <v>116</v>
      </c>
      <c r="D396" s="136">
        <v>79114</v>
      </c>
      <c r="E396" s="136">
        <v>80570</v>
      </c>
      <c r="F396" s="137" t="s">
        <v>507</v>
      </c>
      <c r="G396" s="17" t="s">
        <v>200</v>
      </c>
      <c r="H396" s="102" t="s">
        <v>205</v>
      </c>
      <c r="I396" s="136">
        <v>1</v>
      </c>
      <c r="J396" s="136">
        <v>10</v>
      </c>
      <c r="K396" s="136">
        <v>1.3</v>
      </c>
      <c r="L396" s="136">
        <v>1.5</v>
      </c>
      <c r="M396" s="136">
        <v>1</v>
      </c>
      <c r="N396" s="138" t="s">
        <v>206</v>
      </c>
      <c r="O396" s="138">
        <f t="shared" si="57"/>
        <v>15</v>
      </c>
      <c r="P396" s="118">
        <v>44903</v>
      </c>
      <c r="Q396" s="139">
        <v>44909</v>
      </c>
      <c r="R396" s="140">
        <v>1</v>
      </c>
      <c r="S396" s="140">
        <v>1</v>
      </c>
      <c r="T396" s="140">
        <v>1</v>
      </c>
      <c r="U396" s="141">
        <f>IF(ISBLANK(Table1[[#This Row],[OHC Date]]),$B$7-Table1[[#This Row],[HOC Date]]+1,Table1[[#This Row],[OHC Date]]-Table1[[#This Row],[HOC Date]]+1)/7</f>
        <v>1</v>
      </c>
      <c r="V396" s="142">
        <v>12.01</v>
      </c>
      <c r="W396" s="142">
        <v>0.49</v>
      </c>
      <c r="X396" s="142">
        <f>ROUND(0.7*Table1[[#This Row],[E&amp;D Rate per unit]]*R396*Table1[[#This Row],[Quantity]],2)</f>
        <v>126.11</v>
      </c>
      <c r="Y396" s="142">
        <f t="shared" si="58"/>
        <v>7.35</v>
      </c>
      <c r="Z396" s="142">
        <f>ROUND(0.3*T396*Table1[[#This Row],[E&amp;D Rate per unit]]*Table1[[#This Row],[Quantity]],2)</f>
        <v>54.05</v>
      </c>
      <c r="AA396" s="142">
        <f t="shared" si="59"/>
        <v>187.51</v>
      </c>
      <c r="AB396" s="143">
        <v>187.51</v>
      </c>
      <c r="AC396" s="143">
        <f>Table1[[#This Row],[Total Amount]]-Table1[[#This Row],[Previous Amount]]</f>
        <v>0</v>
      </c>
      <c r="AD396" s="144"/>
    </row>
    <row r="397" spans="1:30" ht="30" customHeight="1" x14ac:dyDescent="0.3">
      <c r="A397" s="92" t="s">
        <v>508</v>
      </c>
      <c r="B397" s="92" t="s">
        <v>97</v>
      </c>
      <c r="C397" s="136">
        <v>117</v>
      </c>
      <c r="D397" s="136">
        <v>79116</v>
      </c>
      <c r="E397" s="136">
        <v>80580</v>
      </c>
      <c r="F397" s="137" t="s">
        <v>509</v>
      </c>
      <c r="G397" s="17" t="s">
        <v>190</v>
      </c>
      <c r="H397" s="136" t="s">
        <v>510</v>
      </c>
      <c r="I397" s="136">
        <v>1</v>
      </c>
      <c r="J397" s="136">
        <v>3</v>
      </c>
      <c r="K397" s="136">
        <v>1</v>
      </c>
      <c r="L397" s="136">
        <v>2.2999999999999998</v>
      </c>
      <c r="M397" s="136">
        <v>1</v>
      </c>
      <c r="N397" s="138" t="s">
        <v>56</v>
      </c>
      <c r="O397" s="138">
        <f t="shared" si="57"/>
        <v>1</v>
      </c>
      <c r="P397" s="118">
        <v>44903</v>
      </c>
      <c r="Q397" s="139">
        <v>44914</v>
      </c>
      <c r="R397" s="140">
        <v>1</v>
      </c>
      <c r="S397" s="140">
        <v>1</v>
      </c>
      <c r="T397" s="140">
        <v>1</v>
      </c>
      <c r="U397" s="141">
        <f>IF(ISBLANK(Table1[[#This Row],[OHC Date]]),$B$7-Table1[[#This Row],[HOC Date]]+1,Table1[[#This Row],[OHC Date]]-Table1[[#This Row],[HOC Date]]+1)/7</f>
        <v>1.7142857142857142</v>
      </c>
      <c r="V397" s="142">
        <f>4070.27/(0.9*3)*(1*2.3)</f>
        <v>3467.2670370370365</v>
      </c>
      <c r="W397" s="142">
        <f>60.66/(0.9*3)*(1*2.3)</f>
        <v>51.673333333333325</v>
      </c>
      <c r="X397" s="142">
        <f>ROUND(0.7*Table1[[#This Row],[E&amp;D Rate per unit]]*R397*Table1[[#This Row],[Quantity]],2)</f>
        <v>2427.09</v>
      </c>
      <c r="Y397" s="142">
        <f t="shared" si="58"/>
        <v>88.58</v>
      </c>
      <c r="Z397" s="142">
        <f>ROUND(0.3*T397*Table1[[#This Row],[E&amp;D Rate per unit]]*Table1[[#This Row],[Quantity]],2)</f>
        <v>1040.18</v>
      </c>
      <c r="AA397" s="142">
        <f t="shared" si="59"/>
        <v>3555.85</v>
      </c>
      <c r="AB397" s="143">
        <v>3555.8511111111106</v>
      </c>
      <c r="AC397" s="143">
        <f>Table1[[#This Row],[Total Amount]]-Table1[[#This Row],[Previous Amount]]</f>
        <v>-1.1111111107311444E-3</v>
      </c>
      <c r="AD397" s="146" t="s">
        <v>513</v>
      </c>
    </row>
    <row r="398" spans="1:30" ht="30" customHeight="1" x14ac:dyDescent="0.3">
      <c r="A398" s="92" t="s">
        <v>89</v>
      </c>
      <c r="B398" s="92" t="s">
        <v>97</v>
      </c>
      <c r="C398" s="136">
        <v>118</v>
      </c>
      <c r="D398" s="136">
        <v>79115</v>
      </c>
      <c r="E398" s="136"/>
      <c r="F398" s="137" t="s">
        <v>514</v>
      </c>
      <c r="G398" s="17" t="s">
        <v>190</v>
      </c>
      <c r="H398" s="136" t="s">
        <v>220</v>
      </c>
      <c r="I398" s="136">
        <v>2</v>
      </c>
      <c r="J398" s="136">
        <v>1</v>
      </c>
      <c r="K398" s="136">
        <v>0.75</v>
      </c>
      <c r="L398" s="136">
        <v>1</v>
      </c>
      <c r="M398" s="136">
        <v>1</v>
      </c>
      <c r="N398" s="138" t="s">
        <v>221</v>
      </c>
      <c r="O398" s="138">
        <f t="shared" si="57"/>
        <v>2</v>
      </c>
      <c r="P398" s="118">
        <v>44903</v>
      </c>
      <c r="Q398" s="139"/>
      <c r="R398" s="140">
        <v>1</v>
      </c>
      <c r="S398" s="140">
        <v>1</v>
      </c>
      <c r="T398" s="140">
        <v>0</v>
      </c>
      <c r="U398" s="141">
        <f>IF(ISBLANK(Table1[[#This Row],[OHC Date]]),$B$7-Table1[[#This Row],[HOC Date]]+1,Table1[[#This Row],[OHC Date]]-Table1[[#This Row],[HOC Date]]+1)/7</f>
        <v>7</v>
      </c>
      <c r="V398" s="142">
        <v>63.34</v>
      </c>
      <c r="W398" s="142">
        <v>7.28</v>
      </c>
      <c r="X398" s="142">
        <f>ROUND(0.7*Table1[[#This Row],[E&amp;D Rate per unit]]*R398*Table1[[#This Row],[Quantity]],2)</f>
        <v>88.68</v>
      </c>
      <c r="Y398" s="142">
        <f t="shared" si="58"/>
        <v>101.92</v>
      </c>
      <c r="Z398" s="142">
        <f>ROUND(0.3*T398*Table1[[#This Row],[E&amp;D Rate per unit]]*Table1[[#This Row],[Quantity]],2)</f>
        <v>0</v>
      </c>
      <c r="AA398" s="142">
        <f t="shared" si="59"/>
        <v>190.6</v>
      </c>
      <c r="AB398" s="143">
        <v>126.12</v>
      </c>
      <c r="AC398" s="143">
        <f>Table1[[#This Row],[Total Amount]]-Table1[[#This Row],[Previous Amount]]</f>
        <v>64.47999999999999</v>
      </c>
      <c r="AD398" s="144"/>
    </row>
    <row r="399" spans="1:30" ht="30" customHeight="1" x14ac:dyDescent="0.3">
      <c r="A399" s="92" t="s">
        <v>89</v>
      </c>
      <c r="B399" s="92" t="s">
        <v>97</v>
      </c>
      <c r="C399" s="136" t="s">
        <v>515</v>
      </c>
      <c r="D399" s="136">
        <v>79117</v>
      </c>
      <c r="E399" s="136"/>
      <c r="F399" s="137" t="s">
        <v>516</v>
      </c>
      <c r="G399" s="17" t="s">
        <v>190</v>
      </c>
      <c r="H399" s="102" t="s">
        <v>126</v>
      </c>
      <c r="I399" s="136">
        <v>2</v>
      </c>
      <c r="J399" s="136">
        <v>1.8</v>
      </c>
      <c r="K399" s="136">
        <v>0.5</v>
      </c>
      <c r="L399" s="136">
        <v>1</v>
      </c>
      <c r="M399" s="136">
        <v>2</v>
      </c>
      <c r="N399" s="138" t="s">
        <v>160</v>
      </c>
      <c r="O399" s="138">
        <f t="shared" si="57"/>
        <v>1.8</v>
      </c>
      <c r="P399" s="118">
        <v>44903</v>
      </c>
      <c r="Q399" s="139"/>
      <c r="R399" s="140">
        <v>1</v>
      </c>
      <c r="S399" s="140">
        <v>1</v>
      </c>
      <c r="T399" s="140">
        <v>0</v>
      </c>
      <c r="U399" s="141">
        <f>IF(ISBLANK(Table1[[#This Row],[OHC Date]]),$B$7-Table1[[#This Row],[HOC Date]]+1,Table1[[#This Row],[OHC Date]]-Table1[[#This Row],[HOC Date]]+1)/7</f>
        <v>7</v>
      </c>
      <c r="V399" s="142">
        <v>32.75</v>
      </c>
      <c r="W399" s="142">
        <v>1.05</v>
      </c>
      <c r="X399" s="142">
        <f>ROUND(0.7*Table1[[#This Row],[E&amp;D Rate per unit]]*R399*Table1[[#This Row],[Quantity]],2)</f>
        <v>41.27</v>
      </c>
      <c r="Y399" s="142">
        <f t="shared" si="58"/>
        <v>13.23</v>
      </c>
      <c r="Z399" s="142">
        <f>ROUND(0.3*T399*Table1[[#This Row],[E&amp;D Rate per unit]]*Table1[[#This Row],[Quantity]],2)</f>
        <v>0</v>
      </c>
      <c r="AA399" s="142">
        <f t="shared" si="59"/>
        <v>54.5</v>
      </c>
      <c r="AB399" s="143">
        <v>46.13</v>
      </c>
      <c r="AC399" s="143">
        <f>Table1[[#This Row],[Total Amount]]-Table1[[#This Row],[Previous Amount]]</f>
        <v>8.3699999999999974</v>
      </c>
      <c r="AD399" s="144"/>
    </row>
    <row r="400" spans="1:30" ht="30" customHeight="1" x14ac:dyDescent="0.3">
      <c r="A400" s="92" t="s">
        <v>89</v>
      </c>
      <c r="B400" s="92" t="s">
        <v>97</v>
      </c>
      <c r="C400" s="136">
        <v>119</v>
      </c>
      <c r="D400" s="136">
        <v>79119</v>
      </c>
      <c r="E400" s="136">
        <v>80579</v>
      </c>
      <c r="F400" s="137" t="s">
        <v>517</v>
      </c>
      <c r="G400" s="17" t="s">
        <v>200</v>
      </c>
      <c r="H400" s="136" t="s">
        <v>220</v>
      </c>
      <c r="I400" s="136">
        <v>1</v>
      </c>
      <c r="J400" s="136">
        <v>2.5</v>
      </c>
      <c r="K400" s="136">
        <v>1.3</v>
      </c>
      <c r="L400" s="136">
        <v>4</v>
      </c>
      <c r="M400" s="136">
        <v>1</v>
      </c>
      <c r="N400" s="138" t="s">
        <v>221</v>
      </c>
      <c r="O400" s="138">
        <f t="shared" si="57"/>
        <v>4</v>
      </c>
      <c r="P400" s="118">
        <v>44904</v>
      </c>
      <c r="Q400" s="139">
        <v>44914</v>
      </c>
      <c r="R400" s="140">
        <v>1</v>
      </c>
      <c r="S400" s="140">
        <v>1</v>
      </c>
      <c r="T400" s="140">
        <v>1</v>
      </c>
      <c r="U400" s="141">
        <f>IF(ISBLANK(Table1[[#This Row],[OHC Date]]),$B$7-Table1[[#This Row],[HOC Date]]+1,Table1[[#This Row],[OHC Date]]-Table1[[#This Row],[HOC Date]]+1)/7</f>
        <v>1.5714285714285714</v>
      </c>
      <c r="V400" s="142">
        <v>63.34</v>
      </c>
      <c r="W400" s="142">
        <v>7.28</v>
      </c>
      <c r="X400" s="142">
        <f>ROUND(0.7*Table1[[#This Row],[E&amp;D Rate per unit]]*R400*Table1[[#This Row],[Quantity]],2)</f>
        <v>177.35</v>
      </c>
      <c r="Y400" s="142">
        <f t="shared" si="58"/>
        <v>45.76</v>
      </c>
      <c r="Z400" s="142">
        <f>ROUND(0.3*T400*Table1[[#This Row],[E&amp;D Rate per unit]]*Table1[[#This Row],[Quantity]],2)</f>
        <v>76.010000000000005</v>
      </c>
      <c r="AA400" s="142">
        <f t="shared" si="59"/>
        <v>299.12</v>
      </c>
      <c r="AB400" s="143">
        <v>299.12</v>
      </c>
      <c r="AC400" s="143">
        <f>Table1[[#This Row],[Total Amount]]-Table1[[#This Row],[Previous Amount]]</f>
        <v>0</v>
      </c>
      <c r="AD400" s="144"/>
    </row>
    <row r="401" spans="1:30" ht="30" customHeight="1" x14ac:dyDescent="0.3">
      <c r="A401" s="92" t="s">
        <v>89</v>
      </c>
      <c r="B401" s="92" t="s">
        <v>97</v>
      </c>
      <c r="C401" s="136" t="s">
        <v>518</v>
      </c>
      <c r="D401" s="136">
        <v>79119</v>
      </c>
      <c r="E401" s="136">
        <v>80579</v>
      </c>
      <c r="F401" s="137" t="s">
        <v>517</v>
      </c>
      <c r="G401" s="17" t="s">
        <v>200</v>
      </c>
      <c r="H401" s="102" t="s">
        <v>126</v>
      </c>
      <c r="I401" s="136">
        <v>1</v>
      </c>
      <c r="J401" s="136">
        <v>2.5</v>
      </c>
      <c r="K401" s="136">
        <v>0.25</v>
      </c>
      <c r="L401" s="136">
        <v>1</v>
      </c>
      <c r="M401" s="136">
        <v>1</v>
      </c>
      <c r="N401" s="138" t="s">
        <v>160</v>
      </c>
      <c r="O401" s="138">
        <f t="shared" si="57"/>
        <v>0.63</v>
      </c>
      <c r="P401" s="118">
        <v>44904</v>
      </c>
      <c r="Q401" s="139">
        <v>44914</v>
      </c>
      <c r="R401" s="140">
        <v>1</v>
      </c>
      <c r="S401" s="140">
        <v>1</v>
      </c>
      <c r="T401" s="140">
        <v>1</v>
      </c>
      <c r="U401" s="141">
        <f>IF(ISBLANK(Table1[[#This Row],[OHC Date]]),$B$7-Table1[[#This Row],[HOC Date]]+1,Table1[[#This Row],[OHC Date]]-Table1[[#This Row],[HOC Date]]+1)/7</f>
        <v>1.5714285714285714</v>
      </c>
      <c r="V401" s="142">
        <v>32.75</v>
      </c>
      <c r="W401" s="142">
        <v>1.05</v>
      </c>
      <c r="X401" s="142">
        <f>ROUND(0.7*Table1[[#This Row],[E&amp;D Rate per unit]]*R401*Table1[[#This Row],[Quantity]],2)</f>
        <v>14.44</v>
      </c>
      <c r="Y401" s="142">
        <f t="shared" si="58"/>
        <v>1.04</v>
      </c>
      <c r="Z401" s="142">
        <f>ROUND(0.3*T401*Table1[[#This Row],[E&amp;D Rate per unit]]*Table1[[#This Row],[Quantity]],2)</f>
        <v>6.19</v>
      </c>
      <c r="AA401" s="142">
        <f t="shared" si="59"/>
        <v>21.67</v>
      </c>
      <c r="AB401" s="143">
        <v>21.67</v>
      </c>
      <c r="AC401" s="143">
        <f>Table1[[#This Row],[Total Amount]]-Table1[[#This Row],[Previous Amount]]</f>
        <v>0</v>
      </c>
      <c r="AD401" s="144"/>
    </row>
    <row r="402" spans="1:30" ht="30" customHeight="1" x14ac:dyDescent="0.3">
      <c r="A402" s="92" t="s">
        <v>89</v>
      </c>
      <c r="B402" s="92" t="s">
        <v>97</v>
      </c>
      <c r="C402" s="136">
        <v>120</v>
      </c>
      <c r="D402" s="136">
        <v>79120</v>
      </c>
      <c r="E402" s="136">
        <v>80571</v>
      </c>
      <c r="F402" s="137" t="s">
        <v>519</v>
      </c>
      <c r="G402" s="17" t="s">
        <v>200</v>
      </c>
      <c r="H402" s="102" t="s">
        <v>205</v>
      </c>
      <c r="I402" s="136">
        <v>1</v>
      </c>
      <c r="J402" s="136">
        <v>5</v>
      </c>
      <c r="K402" s="136">
        <v>1.3</v>
      </c>
      <c r="L402" s="136">
        <v>1.5</v>
      </c>
      <c r="M402" s="136">
        <v>1</v>
      </c>
      <c r="N402" s="138" t="s">
        <v>206</v>
      </c>
      <c r="O402" s="138">
        <f t="shared" si="57"/>
        <v>7.5</v>
      </c>
      <c r="P402" s="118">
        <v>44904</v>
      </c>
      <c r="Q402" s="139">
        <v>44909</v>
      </c>
      <c r="R402" s="140">
        <v>1</v>
      </c>
      <c r="S402" s="140">
        <v>1</v>
      </c>
      <c r="T402" s="140">
        <v>1</v>
      </c>
      <c r="U402" s="141">
        <f>IF(ISBLANK(Table1[[#This Row],[OHC Date]]),$B$7-Table1[[#This Row],[HOC Date]]+1,Table1[[#This Row],[OHC Date]]-Table1[[#This Row],[HOC Date]]+1)/7</f>
        <v>0.8571428571428571</v>
      </c>
      <c r="V402" s="142">
        <v>12.01</v>
      </c>
      <c r="W402" s="142">
        <v>0.49</v>
      </c>
      <c r="X402" s="142">
        <f>ROUND(0.7*Table1[[#This Row],[E&amp;D Rate per unit]]*R402*Table1[[#This Row],[Quantity]],2)</f>
        <v>63.05</v>
      </c>
      <c r="Y402" s="142">
        <f t="shared" si="58"/>
        <v>3.15</v>
      </c>
      <c r="Z402" s="142">
        <f>ROUND(0.3*T402*Table1[[#This Row],[E&amp;D Rate per unit]]*Table1[[#This Row],[Quantity]],2)</f>
        <v>27.02</v>
      </c>
      <c r="AA402" s="142">
        <f t="shared" si="59"/>
        <v>93.22</v>
      </c>
      <c r="AB402" s="143">
        <v>93.22</v>
      </c>
      <c r="AC402" s="143">
        <f>Table1[[#This Row],[Total Amount]]-Table1[[#This Row],[Previous Amount]]</f>
        <v>0</v>
      </c>
      <c r="AD402" s="144"/>
    </row>
    <row r="403" spans="1:30" ht="30" customHeight="1" x14ac:dyDescent="0.3">
      <c r="A403" s="92" t="s">
        <v>89</v>
      </c>
      <c r="B403" s="92" t="s">
        <v>97</v>
      </c>
      <c r="C403" s="136">
        <v>121</v>
      </c>
      <c r="D403" s="136">
        <v>79121</v>
      </c>
      <c r="E403" s="136">
        <v>80566</v>
      </c>
      <c r="F403" s="137" t="s">
        <v>520</v>
      </c>
      <c r="G403" s="17" t="s">
        <v>204</v>
      </c>
      <c r="H403" s="136" t="s">
        <v>220</v>
      </c>
      <c r="I403" s="136">
        <v>1</v>
      </c>
      <c r="J403" s="136">
        <v>2.5</v>
      </c>
      <c r="K403" s="136">
        <v>1</v>
      </c>
      <c r="L403" s="136">
        <v>2.5</v>
      </c>
      <c r="M403" s="136">
        <v>1</v>
      </c>
      <c r="N403" s="138" t="s">
        <v>221</v>
      </c>
      <c r="O403" s="138">
        <f t="shared" si="57"/>
        <v>2.5</v>
      </c>
      <c r="P403" s="118">
        <v>44905</v>
      </c>
      <c r="Q403" s="139">
        <v>44907</v>
      </c>
      <c r="R403" s="140">
        <v>1</v>
      </c>
      <c r="S403" s="140">
        <v>1</v>
      </c>
      <c r="T403" s="140">
        <v>1</v>
      </c>
      <c r="U403" s="141">
        <f>IF(ISBLANK(Table1[[#This Row],[OHC Date]]),$B$7-Table1[[#This Row],[HOC Date]]+1,Table1[[#This Row],[OHC Date]]-Table1[[#This Row],[HOC Date]]+1)/7</f>
        <v>0.42857142857142855</v>
      </c>
      <c r="V403" s="142">
        <v>63.34</v>
      </c>
      <c r="W403" s="142">
        <v>7.28</v>
      </c>
      <c r="X403" s="142">
        <f>ROUND(0.7*Table1[[#This Row],[E&amp;D Rate per unit]]*R403*Table1[[#This Row],[Quantity]],2)</f>
        <v>110.85</v>
      </c>
      <c r="Y403" s="142">
        <f t="shared" si="58"/>
        <v>7.8</v>
      </c>
      <c r="Z403" s="142">
        <f>ROUND(0.3*T403*Table1[[#This Row],[E&amp;D Rate per unit]]*Table1[[#This Row],[Quantity]],2)</f>
        <v>47.51</v>
      </c>
      <c r="AA403" s="142">
        <f t="shared" si="59"/>
        <v>166.16</v>
      </c>
      <c r="AB403" s="143">
        <v>166.16</v>
      </c>
      <c r="AC403" s="143">
        <f>Table1[[#This Row],[Total Amount]]-Table1[[#This Row],[Previous Amount]]</f>
        <v>0</v>
      </c>
      <c r="AD403" s="144"/>
    </row>
    <row r="404" spans="1:30" ht="30" customHeight="1" x14ac:dyDescent="0.3">
      <c r="A404" s="92" t="s">
        <v>89</v>
      </c>
      <c r="B404" s="92" t="s">
        <v>97</v>
      </c>
      <c r="C404" s="136" t="s">
        <v>521</v>
      </c>
      <c r="D404" s="136">
        <v>79122</v>
      </c>
      <c r="E404" s="136">
        <v>80567</v>
      </c>
      <c r="F404" s="137" t="s">
        <v>520</v>
      </c>
      <c r="G404" s="17" t="s">
        <v>204</v>
      </c>
      <c r="H404" s="136" t="s">
        <v>220</v>
      </c>
      <c r="I404" s="136">
        <v>1</v>
      </c>
      <c r="J404" s="136">
        <v>2.5</v>
      </c>
      <c r="K404" s="136">
        <v>0.6</v>
      </c>
      <c r="L404" s="136">
        <v>1.5</v>
      </c>
      <c r="M404" s="136">
        <v>1</v>
      </c>
      <c r="N404" s="138" t="s">
        <v>221</v>
      </c>
      <c r="O404" s="138">
        <f t="shared" si="57"/>
        <v>1.5</v>
      </c>
      <c r="P404" s="118">
        <v>44905</v>
      </c>
      <c r="Q404" s="139">
        <v>44907</v>
      </c>
      <c r="R404" s="140">
        <v>1</v>
      </c>
      <c r="S404" s="140">
        <v>1</v>
      </c>
      <c r="T404" s="140">
        <v>1</v>
      </c>
      <c r="U404" s="141">
        <f>IF(ISBLANK(Table1[[#This Row],[OHC Date]]),$B$7-Table1[[#This Row],[HOC Date]]+1,Table1[[#This Row],[OHC Date]]-Table1[[#This Row],[HOC Date]]+1)/7</f>
        <v>0.42857142857142855</v>
      </c>
      <c r="V404" s="142">
        <v>63.34</v>
      </c>
      <c r="W404" s="142">
        <v>7.28</v>
      </c>
      <c r="X404" s="142">
        <f>ROUND(0.7*Table1[[#This Row],[E&amp;D Rate per unit]]*R404*Table1[[#This Row],[Quantity]],2)</f>
        <v>66.510000000000005</v>
      </c>
      <c r="Y404" s="142">
        <f t="shared" si="58"/>
        <v>4.68</v>
      </c>
      <c r="Z404" s="142">
        <f>ROUND(0.3*T404*Table1[[#This Row],[E&amp;D Rate per unit]]*Table1[[#This Row],[Quantity]],2)</f>
        <v>28.5</v>
      </c>
      <c r="AA404" s="142">
        <f t="shared" si="59"/>
        <v>99.69</v>
      </c>
      <c r="AB404" s="143">
        <v>99.69</v>
      </c>
      <c r="AC404" s="143">
        <f>Table1[[#This Row],[Total Amount]]-Table1[[#This Row],[Previous Amount]]</f>
        <v>0</v>
      </c>
      <c r="AD404" s="144"/>
    </row>
    <row r="405" spans="1:30" ht="30" customHeight="1" x14ac:dyDescent="0.3">
      <c r="A405" s="92" t="s">
        <v>89</v>
      </c>
      <c r="B405" s="92" t="s">
        <v>97</v>
      </c>
      <c r="C405" s="136">
        <v>122</v>
      </c>
      <c r="D405" s="136">
        <v>79123</v>
      </c>
      <c r="E405" s="136">
        <v>80568</v>
      </c>
      <c r="F405" s="137" t="s">
        <v>520</v>
      </c>
      <c r="G405" s="17" t="s">
        <v>204</v>
      </c>
      <c r="H405" s="136" t="s">
        <v>220</v>
      </c>
      <c r="I405" s="136">
        <v>1</v>
      </c>
      <c r="J405" s="136">
        <v>2.5</v>
      </c>
      <c r="K405" s="136">
        <v>1</v>
      </c>
      <c r="L405" s="136">
        <v>2</v>
      </c>
      <c r="M405" s="136">
        <v>1</v>
      </c>
      <c r="N405" s="138" t="s">
        <v>221</v>
      </c>
      <c r="O405" s="138">
        <f t="shared" si="57"/>
        <v>2</v>
      </c>
      <c r="P405" s="118">
        <v>44905</v>
      </c>
      <c r="Q405" s="139">
        <v>44907</v>
      </c>
      <c r="R405" s="140">
        <v>1</v>
      </c>
      <c r="S405" s="140">
        <v>1</v>
      </c>
      <c r="T405" s="140">
        <v>1</v>
      </c>
      <c r="U405" s="141">
        <f>IF(ISBLANK(Table1[[#This Row],[OHC Date]]),$B$7-Table1[[#This Row],[HOC Date]]+1,Table1[[#This Row],[OHC Date]]-Table1[[#This Row],[HOC Date]]+1)/7</f>
        <v>0.42857142857142855</v>
      </c>
      <c r="V405" s="142">
        <v>63.34</v>
      </c>
      <c r="W405" s="142">
        <v>7.28</v>
      </c>
      <c r="X405" s="142">
        <f>ROUND(0.7*Table1[[#This Row],[E&amp;D Rate per unit]]*R405*Table1[[#This Row],[Quantity]],2)</f>
        <v>88.68</v>
      </c>
      <c r="Y405" s="142">
        <f t="shared" si="58"/>
        <v>6.24</v>
      </c>
      <c r="Z405" s="142">
        <f>ROUND(0.3*T405*Table1[[#This Row],[E&amp;D Rate per unit]]*Table1[[#This Row],[Quantity]],2)</f>
        <v>38</v>
      </c>
      <c r="AA405" s="142">
        <f t="shared" si="59"/>
        <v>132.91999999999999</v>
      </c>
      <c r="AB405" s="143">
        <v>132.91999999999999</v>
      </c>
      <c r="AC405" s="143">
        <f>Table1[[#This Row],[Total Amount]]-Table1[[#This Row],[Previous Amount]]</f>
        <v>0</v>
      </c>
      <c r="AD405" s="144"/>
    </row>
    <row r="406" spans="1:30" ht="30" customHeight="1" x14ac:dyDescent="0.3">
      <c r="A406" s="92" t="s">
        <v>89</v>
      </c>
      <c r="B406" s="92" t="s">
        <v>97</v>
      </c>
      <c r="C406" s="136">
        <v>123</v>
      </c>
      <c r="D406" s="136">
        <v>79124</v>
      </c>
      <c r="E406" s="196">
        <v>80593</v>
      </c>
      <c r="F406" s="137" t="s">
        <v>522</v>
      </c>
      <c r="G406" s="17" t="s">
        <v>200</v>
      </c>
      <c r="H406" s="102" t="s">
        <v>118</v>
      </c>
      <c r="I406" s="136">
        <v>1</v>
      </c>
      <c r="J406" s="136">
        <v>5</v>
      </c>
      <c r="K406" s="136">
        <v>1.8</v>
      </c>
      <c r="L406" s="136">
        <v>3</v>
      </c>
      <c r="M406" s="136">
        <v>1</v>
      </c>
      <c r="N406" s="138" t="s">
        <v>206</v>
      </c>
      <c r="O406" s="138">
        <f t="shared" si="57"/>
        <v>15</v>
      </c>
      <c r="P406" s="118">
        <v>44905</v>
      </c>
      <c r="Q406" s="189">
        <v>44923</v>
      </c>
      <c r="R406" s="140">
        <v>1</v>
      </c>
      <c r="S406" s="140">
        <v>1</v>
      </c>
      <c r="T406" s="140">
        <v>1</v>
      </c>
      <c r="U406" s="141">
        <f>IF(ISBLANK(Table1[[#This Row],[OHC Date]]),$B$7-Table1[[#This Row],[HOC Date]]+1,Table1[[#This Row],[OHC Date]]-Table1[[#This Row],[HOC Date]]+1)/7</f>
        <v>2.7142857142857144</v>
      </c>
      <c r="V406" s="142">
        <v>16.760000000000002</v>
      </c>
      <c r="W406" s="142">
        <v>0.77</v>
      </c>
      <c r="X406" s="142">
        <f>ROUND(0.7*Table1[[#This Row],[E&amp;D Rate per unit]]*R406*Table1[[#This Row],[Quantity]],2)</f>
        <v>175.98</v>
      </c>
      <c r="Y406" s="142">
        <f t="shared" si="58"/>
        <v>31.35</v>
      </c>
      <c r="Z406" s="142">
        <f>ROUND(0.3*T406*Table1[[#This Row],[E&amp;D Rate per unit]]*Table1[[#This Row],[Quantity]],2)</f>
        <v>75.42</v>
      </c>
      <c r="AA406" s="142">
        <f t="shared" si="59"/>
        <v>282.75</v>
      </c>
      <c r="AB406" s="143">
        <v>202.38</v>
      </c>
      <c r="AC406" s="143">
        <f>Table1[[#This Row],[Total Amount]]-Table1[[#This Row],[Previous Amount]]</f>
        <v>80.37</v>
      </c>
      <c r="AD406" s="144"/>
    </row>
    <row r="407" spans="1:30" ht="30" customHeight="1" x14ac:dyDescent="0.3">
      <c r="A407" s="92" t="s">
        <v>89</v>
      </c>
      <c r="B407" s="92" t="s">
        <v>97</v>
      </c>
      <c r="C407" s="136" t="s">
        <v>523</v>
      </c>
      <c r="D407" s="136">
        <v>79124</v>
      </c>
      <c r="E407" s="196">
        <v>80594</v>
      </c>
      <c r="F407" s="137" t="s">
        <v>522</v>
      </c>
      <c r="G407" s="17" t="s">
        <v>200</v>
      </c>
      <c r="H407" s="102" t="s">
        <v>127</v>
      </c>
      <c r="I407" s="136">
        <v>1</v>
      </c>
      <c r="J407" s="136">
        <v>2</v>
      </c>
      <c r="K407" s="136">
        <v>1.5</v>
      </c>
      <c r="L407" s="136">
        <v>1</v>
      </c>
      <c r="M407" s="136">
        <v>1</v>
      </c>
      <c r="N407" s="138" t="s">
        <v>160</v>
      </c>
      <c r="O407" s="138">
        <f t="shared" si="57"/>
        <v>3</v>
      </c>
      <c r="P407" s="118">
        <v>44905</v>
      </c>
      <c r="Q407" s="189">
        <v>44922</v>
      </c>
      <c r="R407" s="140">
        <v>1</v>
      </c>
      <c r="S407" s="140">
        <v>1</v>
      </c>
      <c r="T407" s="140">
        <v>1</v>
      </c>
      <c r="U407" s="141">
        <f>IF(ISBLANK(Table1[[#This Row],[OHC Date]]),$B$7-Table1[[#This Row],[HOC Date]]+1,Table1[[#This Row],[OHC Date]]-Table1[[#This Row],[HOC Date]]+1)/7</f>
        <v>2.5714285714285716</v>
      </c>
      <c r="V407" s="142">
        <v>36.520000000000003</v>
      </c>
      <c r="W407" s="142">
        <v>2.94</v>
      </c>
      <c r="X407" s="142">
        <f>ROUND(0.7*Table1[[#This Row],[E&amp;D Rate per unit]]*R407*Table1[[#This Row],[Quantity]],2)</f>
        <v>76.69</v>
      </c>
      <c r="Y407" s="142">
        <f t="shared" si="58"/>
        <v>22.68</v>
      </c>
      <c r="Z407" s="142">
        <f>ROUND(0.3*T407*Table1[[#This Row],[E&amp;D Rate per unit]]*Table1[[#This Row],[Quantity]],2)</f>
        <v>32.869999999999997</v>
      </c>
      <c r="AA407" s="142">
        <f t="shared" si="59"/>
        <v>132.24</v>
      </c>
      <c r="AB407" s="143">
        <v>96.85</v>
      </c>
      <c r="AC407" s="143">
        <f>Table1[[#This Row],[Total Amount]]-Table1[[#This Row],[Previous Amount]]</f>
        <v>35.390000000000015</v>
      </c>
      <c r="AD407" s="144"/>
    </row>
    <row r="408" spans="1:30" ht="30" customHeight="1" x14ac:dyDescent="0.3">
      <c r="A408" s="92" t="s">
        <v>89</v>
      </c>
      <c r="B408" s="92" t="s">
        <v>97</v>
      </c>
      <c r="C408" s="136">
        <v>124</v>
      </c>
      <c r="D408" s="136">
        <v>79125</v>
      </c>
      <c r="E408" s="196">
        <v>80888</v>
      </c>
      <c r="F408" s="137" t="s">
        <v>570</v>
      </c>
      <c r="G408" s="17" t="s">
        <v>200</v>
      </c>
      <c r="H408" s="136" t="s">
        <v>220</v>
      </c>
      <c r="I408" s="136">
        <v>1</v>
      </c>
      <c r="J408" s="136">
        <v>1.8</v>
      </c>
      <c r="K408" s="136">
        <v>1.3</v>
      </c>
      <c r="L408" s="136">
        <v>3</v>
      </c>
      <c r="M408" s="136">
        <v>1</v>
      </c>
      <c r="N408" s="138" t="s">
        <v>221</v>
      </c>
      <c r="O408" s="138">
        <f t="shared" ref="O408:O422" si="60">ROUND(IF(N408="m3",I408*J408*K408*L408,IF(N408="m2-LxH",I408*J408*L408,IF(N408="m2-LxW",I408*J408*K408,IF(N408="rm",I408*L408,IF(N408="lm",I408*J408,IF(N408="unit",I408,"NA")))))),2)</f>
        <v>3</v>
      </c>
      <c r="P408" s="118">
        <v>44907</v>
      </c>
      <c r="Q408" s="189">
        <v>44942</v>
      </c>
      <c r="R408" s="140">
        <v>1</v>
      </c>
      <c r="S408" s="140">
        <v>1</v>
      </c>
      <c r="T408" s="140">
        <v>1</v>
      </c>
      <c r="U408" s="141">
        <f>IF(ISBLANK(Table1[[#This Row],[OHC Date]]),$B$7-Table1[[#This Row],[HOC Date]]+1,Table1[[#This Row],[OHC Date]]-Table1[[#This Row],[HOC Date]]+1)/7</f>
        <v>5.1428571428571432</v>
      </c>
      <c r="V408" s="142">
        <v>63.34</v>
      </c>
      <c r="W408" s="142">
        <v>7.28</v>
      </c>
      <c r="X408" s="142">
        <f>ROUND(0.7*Table1[[#This Row],[E&amp;D Rate per unit]]*R408*Table1[[#This Row],[Quantity]],2)</f>
        <v>133.01</v>
      </c>
      <c r="Y408" s="142">
        <f t="shared" ref="Y408:Y422" si="61">ROUND(O408*U408*W408*S408,2)</f>
        <v>112.32</v>
      </c>
      <c r="Z408" s="142">
        <f>ROUND(0.3*T408*Table1[[#This Row],[E&amp;D Rate per unit]]*Table1[[#This Row],[Quantity]],2)</f>
        <v>57.01</v>
      </c>
      <c r="AA408" s="142">
        <f t="shared" ref="AA408:AA422" si="62">ROUND(X408+Z408+Y408,2)</f>
        <v>302.33999999999997</v>
      </c>
      <c r="AB408" s="143">
        <v>176.69</v>
      </c>
      <c r="AC408" s="143">
        <f>Table1[[#This Row],[Total Amount]]-Table1[[#This Row],[Previous Amount]]</f>
        <v>125.64999999999998</v>
      </c>
      <c r="AD408" s="144"/>
    </row>
    <row r="409" spans="1:30" ht="30" customHeight="1" x14ac:dyDescent="0.3">
      <c r="A409" s="92" t="s">
        <v>89</v>
      </c>
      <c r="B409" s="92" t="s">
        <v>97</v>
      </c>
      <c r="C409" s="136">
        <v>125</v>
      </c>
      <c r="D409" s="136">
        <v>79126</v>
      </c>
      <c r="E409" s="196">
        <v>80590</v>
      </c>
      <c r="F409" s="137" t="s">
        <v>571</v>
      </c>
      <c r="G409" s="17" t="s">
        <v>200</v>
      </c>
      <c r="H409" s="102" t="s">
        <v>205</v>
      </c>
      <c r="I409" s="136">
        <v>1</v>
      </c>
      <c r="J409" s="136">
        <v>4.3</v>
      </c>
      <c r="K409" s="136">
        <v>1.3</v>
      </c>
      <c r="L409" s="136">
        <v>1.5</v>
      </c>
      <c r="M409" s="136">
        <v>1</v>
      </c>
      <c r="N409" s="138" t="s">
        <v>206</v>
      </c>
      <c r="O409" s="138">
        <f t="shared" si="60"/>
        <v>6.45</v>
      </c>
      <c r="P409" s="118">
        <v>44907</v>
      </c>
      <c r="Q409" s="189">
        <v>44921</v>
      </c>
      <c r="R409" s="140">
        <v>1</v>
      </c>
      <c r="S409" s="140">
        <v>1</v>
      </c>
      <c r="T409" s="140">
        <v>1</v>
      </c>
      <c r="U409" s="141">
        <f>IF(ISBLANK(Table1[[#This Row],[OHC Date]]),$B$7-Table1[[#This Row],[HOC Date]]+1,Table1[[#This Row],[OHC Date]]-Table1[[#This Row],[HOC Date]]+1)/7</f>
        <v>2.1428571428571428</v>
      </c>
      <c r="V409" s="142">
        <v>12.01</v>
      </c>
      <c r="W409" s="142">
        <v>0.49</v>
      </c>
      <c r="X409" s="142">
        <f>ROUND(0.7*Table1[[#This Row],[E&amp;D Rate per unit]]*R409*Table1[[#This Row],[Quantity]],2)</f>
        <v>54.23</v>
      </c>
      <c r="Y409" s="142">
        <f t="shared" si="61"/>
        <v>6.77</v>
      </c>
      <c r="Z409" s="142">
        <f>ROUND(0.3*T409*Table1[[#This Row],[E&amp;D Rate per unit]]*Table1[[#This Row],[Quantity]],2)</f>
        <v>23.24</v>
      </c>
      <c r="AA409" s="142">
        <f t="shared" si="62"/>
        <v>84.24</v>
      </c>
      <c r="AB409" s="143">
        <v>60.55</v>
      </c>
      <c r="AC409" s="143">
        <f>Table1[[#This Row],[Total Amount]]-Table1[[#This Row],[Previous Amount]]</f>
        <v>23.689999999999998</v>
      </c>
      <c r="AD409" s="144"/>
    </row>
    <row r="410" spans="1:30" ht="30" customHeight="1" x14ac:dyDescent="0.3">
      <c r="A410" s="92" t="s">
        <v>89</v>
      </c>
      <c r="B410" s="92" t="s">
        <v>97</v>
      </c>
      <c r="C410" s="136">
        <v>126</v>
      </c>
      <c r="D410" s="136">
        <v>79127</v>
      </c>
      <c r="E410" s="136"/>
      <c r="F410" s="137" t="s">
        <v>572</v>
      </c>
      <c r="G410" s="17" t="s">
        <v>254</v>
      </c>
      <c r="H410" s="136" t="s">
        <v>220</v>
      </c>
      <c r="I410" s="136">
        <v>1</v>
      </c>
      <c r="J410" s="136">
        <v>1</v>
      </c>
      <c r="K410" s="136">
        <v>0.6</v>
      </c>
      <c r="L410" s="136">
        <v>4</v>
      </c>
      <c r="M410" s="136">
        <v>2</v>
      </c>
      <c r="N410" s="138" t="s">
        <v>221</v>
      </c>
      <c r="O410" s="138">
        <f t="shared" si="60"/>
        <v>4</v>
      </c>
      <c r="P410" s="118">
        <v>44907</v>
      </c>
      <c r="Q410" s="139"/>
      <c r="R410" s="140">
        <v>1</v>
      </c>
      <c r="S410" s="140">
        <v>1</v>
      </c>
      <c r="T410" s="140">
        <v>0</v>
      </c>
      <c r="U410" s="141">
        <f>IF(ISBLANK(Table1[[#This Row],[OHC Date]]),$B$7-Table1[[#This Row],[HOC Date]]+1,Table1[[#This Row],[OHC Date]]-Table1[[#This Row],[HOC Date]]+1)/7</f>
        <v>6.4285714285714288</v>
      </c>
      <c r="V410" s="142">
        <v>63.34</v>
      </c>
      <c r="W410" s="142">
        <v>7.28</v>
      </c>
      <c r="X410" s="142">
        <f>ROUND(0.7*Table1[[#This Row],[E&amp;D Rate per unit]]*R410*Table1[[#This Row],[Quantity]],2)</f>
        <v>177.35</v>
      </c>
      <c r="Y410" s="142">
        <f t="shared" si="61"/>
        <v>187.2</v>
      </c>
      <c r="Z410" s="142">
        <f>ROUND(0.3*T410*Table1[[#This Row],[E&amp;D Rate per unit]]*Table1[[#This Row],[Quantity]],2)</f>
        <v>0</v>
      </c>
      <c r="AA410" s="142">
        <f t="shared" si="62"/>
        <v>364.55</v>
      </c>
      <c r="AB410" s="143">
        <v>235.59</v>
      </c>
      <c r="AC410" s="143">
        <f>Table1[[#This Row],[Total Amount]]-Table1[[#This Row],[Previous Amount]]</f>
        <v>128.96</v>
      </c>
      <c r="AD410" s="144"/>
    </row>
    <row r="411" spans="1:30" ht="30" customHeight="1" x14ac:dyDescent="0.3">
      <c r="A411" s="92" t="s">
        <v>89</v>
      </c>
      <c r="B411" s="92" t="s">
        <v>97</v>
      </c>
      <c r="C411" s="136">
        <v>127</v>
      </c>
      <c r="D411" s="136">
        <v>79128</v>
      </c>
      <c r="E411" s="136"/>
      <c r="F411" s="137" t="s">
        <v>572</v>
      </c>
      <c r="G411" s="17" t="s">
        <v>204</v>
      </c>
      <c r="H411" s="136" t="s">
        <v>220</v>
      </c>
      <c r="I411" s="136">
        <v>1</v>
      </c>
      <c r="J411" s="136">
        <v>1</v>
      </c>
      <c r="K411" s="136">
        <v>0.6</v>
      </c>
      <c r="L411" s="136">
        <v>2.5</v>
      </c>
      <c r="M411" s="136">
        <v>1</v>
      </c>
      <c r="N411" s="138" t="s">
        <v>221</v>
      </c>
      <c r="O411" s="138">
        <f t="shared" si="60"/>
        <v>2.5</v>
      </c>
      <c r="P411" s="118">
        <v>44907</v>
      </c>
      <c r="Q411" s="139"/>
      <c r="R411" s="140">
        <v>1</v>
      </c>
      <c r="S411" s="140">
        <v>1</v>
      </c>
      <c r="T411" s="140">
        <v>0</v>
      </c>
      <c r="U411" s="141">
        <f>IF(ISBLANK(Table1[[#This Row],[OHC Date]]),$B$7-Table1[[#This Row],[HOC Date]]+1,Table1[[#This Row],[OHC Date]]-Table1[[#This Row],[HOC Date]]+1)/7</f>
        <v>6.4285714285714288</v>
      </c>
      <c r="V411" s="142">
        <v>63.34</v>
      </c>
      <c r="W411" s="142">
        <v>7.28</v>
      </c>
      <c r="X411" s="142">
        <f>ROUND(0.7*Table1[[#This Row],[E&amp;D Rate per unit]]*R411*Table1[[#This Row],[Quantity]],2)</f>
        <v>110.85</v>
      </c>
      <c r="Y411" s="142">
        <f t="shared" si="61"/>
        <v>117</v>
      </c>
      <c r="Z411" s="142">
        <f>ROUND(0.3*T411*Table1[[#This Row],[E&amp;D Rate per unit]]*Table1[[#This Row],[Quantity]],2)</f>
        <v>0</v>
      </c>
      <c r="AA411" s="142">
        <f t="shared" si="62"/>
        <v>227.85</v>
      </c>
      <c r="AB411" s="143">
        <v>147.25</v>
      </c>
      <c r="AC411" s="143">
        <f>Table1[[#This Row],[Total Amount]]-Table1[[#This Row],[Previous Amount]]</f>
        <v>80.599999999999994</v>
      </c>
      <c r="AD411" s="144"/>
    </row>
    <row r="412" spans="1:30" ht="30" customHeight="1" x14ac:dyDescent="0.3">
      <c r="A412" s="92" t="s">
        <v>89</v>
      </c>
      <c r="B412" s="92" t="s">
        <v>97</v>
      </c>
      <c r="C412" s="136">
        <v>128</v>
      </c>
      <c r="D412" s="136">
        <v>79129</v>
      </c>
      <c r="E412" s="136">
        <v>80585</v>
      </c>
      <c r="F412" s="137" t="s">
        <v>573</v>
      </c>
      <c r="G412" s="17" t="s">
        <v>226</v>
      </c>
      <c r="H412" s="102" t="s">
        <v>118</v>
      </c>
      <c r="I412" s="136">
        <v>1</v>
      </c>
      <c r="J412" s="136">
        <v>11.8</v>
      </c>
      <c r="K412" s="136">
        <v>2.5</v>
      </c>
      <c r="L412" s="136">
        <v>3</v>
      </c>
      <c r="M412" s="136">
        <v>1</v>
      </c>
      <c r="N412" s="138" t="s">
        <v>206</v>
      </c>
      <c r="O412" s="138">
        <f t="shared" si="60"/>
        <v>35.4</v>
      </c>
      <c r="P412" s="118">
        <v>44907</v>
      </c>
      <c r="Q412" s="139">
        <v>44917</v>
      </c>
      <c r="R412" s="140">
        <v>1</v>
      </c>
      <c r="S412" s="140">
        <v>1</v>
      </c>
      <c r="T412" s="140">
        <v>1</v>
      </c>
      <c r="U412" s="141">
        <f>IF(ISBLANK(Table1[[#This Row],[OHC Date]]),$B$7-Table1[[#This Row],[HOC Date]]+1,Table1[[#This Row],[OHC Date]]-Table1[[#This Row],[HOC Date]]+1)/7</f>
        <v>1.5714285714285714</v>
      </c>
      <c r="V412" s="142">
        <v>16.760000000000002</v>
      </c>
      <c r="W412" s="142">
        <v>0.77</v>
      </c>
      <c r="X412" s="142">
        <f>ROUND(0.7*Table1[[#This Row],[E&amp;D Rate per unit]]*R412*Table1[[#This Row],[Quantity]],2)</f>
        <v>415.31</v>
      </c>
      <c r="Y412" s="142">
        <f t="shared" si="61"/>
        <v>42.83</v>
      </c>
      <c r="Z412" s="142">
        <f>ROUND(0.3*T412*Table1[[#This Row],[E&amp;D Rate per unit]]*Table1[[#This Row],[Quantity]],2)</f>
        <v>177.99</v>
      </c>
      <c r="AA412" s="142">
        <f t="shared" si="62"/>
        <v>636.13</v>
      </c>
      <c r="AB412" s="143">
        <v>636.13</v>
      </c>
      <c r="AC412" s="143">
        <f>Table1[[#This Row],[Total Amount]]-Table1[[#This Row],[Previous Amount]]</f>
        <v>0</v>
      </c>
      <c r="AD412" s="144"/>
    </row>
    <row r="413" spans="1:30" ht="30" customHeight="1" x14ac:dyDescent="0.3">
      <c r="A413" s="92" t="s">
        <v>89</v>
      </c>
      <c r="B413" s="92" t="s">
        <v>97</v>
      </c>
      <c r="C413" s="136" t="s">
        <v>574</v>
      </c>
      <c r="D413" s="136">
        <v>79130</v>
      </c>
      <c r="E413" s="136">
        <v>80586</v>
      </c>
      <c r="F413" s="137" t="s">
        <v>573</v>
      </c>
      <c r="G413" s="17" t="s">
        <v>226</v>
      </c>
      <c r="H413" s="102" t="s">
        <v>118</v>
      </c>
      <c r="I413" s="136">
        <v>1</v>
      </c>
      <c r="J413" s="136">
        <v>4.3</v>
      </c>
      <c r="K413" s="136">
        <v>2.5</v>
      </c>
      <c r="L413" s="136">
        <v>2</v>
      </c>
      <c r="M413" s="136">
        <v>1</v>
      </c>
      <c r="N413" s="138" t="s">
        <v>206</v>
      </c>
      <c r="O413" s="138">
        <f t="shared" si="60"/>
        <v>8.6</v>
      </c>
      <c r="P413" s="118">
        <v>44907</v>
      </c>
      <c r="Q413" s="139">
        <v>44917</v>
      </c>
      <c r="R413" s="140">
        <v>1</v>
      </c>
      <c r="S413" s="140">
        <v>1</v>
      </c>
      <c r="T413" s="140">
        <v>1</v>
      </c>
      <c r="U413" s="141">
        <f>IF(ISBLANK(Table1[[#This Row],[OHC Date]]),$B$7-Table1[[#This Row],[HOC Date]]+1,Table1[[#This Row],[OHC Date]]-Table1[[#This Row],[HOC Date]]+1)/7</f>
        <v>1.5714285714285714</v>
      </c>
      <c r="V413" s="142">
        <v>16.760000000000002</v>
      </c>
      <c r="W413" s="142">
        <v>0.77</v>
      </c>
      <c r="X413" s="142">
        <f>ROUND(0.7*Table1[[#This Row],[E&amp;D Rate per unit]]*R413*Table1[[#This Row],[Quantity]],2)</f>
        <v>100.9</v>
      </c>
      <c r="Y413" s="142">
        <f t="shared" si="61"/>
        <v>10.41</v>
      </c>
      <c r="Z413" s="142">
        <f>ROUND(0.3*T413*Table1[[#This Row],[E&amp;D Rate per unit]]*Table1[[#This Row],[Quantity]],2)</f>
        <v>43.24</v>
      </c>
      <c r="AA413" s="142">
        <f t="shared" si="62"/>
        <v>154.55000000000001</v>
      </c>
      <c r="AB413" s="143">
        <v>154.55000000000001</v>
      </c>
      <c r="AC413" s="143">
        <f>Table1[[#This Row],[Total Amount]]-Table1[[#This Row],[Previous Amount]]</f>
        <v>0</v>
      </c>
      <c r="AD413" s="144"/>
    </row>
    <row r="414" spans="1:30" ht="30" customHeight="1" x14ac:dyDescent="0.3">
      <c r="A414" s="92" t="s">
        <v>89</v>
      </c>
      <c r="B414" s="92" t="s">
        <v>97</v>
      </c>
      <c r="C414" s="136">
        <v>129</v>
      </c>
      <c r="D414" s="136">
        <v>79131</v>
      </c>
      <c r="E414" s="196">
        <v>80877</v>
      </c>
      <c r="F414" s="137" t="s">
        <v>575</v>
      </c>
      <c r="G414" s="17" t="s">
        <v>200</v>
      </c>
      <c r="H414" s="136" t="s">
        <v>220</v>
      </c>
      <c r="I414" s="136">
        <v>1</v>
      </c>
      <c r="J414" s="136">
        <v>2.5</v>
      </c>
      <c r="K414" s="136">
        <v>0.9</v>
      </c>
      <c r="L414" s="136">
        <v>1.2</v>
      </c>
      <c r="M414" s="136">
        <v>1</v>
      </c>
      <c r="N414" s="138" t="s">
        <v>221</v>
      </c>
      <c r="O414" s="138">
        <f t="shared" si="60"/>
        <v>1.2</v>
      </c>
      <c r="P414" s="118">
        <v>44907</v>
      </c>
      <c r="Q414" s="189">
        <v>44932</v>
      </c>
      <c r="R414" s="140">
        <v>1</v>
      </c>
      <c r="S414" s="140">
        <v>1</v>
      </c>
      <c r="T414" s="140">
        <v>1</v>
      </c>
      <c r="U414" s="141">
        <f>IF(ISBLANK(Table1[[#This Row],[OHC Date]]),$B$7-Table1[[#This Row],[HOC Date]]+1,Table1[[#This Row],[OHC Date]]-Table1[[#This Row],[HOC Date]]+1)/7</f>
        <v>3.7142857142857144</v>
      </c>
      <c r="V414" s="142">
        <v>63.34</v>
      </c>
      <c r="W414" s="142">
        <v>7.28</v>
      </c>
      <c r="X414" s="142">
        <f>ROUND(0.7*Table1[[#This Row],[E&amp;D Rate per unit]]*R414*Table1[[#This Row],[Quantity]],2)</f>
        <v>53.21</v>
      </c>
      <c r="Y414" s="142">
        <f t="shared" si="61"/>
        <v>32.450000000000003</v>
      </c>
      <c r="Z414" s="142">
        <f>ROUND(0.3*T414*Table1[[#This Row],[E&amp;D Rate per unit]]*Table1[[#This Row],[Quantity]],2)</f>
        <v>22.8</v>
      </c>
      <c r="AA414" s="142">
        <f t="shared" si="62"/>
        <v>108.46</v>
      </c>
      <c r="AB414" s="143">
        <v>70.680000000000007</v>
      </c>
      <c r="AC414" s="143">
        <f>Table1[[#This Row],[Total Amount]]-Table1[[#This Row],[Previous Amount]]</f>
        <v>37.779999999999987</v>
      </c>
      <c r="AD414" s="144"/>
    </row>
    <row r="415" spans="1:30" ht="30" customHeight="1" x14ac:dyDescent="0.3">
      <c r="A415" s="145" t="s">
        <v>550</v>
      </c>
      <c r="B415" s="92" t="s">
        <v>97</v>
      </c>
      <c r="C415" s="136" t="s">
        <v>576</v>
      </c>
      <c r="D415" s="136">
        <v>79132</v>
      </c>
      <c r="E415" s="136">
        <v>80576</v>
      </c>
      <c r="F415" s="137" t="s">
        <v>552</v>
      </c>
      <c r="G415" s="17" t="s">
        <v>431</v>
      </c>
      <c r="H415" s="151" t="s">
        <v>553</v>
      </c>
      <c r="I415" s="136">
        <v>1</v>
      </c>
      <c r="J415" s="136">
        <v>4.3</v>
      </c>
      <c r="K415" s="136">
        <v>1</v>
      </c>
      <c r="L415" s="136">
        <v>1</v>
      </c>
      <c r="M415" s="136">
        <v>1</v>
      </c>
      <c r="N415" s="138" t="s">
        <v>56</v>
      </c>
      <c r="O415" s="138">
        <f t="shared" si="60"/>
        <v>1</v>
      </c>
      <c r="P415" s="118">
        <v>44908</v>
      </c>
      <c r="Q415" s="139">
        <v>44912</v>
      </c>
      <c r="R415" s="140">
        <v>1</v>
      </c>
      <c r="S415" s="140">
        <v>1</v>
      </c>
      <c r="T415" s="140">
        <v>1</v>
      </c>
      <c r="U415" s="141">
        <f>IF(ISBLANK(Table1[[#This Row],[OHC Date]]),$B$7-Table1[[#This Row],[HOC Date]]+1,Table1[[#This Row],[OHC Date]]-Table1[[#This Row],[HOC Date]]+1)/7</f>
        <v>0.7142857142857143</v>
      </c>
      <c r="V415" s="142">
        <v>1772.5845217391307</v>
      </c>
      <c r="W415" s="142">
        <v>52.192000000000007</v>
      </c>
      <c r="X415" s="142">
        <f>ROUND(0.7*Table1[[#This Row],[E&amp;D Rate per unit]]*R415*Table1[[#This Row],[Quantity]],2)</f>
        <v>1240.81</v>
      </c>
      <c r="Y415" s="142">
        <f t="shared" si="61"/>
        <v>37.28</v>
      </c>
      <c r="Z415" s="142">
        <f>ROUND(0.3*T415*Table1[[#This Row],[E&amp;D Rate per unit]]*Table1[[#This Row],[Quantity]],2)</f>
        <v>531.78</v>
      </c>
      <c r="AA415" s="142">
        <f>ROUND(X415+Z415+Y415,2)</f>
        <v>1809.87</v>
      </c>
      <c r="AB415" s="143">
        <v>1591.1347826086958</v>
      </c>
      <c r="AC415" s="143">
        <f>Table1[[#This Row],[Total Amount]]-Table1[[#This Row],[Previous Amount]]</f>
        <v>218.7352173913041</v>
      </c>
      <c r="AD415" s="132" t="s">
        <v>557</v>
      </c>
    </row>
    <row r="416" spans="1:30" ht="30" customHeight="1" x14ac:dyDescent="0.3">
      <c r="A416" s="92" t="s">
        <v>89</v>
      </c>
      <c r="B416" s="92" t="s">
        <v>97</v>
      </c>
      <c r="C416" s="136" t="s">
        <v>577</v>
      </c>
      <c r="D416" s="136">
        <v>79133</v>
      </c>
      <c r="E416" s="196">
        <v>80595</v>
      </c>
      <c r="F416" s="137" t="s">
        <v>578</v>
      </c>
      <c r="G416" s="17" t="s">
        <v>200</v>
      </c>
      <c r="H416" s="102" t="s">
        <v>118</v>
      </c>
      <c r="I416" s="136">
        <v>1</v>
      </c>
      <c r="J416" s="136">
        <v>11.8</v>
      </c>
      <c r="K416" s="136">
        <v>1.8</v>
      </c>
      <c r="L416" s="136">
        <v>3</v>
      </c>
      <c r="M416" s="136">
        <v>1</v>
      </c>
      <c r="N416" s="138" t="s">
        <v>206</v>
      </c>
      <c r="O416" s="138">
        <f t="shared" si="60"/>
        <v>35.4</v>
      </c>
      <c r="P416" s="118">
        <v>44908</v>
      </c>
      <c r="Q416" s="189">
        <v>44923</v>
      </c>
      <c r="R416" s="140">
        <v>1</v>
      </c>
      <c r="S416" s="140">
        <v>1</v>
      </c>
      <c r="T416" s="140">
        <v>1</v>
      </c>
      <c r="U416" s="141">
        <f>IF(ISBLANK(Table1[[#This Row],[OHC Date]]),$B$7-Table1[[#This Row],[HOC Date]]+1,Table1[[#This Row],[OHC Date]]-Table1[[#This Row],[HOC Date]]+1)/7</f>
        <v>2.2857142857142856</v>
      </c>
      <c r="V416" s="142">
        <v>16.760000000000002</v>
      </c>
      <c r="W416" s="142">
        <v>0.77</v>
      </c>
      <c r="X416" s="142">
        <f>ROUND(0.7*Table1[[#This Row],[E&amp;D Rate per unit]]*R416*Table1[[#This Row],[Quantity]],2)</f>
        <v>415.31</v>
      </c>
      <c r="Y416" s="142">
        <f t="shared" si="61"/>
        <v>62.3</v>
      </c>
      <c r="Z416" s="142">
        <f>ROUND(0.3*T416*Table1[[#This Row],[E&amp;D Rate per unit]]*Table1[[#This Row],[Quantity]],2)</f>
        <v>177.99</v>
      </c>
      <c r="AA416" s="142">
        <f t="shared" si="62"/>
        <v>655.6</v>
      </c>
      <c r="AB416" s="143">
        <v>465.93</v>
      </c>
      <c r="AC416" s="143">
        <f>Table1[[#This Row],[Total Amount]]-Table1[[#This Row],[Previous Amount]]</f>
        <v>189.67000000000002</v>
      </c>
      <c r="AD416" s="144"/>
    </row>
    <row r="417" spans="1:30" ht="30" customHeight="1" x14ac:dyDescent="0.3">
      <c r="A417" s="92" t="s">
        <v>89</v>
      </c>
      <c r="B417" s="92" t="s">
        <v>97</v>
      </c>
      <c r="C417" s="136" t="s">
        <v>579</v>
      </c>
      <c r="D417" s="136">
        <v>79134</v>
      </c>
      <c r="E417" s="196">
        <v>80596</v>
      </c>
      <c r="F417" s="137" t="s">
        <v>578</v>
      </c>
      <c r="G417" s="17" t="s">
        <v>200</v>
      </c>
      <c r="H417" s="102" t="s">
        <v>127</v>
      </c>
      <c r="I417" s="136">
        <v>1</v>
      </c>
      <c r="J417" s="136">
        <v>6</v>
      </c>
      <c r="K417" s="136">
        <v>1</v>
      </c>
      <c r="L417" s="136">
        <v>1</v>
      </c>
      <c r="M417" s="136">
        <v>1</v>
      </c>
      <c r="N417" s="138" t="s">
        <v>160</v>
      </c>
      <c r="O417" s="138">
        <f t="shared" si="60"/>
        <v>6</v>
      </c>
      <c r="P417" s="118">
        <v>44908</v>
      </c>
      <c r="Q417" s="189">
        <v>44922</v>
      </c>
      <c r="R417" s="140">
        <v>1</v>
      </c>
      <c r="S417" s="140">
        <v>1</v>
      </c>
      <c r="T417" s="140">
        <v>1</v>
      </c>
      <c r="U417" s="141">
        <f>IF(ISBLANK(Table1[[#This Row],[OHC Date]]),$B$7-Table1[[#This Row],[HOC Date]]+1,Table1[[#This Row],[OHC Date]]-Table1[[#This Row],[HOC Date]]+1)/7</f>
        <v>2.1428571428571428</v>
      </c>
      <c r="V417" s="142">
        <v>36.520000000000003</v>
      </c>
      <c r="W417" s="142">
        <v>2.94</v>
      </c>
      <c r="X417" s="142">
        <f>ROUND(0.7*Table1[[#This Row],[E&amp;D Rate per unit]]*R417*Table1[[#This Row],[Quantity]],2)</f>
        <v>153.38</v>
      </c>
      <c r="Y417" s="142">
        <f t="shared" si="61"/>
        <v>37.799999999999997</v>
      </c>
      <c r="Z417" s="142">
        <f>ROUND(0.3*T417*Table1[[#This Row],[E&amp;D Rate per unit]]*Table1[[#This Row],[Quantity]],2)</f>
        <v>65.739999999999995</v>
      </c>
      <c r="AA417" s="142">
        <f t="shared" si="62"/>
        <v>256.92</v>
      </c>
      <c r="AB417" s="143">
        <v>186.14</v>
      </c>
      <c r="AC417" s="143">
        <f>Table1[[#This Row],[Total Amount]]-Table1[[#This Row],[Previous Amount]]</f>
        <v>70.78000000000003</v>
      </c>
      <c r="AD417" s="144"/>
    </row>
    <row r="418" spans="1:30" ht="30" customHeight="1" x14ac:dyDescent="0.3">
      <c r="A418" s="92" t="s">
        <v>89</v>
      </c>
      <c r="B418" s="92" t="s">
        <v>97</v>
      </c>
      <c r="C418" s="136">
        <v>131</v>
      </c>
      <c r="D418" s="136">
        <v>79135</v>
      </c>
      <c r="E418" s="196">
        <v>80597</v>
      </c>
      <c r="F418" s="137" t="s">
        <v>580</v>
      </c>
      <c r="G418" s="17" t="s">
        <v>200</v>
      </c>
      <c r="H418" s="102" t="s">
        <v>118</v>
      </c>
      <c r="I418" s="136">
        <v>1</v>
      </c>
      <c r="J418" s="136">
        <v>17.5</v>
      </c>
      <c r="K418" s="136">
        <v>2.5</v>
      </c>
      <c r="L418" s="136">
        <v>2</v>
      </c>
      <c r="M418" s="136">
        <v>1</v>
      </c>
      <c r="N418" s="138" t="s">
        <v>206</v>
      </c>
      <c r="O418" s="138">
        <f t="shared" si="60"/>
        <v>35</v>
      </c>
      <c r="P418" s="118">
        <v>44908</v>
      </c>
      <c r="Q418" s="189">
        <v>44923</v>
      </c>
      <c r="R418" s="140">
        <v>1</v>
      </c>
      <c r="S418" s="140">
        <v>1</v>
      </c>
      <c r="T418" s="140">
        <v>1</v>
      </c>
      <c r="U418" s="141">
        <f>IF(ISBLANK(Table1[[#This Row],[OHC Date]]),$B$7-Table1[[#This Row],[HOC Date]]+1,Table1[[#This Row],[OHC Date]]-Table1[[#This Row],[HOC Date]]+1)/7</f>
        <v>2.2857142857142856</v>
      </c>
      <c r="V418" s="142">
        <v>16.760000000000002</v>
      </c>
      <c r="W418" s="142">
        <v>0.77</v>
      </c>
      <c r="X418" s="142">
        <f>ROUND(0.7*Table1[[#This Row],[E&amp;D Rate per unit]]*R418*Table1[[#This Row],[Quantity]],2)</f>
        <v>410.62</v>
      </c>
      <c r="Y418" s="142">
        <f t="shared" si="61"/>
        <v>61.6</v>
      </c>
      <c r="Z418" s="142">
        <f>ROUND(0.3*T418*Table1[[#This Row],[E&amp;D Rate per unit]]*Table1[[#This Row],[Quantity]],2)</f>
        <v>175.98</v>
      </c>
      <c r="AA418" s="142">
        <f t="shared" si="62"/>
        <v>648.20000000000005</v>
      </c>
      <c r="AB418" s="143">
        <v>460.67</v>
      </c>
      <c r="AC418" s="143">
        <f>Table1[[#This Row],[Total Amount]]-Table1[[#This Row],[Previous Amount]]</f>
        <v>187.53000000000003</v>
      </c>
      <c r="AD418" s="144"/>
    </row>
    <row r="419" spans="1:30" ht="30" customHeight="1" x14ac:dyDescent="0.3">
      <c r="A419" s="131" t="s">
        <v>508</v>
      </c>
      <c r="B419" s="92" t="s">
        <v>97</v>
      </c>
      <c r="C419" s="16">
        <v>132</v>
      </c>
      <c r="D419" s="136">
        <v>79136</v>
      </c>
      <c r="E419" s="196">
        <v>80897</v>
      </c>
      <c r="F419" s="17" t="s">
        <v>583</v>
      </c>
      <c r="G419" s="17" t="s">
        <v>439</v>
      </c>
      <c r="H419" s="16" t="s">
        <v>584</v>
      </c>
      <c r="I419" s="136">
        <v>1</v>
      </c>
      <c r="J419" s="136">
        <v>10.8</v>
      </c>
      <c r="K419" s="136">
        <v>1.3</v>
      </c>
      <c r="L419" s="136">
        <v>4.2</v>
      </c>
      <c r="M419" s="136">
        <v>1</v>
      </c>
      <c r="N419" s="138" t="s">
        <v>56</v>
      </c>
      <c r="O419" s="138">
        <f t="shared" si="60"/>
        <v>1</v>
      </c>
      <c r="P419" s="118">
        <v>44908</v>
      </c>
      <c r="Q419" s="189">
        <v>44939</v>
      </c>
      <c r="R419" s="140">
        <v>1</v>
      </c>
      <c r="S419" s="140">
        <v>1</v>
      </c>
      <c r="T419" s="140">
        <v>1</v>
      </c>
      <c r="U419" s="141">
        <f>IF(ISBLANK(Table1[[#This Row],[OHC Date]]),$B$7-Table1[[#This Row],[HOC Date]]+1,Table1[[#This Row],[OHC Date]]-Table1[[#This Row],[HOC Date]]+1)/7</f>
        <v>4.5714285714285712</v>
      </c>
      <c r="V419" s="142">
        <f>8208.92/(12.3*5)*10.8*4.2</f>
        <v>6054.5790439024395</v>
      </c>
      <c r="W419" s="142">
        <f>728.01/(12.3*5)*10.8*4.2</f>
        <v>536.95176585365857</v>
      </c>
      <c r="X419" s="142">
        <f>ROUND(0.7*Table1[[#This Row],[E&amp;D Rate per unit]]*R419*Table1[[#This Row],[Quantity]],2)</f>
        <v>4238.21</v>
      </c>
      <c r="Y419" s="142">
        <f t="shared" si="61"/>
        <v>2454.64</v>
      </c>
      <c r="Z419" s="142">
        <f>ROUND(0.3*T419*Table1[[#This Row],[E&amp;D Rate per unit]]*Table1[[#This Row],[Quantity]],2)</f>
        <v>1816.37</v>
      </c>
      <c r="AA419" s="142">
        <f t="shared" si="62"/>
        <v>8509.2199999999993</v>
      </c>
      <c r="AB419" s="143">
        <v>5110.7472000000007</v>
      </c>
      <c r="AC419" s="143">
        <f>Table1[[#This Row],[Total Amount]]-Table1[[#This Row],[Previous Amount]]</f>
        <v>3398.4727999999986</v>
      </c>
      <c r="AD419" s="132" t="s">
        <v>585</v>
      </c>
    </row>
    <row r="420" spans="1:30" ht="30" customHeight="1" x14ac:dyDescent="0.3">
      <c r="A420" s="131" t="s">
        <v>508</v>
      </c>
      <c r="B420" s="92" t="s">
        <v>97</v>
      </c>
      <c r="C420" s="16" t="s">
        <v>582</v>
      </c>
      <c r="D420" s="136">
        <v>79137</v>
      </c>
      <c r="E420" s="136">
        <v>80577</v>
      </c>
      <c r="F420" s="17" t="s">
        <v>583</v>
      </c>
      <c r="G420" s="17" t="s">
        <v>439</v>
      </c>
      <c r="H420" s="16" t="s">
        <v>584</v>
      </c>
      <c r="I420" s="136">
        <v>1</v>
      </c>
      <c r="J420" s="136">
        <v>5.4</v>
      </c>
      <c r="K420" s="136">
        <v>1.3</v>
      </c>
      <c r="L420" s="136">
        <v>4.2</v>
      </c>
      <c r="M420" s="136">
        <v>1</v>
      </c>
      <c r="N420" s="138" t="s">
        <v>56</v>
      </c>
      <c r="O420" s="138">
        <f t="shared" si="60"/>
        <v>1</v>
      </c>
      <c r="P420" s="118">
        <v>44908</v>
      </c>
      <c r="Q420" s="139">
        <v>44911</v>
      </c>
      <c r="R420" s="140">
        <v>1</v>
      </c>
      <c r="S420" s="140">
        <v>1</v>
      </c>
      <c r="T420" s="140">
        <v>1</v>
      </c>
      <c r="U420" s="141">
        <f>IF(ISBLANK(Table1[[#This Row],[OHC Date]]),$B$7-Table1[[#This Row],[HOC Date]]+1,Table1[[#This Row],[OHC Date]]-Table1[[#This Row],[HOC Date]]+1)/7</f>
        <v>0.5714285714285714</v>
      </c>
      <c r="V420" s="142">
        <v>0</v>
      </c>
      <c r="W420" s="142">
        <v>0</v>
      </c>
      <c r="X420" s="142">
        <f>ROUND(0.7*Table1[[#This Row],[E&amp;D Rate per unit]]*R420*Table1[[#This Row],[Quantity]],2)</f>
        <v>0</v>
      </c>
      <c r="Y420" s="142">
        <f t="shared" si="61"/>
        <v>0</v>
      </c>
      <c r="Z420" s="142">
        <f>ROUND(0.3*T420*Table1[[#This Row],[E&amp;D Rate per unit]]*Table1[[#This Row],[Quantity]],2)</f>
        <v>0</v>
      </c>
      <c r="AA420" s="142">
        <f t="shared" si="62"/>
        <v>0</v>
      </c>
      <c r="AB420" s="143">
        <v>0</v>
      </c>
      <c r="AC420" s="143">
        <f>Table1[[#This Row],[Total Amount]]-Table1[[#This Row],[Previous Amount]]</f>
        <v>0</v>
      </c>
      <c r="AD420" s="132" t="s">
        <v>585</v>
      </c>
    </row>
    <row r="421" spans="1:30" ht="30" customHeight="1" x14ac:dyDescent="0.3">
      <c r="A421" s="92" t="s">
        <v>89</v>
      </c>
      <c r="B421" s="92" t="s">
        <v>97</v>
      </c>
      <c r="C421" s="136">
        <v>133</v>
      </c>
      <c r="D421" s="136">
        <v>79138</v>
      </c>
      <c r="E421" s="196">
        <v>80853</v>
      </c>
      <c r="F421" s="17" t="s">
        <v>586</v>
      </c>
      <c r="G421" s="17" t="s">
        <v>226</v>
      </c>
      <c r="H421" s="102" t="s">
        <v>205</v>
      </c>
      <c r="I421" s="136">
        <v>1</v>
      </c>
      <c r="J421" s="136">
        <v>7.3</v>
      </c>
      <c r="K421" s="136">
        <v>1.3</v>
      </c>
      <c r="L421" s="136">
        <v>5</v>
      </c>
      <c r="M421" s="136">
        <v>1</v>
      </c>
      <c r="N421" s="138" t="s">
        <v>206</v>
      </c>
      <c r="O421" s="138">
        <f t="shared" si="60"/>
        <v>36.5</v>
      </c>
      <c r="P421" s="118">
        <v>44909</v>
      </c>
      <c r="Q421" s="189">
        <v>44929</v>
      </c>
      <c r="R421" s="140">
        <v>1</v>
      </c>
      <c r="S421" s="140">
        <v>1</v>
      </c>
      <c r="T421" s="140">
        <v>1</v>
      </c>
      <c r="U421" s="141">
        <f>IF(ISBLANK(Table1[[#This Row],[OHC Date]]),$B$7-Table1[[#This Row],[HOC Date]]+1,Table1[[#This Row],[OHC Date]]-Table1[[#This Row],[HOC Date]]+1)/7</f>
        <v>3</v>
      </c>
      <c r="V421" s="142">
        <v>12.01</v>
      </c>
      <c r="W421" s="142">
        <v>0.49</v>
      </c>
      <c r="X421" s="142">
        <f>ROUND(0.7*Table1[[#This Row],[E&amp;D Rate per unit]]*R421*Table1[[#This Row],[Quantity]],2)</f>
        <v>306.86</v>
      </c>
      <c r="Y421" s="142">
        <f t="shared" si="61"/>
        <v>53.66</v>
      </c>
      <c r="Z421" s="142">
        <f>ROUND(0.3*T421*Table1[[#This Row],[E&amp;D Rate per unit]]*Table1[[#This Row],[Quantity]],2)</f>
        <v>131.51</v>
      </c>
      <c r="AA421" s="142">
        <f t="shared" si="62"/>
        <v>492.03</v>
      </c>
      <c r="AB421" s="143">
        <v>337.52</v>
      </c>
      <c r="AC421" s="143">
        <f>Table1[[#This Row],[Total Amount]]-Table1[[#This Row],[Previous Amount]]</f>
        <v>154.51</v>
      </c>
      <c r="AD421" s="144"/>
    </row>
    <row r="422" spans="1:30" ht="30" customHeight="1" x14ac:dyDescent="0.3">
      <c r="A422" s="92" t="s">
        <v>89</v>
      </c>
      <c r="B422" s="92" t="s">
        <v>97</v>
      </c>
      <c r="C422" s="136">
        <v>133</v>
      </c>
      <c r="D422" s="136">
        <v>79138</v>
      </c>
      <c r="E422" s="196">
        <v>80853</v>
      </c>
      <c r="F422" s="17" t="s">
        <v>586</v>
      </c>
      <c r="G422" s="17" t="s">
        <v>226</v>
      </c>
      <c r="H422" s="136" t="s">
        <v>176</v>
      </c>
      <c r="I422" s="136">
        <v>1</v>
      </c>
      <c r="J422" s="136">
        <v>7.3</v>
      </c>
      <c r="K422" s="136">
        <v>1.3</v>
      </c>
      <c r="L422" s="136">
        <v>1</v>
      </c>
      <c r="M422" s="136">
        <v>1</v>
      </c>
      <c r="N422" s="138" t="s">
        <v>160</v>
      </c>
      <c r="O422" s="138">
        <f t="shared" si="60"/>
        <v>9.49</v>
      </c>
      <c r="P422" s="118">
        <v>44909</v>
      </c>
      <c r="Q422" s="189">
        <v>44929</v>
      </c>
      <c r="R422" s="140">
        <v>1</v>
      </c>
      <c r="S422" s="140">
        <v>1</v>
      </c>
      <c r="T422" s="140">
        <v>1</v>
      </c>
      <c r="U422" s="141">
        <f>IF(ISBLANK(Table1[[#This Row],[OHC Date]]),$B$7-Table1[[#This Row],[HOC Date]]+1,Table1[[#This Row],[OHC Date]]-Table1[[#This Row],[HOC Date]]+1)/7</f>
        <v>3</v>
      </c>
      <c r="V422" s="142">
        <v>6.63</v>
      </c>
      <c r="W422" s="142">
        <v>0.7</v>
      </c>
      <c r="X422" s="142">
        <f>ROUND(0.7*Table1[[#This Row],[E&amp;D Rate per unit]]*R422*Table1[[#This Row],[Quantity]],2)</f>
        <v>44.04</v>
      </c>
      <c r="Y422" s="142">
        <f t="shared" si="61"/>
        <v>19.93</v>
      </c>
      <c r="Z422" s="142">
        <f>ROUND(0.3*T422*Table1[[#This Row],[E&amp;D Rate per unit]]*Table1[[#This Row],[Quantity]],2)</f>
        <v>18.88</v>
      </c>
      <c r="AA422" s="142">
        <f t="shared" si="62"/>
        <v>82.85</v>
      </c>
      <c r="AB422" s="143">
        <v>55.43</v>
      </c>
      <c r="AC422" s="143">
        <f>Table1[[#This Row],[Total Amount]]-Table1[[#This Row],[Previous Amount]]</f>
        <v>27.419999999999995</v>
      </c>
      <c r="AD422" s="144"/>
    </row>
    <row r="423" spans="1:30" ht="30" customHeight="1" x14ac:dyDescent="0.3">
      <c r="A423" s="92" t="s">
        <v>89</v>
      </c>
      <c r="B423" s="92" t="s">
        <v>97</v>
      </c>
      <c r="C423" s="16" t="s">
        <v>587</v>
      </c>
      <c r="D423" s="136">
        <v>79138</v>
      </c>
      <c r="E423" s="196">
        <v>80853</v>
      </c>
      <c r="F423" s="17" t="s">
        <v>586</v>
      </c>
      <c r="G423" s="17" t="s">
        <v>226</v>
      </c>
      <c r="H423" s="102" t="s">
        <v>126</v>
      </c>
      <c r="I423" s="136">
        <v>1</v>
      </c>
      <c r="J423" s="136">
        <v>7.3</v>
      </c>
      <c r="K423" s="136">
        <v>0.5</v>
      </c>
      <c r="L423" s="136">
        <v>1</v>
      </c>
      <c r="M423" s="136">
        <v>1</v>
      </c>
      <c r="N423" s="138" t="s">
        <v>160</v>
      </c>
      <c r="O423" s="138">
        <f t="shared" ref="O423:O458" si="63">ROUND(IF(N423="m3",I423*J423*K423*L423,IF(N423="m2-LxH",I423*J423*L423,IF(N423="m2-LxW",I423*J423*K423,IF(N423="rm",I423*L423,IF(N423="lm",I423*J423,IF(N423="unit",I423,"NA")))))),2)</f>
        <v>3.65</v>
      </c>
      <c r="P423" s="118">
        <v>44909</v>
      </c>
      <c r="Q423" s="189">
        <v>44929</v>
      </c>
      <c r="R423" s="140">
        <v>1</v>
      </c>
      <c r="S423" s="140">
        <v>1</v>
      </c>
      <c r="T423" s="140">
        <v>1</v>
      </c>
      <c r="U423" s="141">
        <f>IF(ISBLANK(Table1[[#This Row],[OHC Date]]),$B$7-Table1[[#This Row],[HOC Date]]+1,Table1[[#This Row],[OHC Date]]-Table1[[#This Row],[HOC Date]]+1)/7</f>
        <v>3</v>
      </c>
      <c r="V423" s="142">
        <v>32.75</v>
      </c>
      <c r="W423" s="142">
        <v>1.05</v>
      </c>
      <c r="X423" s="142">
        <f>ROUND(0.7*Table1[[#This Row],[E&amp;D Rate per unit]]*R423*Table1[[#This Row],[Quantity]],2)</f>
        <v>83.68</v>
      </c>
      <c r="Y423" s="142">
        <f t="shared" ref="Y423:Y458" si="64">ROUND(O423*U423*W423*S423,2)</f>
        <v>11.5</v>
      </c>
      <c r="Z423" s="142">
        <f>ROUND(0.3*T423*Table1[[#This Row],[E&amp;D Rate per unit]]*Table1[[#This Row],[Quantity]],2)</f>
        <v>35.86</v>
      </c>
      <c r="AA423" s="142">
        <f t="shared" ref="AA423:AA458" si="65">ROUND(X423+Z423+Y423,2)</f>
        <v>131.04</v>
      </c>
      <c r="AB423" s="143">
        <v>90.25</v>
      </c>
      <c r="AC423" s="143">
        <f>Table1[[#This Row],[Total Amount]]-Table1[[#This Row],[Previous Amount]]</f>
        <v>40.789999999999992</v>
      </c>
      <c r="AD423" s="144"/>
    </row>
    <row r="424" spans="1:30" ht="30" customHeight="1" x14ac:dyDescent="0.3">
      <c r="A424" s="92" t="s">
        <v>89</v>
      </c>
      <c r="B424" s="92" t="s">
        <v>97</v>
      </c>
      <c r="C424" s="16" t="s">
        <v>588</v>
      </c>
      <c r="D424" s="136">
        <v>79139</v>
      </c>
      <c r="E424" s="136">
        <v>80587</v>
      </c>
      <c r="F424" s="17" t="s">
        <v>573</v>
      </c>
      <c r="G424" s="17" t="s">
        <v>226</v>
      </c>
      <c r="H424" s="16" t="s">
        <v>220</v>
      </c>
      <c r="I424" s="136">
        <v>1</v>
      </c>
      <c r="J424" s="136">
        <v>2.5</v>
      </c>
      <c r="K424" s="136">
        <v>2.5</v>
      </c>
      <c r="L424" s="136">
        <v>3</v>
      </c>
      <c r="M424" s="136">
        <v>1</v>
      </c>
      <c r="N424" s="93" t="s">
        <v>221</v>
      </c>
      <c r="O424" s="138">
        <f t="shared" si="63"/>
        <v>3</v>
      </c>
      <c r="P424" s="118">
        <v>44909</v>
      </c>
      <c r="Q424" s="139">
        <v>44917</v>
      </c>
      <c r="R424" s="140">
        <v>1</v>
      </c>
      <c r="S424" s="140">
        <v>1</v>
      </c>
      <c r="T424" s="140">
        <v>1</v>
      </c>
      <c r="U424" s="141">
        <f>IF(ISBLANK(Table1[[#This Row],[OHC Date]]),$B$7-Table1[[#This Row],[HOC Date]]+1,Table1[[#This Row],[OHC Date]]-Table1[[#This Row],[HOC Date]]+1)/7</f>
        <v>1.2857142857142858</v>
      </c>
      <c r="V424" s="142">
        <v>63.34</v>
      </c>
      <c r="W424" s="142">
        <v>7.28</v>
      </c>
      <c r="X424" s="142">
        <f>ROUND(0.7*Table1[[#This Row],[E&amp;D Rate per unit]]*R424*Table1[[#This Row],[Quantity]],2)</f>
        <v>133.01</v>
      </c>
      <c r="Y424" s="142">
        <f t="shared" si="64"/>
        <v>28.08</v>
      </c>
      <c r="Z424" s="142">
        <f>ROUND(0.3*T424*Table1[[#This Row],[E&amp;D Rate per unit]]*Table1[[#This Row],[Quantity]],2)</f>
        <v>57.01</v>
      </c>
      <c r="AA424" s="142">
        <f t="shared" si="65"/>
        <v>218.1</v>
      </c>
      <c r="AB424" s="143">
        <v>218.1</v>
      </c>
      <c r="AC424" s="143">
        <f>Table1[[#This Row],[Total Amount]]-Table1[[#This Row],[Previous Amount]]</f>
        <v>0</v>
      </c>
      <c r="AD424" s="144"/>
    </row>
    <row r="425" spans="1:30" ht="30" customHeight="1" x14ac:dyDescent="0.3">
      <c r="A425" s="92" t="s">
        <v>89</v>
      </c>
      <c r="B425" s="92" t="s">
        <v>97</v>
      </c>
      <c r="C425" s="136">
        <v>134</v>
      </c>
      <c r="D425" s="136">
        <v>79140</v>
      </c>
      <c r="E425" s="136"/>
      <c r="F425" s="17" t="s">
        <v>240</v>
      </c>
      <c r="G425" s="17" t="s">
        <v>200</v>
      </c>
      <c r="H425" s="102" t="s">
        <v>205</v>
      </c>
      <c r="I425" s="136">
        <v>1</v>
      </c>
      <c r="J425" s="136">
        <v>3.8</v>
      </c>
      <c r="K425" s="136">
        <v>1.3</v>
      </c>
      <c r="L425" s="136">
        <v>4</v>
      </c>
      <c r="M425" s="136">
        <v>1</v>
      </c>
      <c r="N425" s="138" t="s">
        <v>206</v>
      </c>
      <c r="O425" s="138">
        <f t="shared" si="63"/>
        <v>15.2</v>
      </c>
      <c r="P425" s="118">
        <v>44909</v>
      </c>
      <c r="Q425" s="139"/>
      <c r="R425" s="140">
        <v>1</v>
      </c>
      <c r="S425" s="140">
        <v>1</v>
      </c>
      <c r="T425" s="140">
        <v>0</v>
      </c>
      <c r="U425" s="141">
        <f>IF(ISBLANK(Table1[[#This Row],[OHC Date]]),$B$7-Table1[[#This Row],[HOC Date]]+1,Table1[[#This Row],[OHC Date]]-Table1[[#This Row],[HOC Date]]+1)/7</f>
        <v>6.1428571428571432</v>
      </c>
      <c r="V425" s="142">
        <v>12.01</v>
      </c>
      <c r="W425" s="142">
        <v>0.49</v>
      </c>
      <c r="X425" s="142">
        <f>ROUND(0.7*Table1[[#This Row],[E&amp;D Rate per unit]]*R425*Table1[[#This Row],[Quantity]],2)</f>
        <v>127.79</v>
      </c>
      <c r="Y425" s="142">
        <f t="shared" si="64"/>
        <v>45.75</v>
      </c>
      <c r="Z425" s="142">
        <f>ROUND(0.3*T425*Table1[[#This Row],[E&amp;D Rate per unit]]*Table1[[#This Row],[Quantity]],2)</f>
        <v>0</v>
      </c>
      <c r="AA425" s="142">
        <f t="shared" si="65"/>
        <v>173.54</v>
      </c>
      <c r="AB425" s="143">
        <v>140.56</v>
      </c>
      <c r="AC425" s="143">
        <f>Table1[[#This Row],[Total Amount]]-Table1[[#This Row],[Previous Amount]]</f>
        <v>32.97999999999999</v>
      </c>
      <c r="AD425" s="144"/>
    </row>
    <row r="426" spans="1:30" ht="30" customHeight="1" x14ac:dyDescent="0.3">
      <c r="A426" s="92" t="s">
        <v>89</v>
      </c>
      <c r="B426" s="92" t="s">
        <v>97</v>
      </c>
      <c r="C426" s="136">
        <v>134</v>
      </c>
      <c r="D426" s="136">
        <v>79140</v>
      </c>
      <c r="E426" s="136"/>
      <c r="F426" s="17" t="s">
        <v>240</v>
      </c>
      <c r="G426" s="17" t="s">
        <v>200</v>
      </c>
      <c r="H426" s="136" t="s">
        <v>176</v>
      </c>
      <c r="I426" s="136">
        <v>1</v>
      </c>
      <c r="J426" s="136">
        <v>3.8</v>
      </c>
      <c r="K426" s="136">
        <v>1.3</v>
      </c>
      <c r="L426" s="136">
        <v>1</v>
      </c>
      <c r="M426" s="136">
        <v>1</v>
      </c>
      <c r="N426" s="138" t="s">
        <v>160</v>
      </c>
      <c r="O426" s="138">
        <f t="shared" si="63"/>
        <v>4.9400000000000004</v>
      </c>
      <c r="P426" s="118">
        <v>44909</v>
      </c>
      <c r="Q426" s="139"/>
      <c r="R426" s="140">
        <v>1</v>
      </c>
      <c r="S426" s="140">
        <v>1</v>
      </c>
      <c r="T426" s="140">
        <v>0</v>
      </c>
      <c r="U426" s="141">
        <f>IF(ISBLANK(Table1[[#This Row],[OHC Date]]),$B$7-Table1[[#This Row],[HOC Date]]+1,Table1[[#This Row],[OHC Date]]-Table1[[#This Row],[HOC Date]]+1)/7</f>
        <v>6.1428571428571432</v>
      </c>
      <c r="V426" s="142">
        <v>6.63</v>
      </c>
      <c r="W426" s="142">
        <v>0.7</v>
      </c>
      <c r="X426" s="142">
        <f>ROUND(0.7*Table1[[#This Row],[E&amp;D Rate per unit]]*R426*Table1[[#This Row],[Quantity]],2)</f>
        <v>22.93</v>
      </c>
      <c r="Y426" s="142">
        <f t="shared" si="64"/>
        <v>21.24</v>
      </c>
      <c r="Z426" s="142">
        <f>ROUND(0.3*T426*Table1[[#This Row],[E&amp;D Rate per unit]]*Table1[[#This Row],[Quantity]],2)</f>
        <v>0</v>
      </c>
      <c r="AA426" s="142">
        <f t="shared" si="65"/>
        <v>44.17</v>
      </c>
      <c r="AB426" s="143">
        <v>28.86</v>
      </c>
      <c r="AC426" s="143">
        <f>Table1[[#This Row],[Total Amount]]-Table1[[#This Row],[Previous Amount]]</f>
        <v>15.310000000000002</v>
      </c>
      <c r="AD426" s="144"/>
    </row>
    <row r="427" spans="1:30" ht="30" customHeight="1" x14ac:dyDescent="0.3">
      <c r="A427" s="92" t="s">
        <v>89</v>
      </c>
      <c r="B427" s="92" t="s">
        <v>97</v>
      </c>
      <c r="C427" s="136">
        <v>135</v>
      </c>
      <c r="D427" s="136">
        <v>79141</v>
      </c>
      <c r="E427" s="136"/>
      <c r="F427" s="17" t="s">
        <v>240</v>
      </c>
      <c r="G427" s="17" t="s">
        <v>200</v>
      </c>
      <c r="H427" s="102" t="s">
        <v>205</v>
      </c>
      <c r="I427" s="136">
        <v>1</v>
      </c>
      <c r="J427" s="136">
        <v>11.8</v>
      </c>
      <c r="K427" s="136">
        <v>1.3</v>
      </c>
      <c r="L427" s="136">
        <v>4</v>
      </c>
      <c r="M427" s="136">
        <v>1</v>
      </c>
      <c r="N427" s="138" t="s">
        <v>206</v>
      </c>
      <c r="O427" s="138">
        <f t="shared" si="63"/>
        <v>47.2</v>
      </c>
      <c r="P427" s="118">
        <v>44909</v>
      </c>
      <c r="Q427" s="139"/>
      <c r="R427" s="140">
        <v>1</v>
      </c>
      <c r="S427" s="140">
        <v>1</v>
      </c>
      <c r="T427" s="140">
        <v>0</v>
      </c>
      <c r="U427" s="141">
        <f>IF(ISBLANK(Table1[[#This Row],[OHC Date]]),$B$7-Table1[[#This Row],[HOC Date]]+1,Table1[[#This Row],[OHC Date]]-Table1[[#This Row],[HOC Date]]+1)/7</f>
        <v>6.1428571428571432</v>
      </c>
      <c r="V427" s="142">
        <v>12.01</v>
      </c>
      <c r="W427" s="142">
        <v>0.49</v>
      </c>
      <c r="X427" s="142">
        <f>ROUND(0.7*Table1[[#This Row],[E&amp;D Rate per unit]]*R427*Table1[[#This Row],[Quantity]],2)</f>
        <v>396.81</v>
      </c>
      <c r="Y427" s="142">
        <f t="shared" si="64"/>
        <v>142.07</v>
      </c>
      <c r="Z427" s="142">
        <f>ROUND(0.3*T427*Table1[[#This Row],[E&amp;D Rate per unit]]*Table1[[#This Row],[Quantity]],2)</f>
        <v>0</v>
      </c>
      <c r="AA427" s="142">
        <f t="shared" si="65"/>
        <v>538.88</v>
      </c>
      <c r="AB427" s="143">
        <v>436.46</v>
      </c>
      <c r="AC427" s="143">
        <f>Table1[[#This Row],[Total Amount]]-Table1[[#This Row],[Previous Amount]]</f>
        <v>102.42000000000002</v>
      </c>
      <c r="AD427" s="144"/>
    </row>
    <row r="428" spans="1:30" ht="30" customHeight="1" x14ac:dyDescent="0.3">
      <c r="A428" s="92" t="s">
        <v>89</v>
      </c>
      <c r="B428" s="92" t="s">
        <v>97</v>
      </c>
      <c r="C428" s="136">
        <v>135</v>
      </c>
      <c r="D428" s="136">
        <v>79141</v>
      </c>
      <c r="E428" s="136"/>
      <c r="F428" s="17" t="s">
        <v>240</v>
      </c>
      <c r="G428" s="17" t="s">
        <v>200</v>
      </c>
      <c r="H428" s="16" t="s">
        <v>176</v>
      </c>
      <c r="I428" s="136">
        <v>1</v>
      </c>
      <c r="J428" s="136">
        <v>11.8</v>
      </c>
      <c r="K428" s="136">
        <v>1.3</v>
      </c>
      <c r="L428" s="136">
        <v>1</v>
      </c>
      <c r="M428" s="136">
        <v>1</v>
      </c>
      <c r="N428" s="138" t="s">
        <v>160</v>
      </c>
      <c r="O428" s="138">
        <f t="shared" si="63"/>
        <v>15.34</v>
      </c>
      <c r="P428" s="118">
        <v>44909</v>
      </c>
      <c r="Q428" s="139"/>
      <c r="R428" s="140">
        <v>1</v>
      </c>
      <c r="S428" s="140">
        <v>1</v>
      </c>
      <c r="T428" s="140">
        <v>0</v>
      </c>
      <c r="U428" s="141">
        <f>IF(ISBLANK(Table1[[#This Row],[OHC Date]]),$B$7-Table1[[#This Row],[HOC Date]]+1,Table1[[#This Row],[OHC Date]]-Table1[[#This Row],[HOC Date]]+1)/7</f>
        <v>6.1428571428571432</v>
      </c>
      <c r="V428" s="142">
        <v>6.63</v>
      </c>
      <c r="W428" s="142">
        <v>0.7</v>
      </c>
      <c r="X428" s="142">
        <f>ROUND(0.7*Table1[[#This Row],[E&amp;D Rate per unit]]*R428*Table1[[#This Row],[Quantity]],2)</f>
        <v>71.19</v>
      </c>
      <c r="Y428" s="142">
        <f t="shared" si="64"/>
        <v>65.959999999999994</v>
      </c>
      <c r="Z428" s="142">
        <f>ROUND(0.3*T428*Table1[[#This Row],[E&amp;D Rate per unit]]*Table1[[#This Row],[Quantity]],2)</f>
        <v>0</v>
      </c>
      <c r="AA428" s="142">
        <f t="shared" si="65"/>
        <v>137.15</v>
      </c>
      <c r="AB428" s="143">
        <v>89.6</v>
      </c>
      <c r="AC428" s="143">
        <f>Table1[[#This Row],[Total Amount]]-Table1[[#This Row],[Previous Amount]]</f>
        <v>47.550000000000011</v>
      </c>
      <c r="AD428" s="144"/>
    </row>
    <row r="429" spans="1:30" ht="30" customHeight="1" x14ac:dyDescent="0.3">
      <c r="A429" s="145" t="s">
        <v>550</v>
      </c>
      <c r="B429" s="92" t="s">
        <v>97</v>
      </c>
      <c r="C429" s="16" t="s">
        <v>589</v>
      </c>
      <c r="D429" s="136">
        <v>79144</v>
      </c>
      <c r="E429" s="136">
        <v>80589</v>
      </c>
      <c r="F429" s="17" t="s">
        <v>552</v>
      </c>
      <c r="G429" s="17" t="s">
        <v>535</v>
      </c>
      <c r="H429" s="151" t="s">
        <v>590</v>
      </c>
      <c r="I429" s="136">
        <v>1</v>
      </c>
      <c r="J429" s="136">
        <v>4.3</v>
      </c>
      <c r="K429" s="136">
        <v>1</v>
      </c>
      <c r="L429" s="136">
        <v>1</v>
      </c>
      <c r="M429" s="136">
        <v>1</v>
      </c>
      <c r="N429" s="138" t="s">
        <v>56</v>
      </c>
      <c r="O429" s="138">
        <f t="shared" si="63"/>
        <v>1</v>
      </c>
      <c r="P429" s="118">
        <v>44910</v>
      </c>
      <c r="Q429" s="139">
        <v>44917</v>
      </c>
      <c r="R429" s="140">
        <v>1</v>
      </c>
      <c r="S429" s="140">
        <v>1</v>
      </c>
      <c r="T429" s="140">
        <v>1</v>
      </c>
      <c r="U429" s="141">
        <f>IF(ISBLANK(Table1[[#This Row],[OHC Date]]),$B$7-Table1[[#This Row],[HOC Date]]+1,Table1[[#This Row],[OHC Date]]-Table1[[#This Row],[HOC Date]]+1)/7</f>
        <v>1.1428571428571428</v>
      </c>
      <c r="V429" s="142">
        <v>1772.5845217391307</v>
      </c>
      <c r="W429" s="142">
        <v>52.192000000000007</v>
      </c>
      <c r="X429" s="142">
        <f>ROUND(0.7*Table1[[#This Row],[E&amp;D Rate per unit]]*R429*Table1[[#This Row],[Quantity]],2)</f>
        <v>1240.81</v>
      </c>
      <c r="Y429" s="142">
        <f t="shared" si="64"/>
        <v>59.65</v>
      </c>
      <c r="Z429" s="142">
        <f>ROUND(0.3*T429*Table1[[#This Row],[E&amp;D Rate per unit]]*Table1[[#This Row],[Quantity]],2)</f>
        <v>531.78</v>
      </c>
      <c r="AA429" s="142">
        <f t="shared" si="65"/>
        <v>1832.24</v>
      </c>
      <c r="AB429" s="143">
        <v>1601.3695652173915</v>
      </c>
      <c r="AC429" s="143">
        <f>Table1[[#This Row],[Total Amount]]-Table1[[#This Row],[Previous Amount]]</f>
        <v>230.87043478260853</v>
      </c>
      <c r="AD429" s="132" t="s">
        <v>557</v>
      </c>
    </row>
    <row r="430" spans="1:30" ht="30" customHeight="1" x14ac:dyDescent="0.3">
      <c r="A430" s="92" t="s">
        <v>89</v>
      </c>
      <c r="B430" s="92" t="s">
        <v>97</v>
      </c>
      <c r="C430" s="16" t="s">
        <v>591</v>
      </c>
      <c r="D430" s="136">
        <v>79147</v>
      </c>
      <c r="E430" s="136"/>
      <c r="F430" s="17" t="s">
        <v>592</v>
      </c>
      <c r="G430" s="17" t="s">
        <v>200</v>
      </c>
      <c r="H430" s="16" t="s">
        <v>176</v>
      </c>
      <c r="I430" s="136">
        <v>1</v>
      </c>
      <c r="J430" s="136">
        <v>4</v>
      </c>
      <c r="K430" s="136">
        <v>1</v>
      </c>
      <c r="L430" s="136">
        <v>1</v>
      </c>
      <c r="M430" s="136">
        <v>1</v>
      </c>
      <c r="N430" s="138" t="s">
        <v>160</v>
      </c>
      <c r="O430" s="138">
        <f t="shared" si="63"/>
        <v>4</v>
      </c>
      <c r="P430" s="118">
        <v>44910</v>
      </c>
      <c r="Q430" s="139"/>
      <c r="R430" s="140">
        <v>1</v>
      </c>
      <c r="S430" s="140">
        <v>1</v>
      </c>
      <c r="T430" s="140">
        <v>0</v>
      </c>
      <c r="U430" s="141">
        <f>IF(ISBLANK(Table1[[#This Row],[OHC Date]]),$B$7-Table1[[#This Row],[HOC Date]]+1,Table1[[#This Row],[OHC Date]]-Table1[[#This Row],[HOC Date]]+1)/7</f>
        <v>6</v>
      </c>
      <c r="V430" s="142">
        <v>6.63</v>
      </c>
      <c r="W430" s="142">
        <v>0.7</v>
      </c>
      <c r="X430" s="142">
        <f>ROUND(0.7*Table1[[#This Row],[E&amp;D Rate per unit]]*R430*Table1[[#This Row],[Quantity]],2)</f>
        <v>18.559999999999999</v>
      </c>
      <c r="Y430" s="142">
        <f t="shared" si="64"/>
        <v>16.8</v>
      </c>
      <c r="Z430" s="142">
        <f>ROUND(0.3*T430*Table1[[#This Row],[E&amp;D Rate per unit]]*Table1[[#This Row],[Quantity]],2)</f>
        <v>0</v>
      </c>
      <c r="AA430" s="142">
        <f t="shared" si="65"/>
        <v>35.36</v>
      </c>
      <c r="AB430" s="143">
        <v>22.96</v>
      </c>
      <c r="AC430" s="143">
        <f>Table1[[#This Row],[Total Amount]]-Table1[[#This Row],[Previous Amount]]</f>
        <v>12.399999999999999</v>
      </c>
      <c r="AD430" s="144"/>
    </row>
    <row r="431" spans="1:30" ht="30" customHeight="1" x14ac:dyDescent="0.3">
      <c r="A431" s="92" t="s">
        <v>89</v>
      </c>
      <c r="B431" s="92" t="s">
        <v>97</v>
      </c>
      <c r="C431" s="16" t="s">
        <v>593</v>
      </c>
      <c r="D431" s="136">
        <v>79148</v>
      </c>
      <c r="E431" s="136"/>
      <c r="F431" s="17" t="s">
        <v>592</v>
      </c>
      <c r="G431" s="17" t="s">
        <v>200</v>
      </c>
      <c r="H431" s="16" t="s">
        <v>176</v>
      </c>
      <c r="I431" s="136">
        <v>1</v>
      </c>
      <c r="J431" s="136">
        <v>4</v>
      </c>
      <c r="K431" s="136">
        <v>1</v>
      </c>
      <c r="L431" s="136">
        <v>1</v>
      </c>
      <c r="M431" s="136">
        <v>1</v>
      </c>
      <c r="N431" s="138" t="s">
        <v>160</v>
      </c>
      <c r="O431" s="138">
        <f t="shared" si="63"/>
        <v>4</v>
      </c>
      <c r="P431" s="118">
        <v>44910</v>
      </c>
      <c r="Q431" s="139"/>
      <c r="R431" s="140">
        <v>1</v>
      </c>
      <c r="S431" s="140">
        <v>1</v>
      </c>
      <c r="T431" s="140">
        <v>0</v>
      </c>
      <c r="U431" s="141">
        <f>IF(ISBLANK(Table1[[#This Row],[OHC Date]]),$B$7-Table1[[#This Row],[HOC Date]]+1,Table1[[#This Row],[OHC Date]]-Table1[[#This Row],[HOC Date]]+1)/7</f>
        <v>6</v>
      </c>
      <c r="V431" s="142">
        <v>6.63</v>
      </c>
      <c r="W431" s="142">
        <v>0.7</v>
      </c>
      <c r="X431" s="142">
        <f>ROUND(0.7*Table1[[#This Row],[E&amp;D Rate per unit]]*R431*Table1[[#This Row],[Quantity]],2)</f>
        <v>18.559999999999999</v>
      </c>
      <c r="Y431" s="142">
        <f t="shared" si="64"/>
        <v>16.8</v>
      </c>
      <c r="Z431" s="142">
        <f>ROUND(0.3*T431*Table1[[#This Row],[E&amp;D Rate per unit]]*Table1[[#This Row],[Quantity]],2)</f>
        <v>0</v>
      </c>
      <c r="AA431" s="142">
        <f t="shared" si="65"/>
        <v>35.36</v>
      </c>
      <c r="AB431" s="143">
        <v>22.96</v>
      </c>
      <c r="AC431" s="143">
        <f>Table1[[#This Row],[Total Amount]]-Table1[[#This Row],[Previous Amount]]</f>
        <v>12.399999999999999</v>
      </c>
      <c r="AD431" s="144"/>
    </row>
    <row r="432" spans="1:30" ht="30" customHeight="1" x14ac:dyDescent="0.3">
      <c r="A432" s="92" t="s">
        <v>89</v>
      </c>
      <c r="B432" s="92" t="s">
        <v>97</v>
      </c>
      <c r="C432" s="16">
        <v>137</v>
      </c>
      <c r="D432" s="136">
        <v>79149</v>
      </c>
      <c r="E432" s="196">
        <v>80854</v>
      </c>
      <c r="F432" s="17" t="s">
        <v>594</v>
      </c>
      <c r="G432" s="17" t="s">
        <v>200</v>
      </c>
      <c r="H432" s="102" t="s">
        <v>205</v>
      </c>
      <c r="I432" s="136">
        <v>1</v>
      </c>
      <c r="J432" s="136">
        <v>3.5</v>
      </c>
      <c r="K432" s="136">
        <v>1.3</v>
      </c>
      <c r="L432" s="136">
        <v>1</v>
      </c>
      <c r="M432" s="136">
        <v>1</v>
      </c>
      <c r="N432" s="138" t="s">
        <v>206</v>
      </c>
      <c r="O432" s="138">
        <f t="shared" si="63"/>
        <v>3.5</v>
      </c>
      <c r="P432" s="118">
        <v>44910</v>
      </c>
      <c r="Q432" s="189">
        <v>44929</v>
      </c>
      <c r="R432" s="140">
        <v>1</v>
      </c>
      <c r="S432" s="140">
        <v>1</v>
      </c>
      <c r="T432" s="140">
        <v>1</v>
      </c>
      <c r="U432" s="141">
        <f>IF(ISBLANK(Table1[[#This Row],[OHC Date]]),$B$7-Table1[[#This Row],[HOC Date]]+1,Table1[[#This Row],[OHC Date]]-Table1[[#This Row],[HOC Date]]+1)/7</f>
        <v>2.8571428571428572</v>
      </c>
      <c r="V432" s="142">
        <v>12.01</v>
      </c>
      <c r="W432" s="142">
        <v>0.49</v>
      </c>
      <c r="X432" s="142">
        <f>ROUND(0.7*Table1[[#This Row],[E&amp;D Rate per unit]]*R432*Table1[[#This Row],[Quantity]],2)</f>
        <v>29.42</v>
      </c>
      <c r="Y432" s="142">
        <f t="shared" si="64"/>
        <v>4.9000000000000004</v>
      </c>
      <c r="Z432" s="142">
        <f>ROUND(0.3*T432*Table1[[#This Row],[E&amp;D Rate per unit]]*Table1[[#This Row],[Quantity]],2)</f>
        <v>12.61</v>
      </c>
      <c r="AA432" s="142">
        <f t="shared" si="65"/>
        <v>46.93</v>
      </c>
      <c r="AB432" s="143">
        <v>32.119999999999997</v>
      </c>
      <c r="AC432" s="143">
        <f>Table1[[#This Row],[Total Amount]]-Table1[[#This Row],[Previous Amount]]</f>
        <v>14.810000000000002</v>
      </c>
      <c r="AD432" s="144"/>
    </row>
    <row r="433" spans="1:30" ht="30" customHeight="1" x14ac:dyDescent="0.3">
      <c r="A433" s="92" t="s">
        <v>89</v>
      </c>
      <c r="B433" s="92" t="s">
        <v>97</v>
      </c>
      <c r="C433" s="16">
        <v>138</v>
      </c>
      <c r="D433" s="136">
        <v>79150</v>
      </c>
      <c r="E433" s="136"/>
      <c r="F433" s="17" t="s">
        <v>595</v>
      </c>
      <c r="G433" s="17" t="s">
        <v>200</v>
      </c>
      <c r="H433" s="16" t="s">
        <v>308</v>
      </c>
      <c r="I433" s="136">
        <v>1</v>
      </c>
      <c r="J433" s="136">
        <v>37.5</v>
      </c>
      <c r="K433" s="136"/>
      <c r="L433" s="136">
        <v>1</v>
      </c>
      <c r="M433" s="136"/>
      <c r="N433" s="138" t="s">
        <v>283</v>
      </c>
      <c r="O433" s="138">
        <f t="shared" si="63"/>
        <v>37.5</v>
      </c>
      <c r="P433" s="118">
        <v>44910</v>
      </c>
      <c r="Q433" s="139"/>
      <c r="R433" s="140">
        <v>1</v>
      </c>
      <c r="S433" s="140">
        <v>1</v>
      </c>
      <c r="T433" s="140">
        <v>0</v>
      </c>
      <c r="U433" s="141">
        <f>IF(ISBLANK(Table1[[#This Row],[OHC Date]]),$B$7-Table1[[#This Row],[HOC Date]]+1,Table1[[#This Row],[OHC Date]]-Table1[[#This Row],[HOC Date]]+1)/7</f>
        <v>6</v>
      </c>
      <c r="V433" s="142">
        <v>15</v>
      </c>
      <c r="W433" s="142">
        <v>0.91</v>
      </c>
      <c r="X433" s="142">
        <f>ROUND(0.7*Table1[[#This Row],[E&amp;D Rate per unit]]*R433*Table1[[#This Row],[Quantity]],2)</f>
        <v>393.75</v>
      </c>
      <c r="Y433" s="142">
        <f t="shared" si="64"/>
        <v>204.75</v>
      </c>
      <c r="Z433" s="142">
        <f>ROUND(0.3*T433*Table1[[#This Row],[E&amp;D Rate per unit]]*Table1[[#This Row],[Quantity]],2)</f>
        <v>0</v>
      </c>
      <c r="AA433" s="142">
        <f t="shared" si="65"/>
        <v>598.5</v>
      </c>
      <c r="AB433" s="143">
        <v>447.38</v>
      </c>
      <c r="AC433" s="143">
        <f>Table1[[#This Row],[Total Amount]]-Table1[[#This Row],[Previous Amount]]</f>
        <v>151.12</v>
      </c>
      <c r="AD433" s="144"/>
    </row>
    <row r="434" spans="1:30" ht="30" customHeight="1" x14ac:dyDescent="0.3">
      <c r="A434" s="92" t="s">
        <v>89</v>
      </c>
      <c r="B434" s="92" t="s">
        <v>97</v>
      </c>
      <c r="C434" s="151">
        <v>136</v>
      </c>
      <c r="D434" s="136">
        <v>79152</v>
      </c>
      <c r="E434" s="136"/>
      <c r="F434" s="17" t="s">
        <v>580</v>
      </c>
      <c r="G434" s="17" t="s">
        <v>223</v>
      </c>
      <c r="H434" s="102" t="s">
        <v>118</v>
      </c>
      <c r="I434" s="136">
        <v>1</v>
      </c>
      <c r="J434" s="136">
        <v>10.8</v>
      </c>
      <c r="K434" s="136">
        <v>2.5</v>
      </c>
      <c r="L434" s="136">
        <v>2.5</v>
      </c>
      <c r="M434" s="136">
        <v>1</v>
      </c>
      <c r="N434" s="138" t="s">
        <v>206</v>
      </c>
      <c r="O434" s="138">
        <f t="shared" si="63"/>
        <v>27</v>
      </c>
      <c r="P434" s="118">
        <v>44909</v>
      </c>
      <c r="Q434" s="139"/>
      <c r="R434" s="140">
        <v>1</v>
      </c>
      <c r="S434" s="140">
        <v>1</v>
      </c>
      <c r="T434" s="140">
        <v>0</v>
      </c>
      <c r="U434" s="141">
        <f>IF(ISBLANK(Table1[[#This Row],[OHC Date]]),$B$7-Table1[[#This Row],[HOC Date]]+1,Table1[[#This Row],[OHC Date]]-Table1[[#This Row],[HOC Date]]+1)/7</f>
        <v>6.1428571428571432</v>
      </c>
      <c r="V434" s="142">
        <v>16.760000000000002</v>
      </c>
      <c r="W434" s="142">
        <v>0.77</v>
      </c>
      <c r="X434" s="142">
        <f>ROUND(0.7*Table1[[#This Row],[E&amp;D Rate per unit]]*R434*Table1[[#This Row],[Quantity]],2)</f>
        <v>316.76</v>
      </c>
      <c r="Y434" s="142">
        <f t="shared" si="64"/>
        <v>127.71</v>
      </c>
      <c r="Z434" s="142">
        <f>ROUND(0.3*T434*Table1[[#This Row],[E&amp;D Rate per unit]]*Table1[[#This Row],[Quantity]],2)</f>
        <v>0</v>
      </c>
      <c r="AA434" s="142">
        <f t="shared" si="65"/>
        <v>444.47</v>
      </c>
      <c r="AB434" s="143">
        <v>352.4</v>
      </c>
      <c r="AC434" s="143">
        <f>Table1[[#This Row],[Total Amount]]-Table1[[#This Row],[Previous Amount]]</f>
        <v>92.07000000000005</v>
      </c>
      <c r="AD434" s="144"/>
    </row>
    <row r="435" spans="1:30" ht="30" customHeight="1" x14ac:dyDescent="0.3">
      <c r="A435" s="92" t="s">
        <v>89</v>
      </c>
      <c r="B435" s="92" t="s">
        <v>97</v>
      </c>
      <c r="C435" s="151" t="s">
        <v>624</v>
      </c>
      <c r="D435" s="136">
        <v>79152</v>
      </c>
      <c r="E435" s="136"/>
      <c r="F435" s="17" t="s">
        <v>580</v>
      </c>
      <c r="G435" s="17" t="s">
        <v>223</v>
      </c>
      <c r="H435" s="151" t="s">
        <v>123</v>
      </c>
      <c r="I435" s="136">
        <v>1</v>
      </c>
      <c r="J435" s="136">
        <v>4.3</v>
      </c>
      <c r="K435" s="136">
        <v>1.8</v>
      </c>
      <c r="L435" s="136">
        <v>7</v>
      </c>
      <c r="M435" s="136"/>
      <c r="N435" s="138" t="s">
        <v>224</v>
      </c>
      <c r="O435" s="138">
        <f t="shared" si="63"/>
        <v>54.18</v>
      </c>
      <c r="P435" s="118">
        <v>44909</v>
      </c>
      <c r="Q435" s="139"/>
      <c r="R435" s="140">
        <v>1</v>
      </c>
      <c r="S435" s="140">
        <v>1</v>
      </c>
      <c r="T435" s="140">
        <v>0</v>
      </c>
      <c r="U435" s="141">
        <f>IF(ISBLANK(Table1[[#This Row],[OHC Date]]),$B$7-Table1[[#This Row],[HOC Date]]+1,Table1[[#This Row],[OHC Date]]-Table1[[#This Row],[HOC Date]]+1)/7</f>
        <v>6.1428571428571432</v>
      </c>
      <c r="V435" s="142">
        <v>5.29</v>
      </c>
      <c r="W435" s="142">
        <v>0.35</v>
      </c>
      <c r="X435" s="142">
        <f>ROUND(0.7*Table1[[#This Row],[E&amp;D Rate per unit]]*R435*Table1[[#This Row],[Quantity]],2)</f>
        <v>200.63</v>
      </c>
      <c r="Y435" s="142">
        <f t="shared" si="64"/>
        <v>116.49</v>
      </c>
      <c r="Z435" s="142">
        <f>ROUND(0.3*T435*Table1[[#This Row],[E&amp;D Rate per unit]]*Table1[[#This Row],[Quantity]],2)</f>
        <v>0</v>
      </c>
      <c r="AA435" s="142">
        <f t="shared" si="65"/>
        <v>317.12</v>
      </c>
      <c r="AB435" s="143">
        <v>233.14</v>
      </c>
      <c r="AC435" s="143">
        <f>Table1[[#This Row],[Total Amount]]-Table1[[#This Row],[Previous Amount]]</f>
        <v>83.980000000000018</v>
      </c>
      <c r="AD435" s="144"/>
    </row>
    <row r="436" spans="1:30" ht="30" customHeight="1" x14ac:dyDescent="0.3">
      <c r="A436" s="92" t="s">
        <v>89</v>
      </c>
      <c r="B436" s="92" t="s">
        <v>97</v>
      </c>
      <c r="C436" s="151" t="s">
        <v>625</v>
      </c>
      <c r="D436" s="136">
        <v>79162</v>
      </c>
      <c r="E436" s="136"/>
      <c r="F436" s="17" t="s">
        <v>580</v>
      </c>
      <c r="G436" s="17" t="s">
        <v>626</v>
      </c>
      <c r="H436" s="102" t="s">
        <v>118</v>
      </c>
      <c r="I436" s="136">
        <v>1</v>
      </c>
      <c r="J436" s="136">
        <v>3.8</v>
      </c>
      <c r="K436" s="136">
        <v>2.5</v>
      </c>
      <c r="L436" s="136">
        <v>4</v>
      </c>
      <c r="M436" s="136">
        <v>1</v>
      </c>
      <c r="N436" s="138" t="s">
        <v>206</v>
      </c>
      <c r="O436" s="138">
        <f t="shared" si="63"/>
        <v>15.2</v>
      </c>
      <c r="P436" s="118">
        <v>44909</v>
      </c>
      <c r="Q436" s="139"/>
      <c r="R436" s="140">
        <v>1</v>
      </c>
      <c r="S436" s="140">
        <v>1</v>
      </c>
      <c r="T436" s="140">
        <v>0</v>
      </c>
      <c r="U436" s="141">
        <f>IF(ISBLANK(Table1[[#This Row],[OHC Date]]),$B$7-Table1[[#This Row],[HOC Date]]+1,Table1[[#This Row],[OHC Date]]-Table1[[#This Row],[HOC Date]]+1)/7</f>
        <v>6.1428571428571432</v>
      </c>
      <c r="V436" s="142">
        <v>16.760000000000002</v>
      </c>
      <c r="W436" s="142">
        <v>0.77</v>
      </c>
      <c r="X436" s="142">
        <f>ROUND(0.7*Table1[[#This Row],[E&amp;D Rate per unit]]*R436*Table1[[#This Row],[Quantity]],2)</f>
        <v>178.33</v>
      </c>
      <c r="Y436" s="142">
        <f t="shared" si="64"/>
        <v>71.900000000000006</v>
      </c>
      <c r="Z436" s="142">
        <f>ROUND(0.3*T436*Table1[[#This Row],[E&amp;D Rate per unit]]*Table1[[#This Row],[Quantity]],2)</f>
        <v>0</v>
      </c>
      <c r="AA436" s="142">
        <f t="shared" si="65"/>
        <v>250.23</v>
      </c>
      <c r="AB436" s="143">
        <v>198.39</v>
      </c>
      <c r="AC436" s="143">
        <f>Table1[[#This Row],[Total Amount]]-Table1[[#This Row],[Previous Amount]]</f>
        <v>51.84</v>
      </c>
      <c r="AD436" s="144"/>
    </row>
    <row r="437" spans="1:30" ht="30" customHeight="1" x14ac:dyDescent="0.3">
      <c r="A437" s="92" t="s">
        <v>89</v>
      </c>
      <c r="B437" s="92" t="s">
        <v>97</v>
      </c>
      <c r="C437" s="16" t="s">
        <v>627</v>
      </c>
      <c r="D437" s="136">
        <v>79162</v>
      </c>
      <c r="E437" s="136"/>
      <c r="F437" s="17" t="s">
        <v>580</v>
      </c>
      <c r="G437" s="17" t="s">
        <v>626</v>
      </c>
      <c r="H437" s="102" t="s">
        <v>118</v>
      </c>
      <c r="I437" s="136">
        <v>1</v>
      </c>
      <c r="J437" s="136">
        <v>3.6</v>
      </c>
      <c r="K437" s="136">
        <v>2.5</v>
      </c>
      <c r="L437" s="136">
        <v>5</v>
      </c>
      <c r="M437" s="136">
        <v>1</v>
      </c>
      <c r="N437" s="138" t="s">
        <v>206</v>
      </c>
      <c r="O437" s="138">
        <f t="shared" si="63"/>
        <v>18</v>
      </c>
      <c r="P437" s="118">
        <v>44909</v>
      </c>
      <c r="Q437" s="139"/>
      <c r="R437" s="140">
        <v>1</v>
      </c>
      <c r="S437" s="140">
        <v>1</v>
      </c>
      <c r="T437" s="140">
        <v>0</v>
      </c>
      <c r="U437" s="141">
        <f>IF(ISBLANK(Table1[[#This Row],[OHC Date]]),$B$7-Table1[[#This Row],[HOC Date]]+1,Table1[[#This Row],[OHC Date]]-Table1[[#This Row],[HOC Date]]+1)/7</f>
        <v>6.1428571428571432</v>
      </c>
      <c r="V437" s="142">
        <v>16.760000000000002</v>
      </c>
      <c r="W437" s="142">
        <v>0.77</v>
      </c>
      <c r="X437" s="142">
        <f>ROUND(0.7*Table1[[#This Row],[E&amp;D Rate per unit]]*R437*Table1[[#This Row],[Quantity]],2)</f>
        <v>211.18</v>
      </c>
      <c r="Y437" s="142">
        <f t="shared" si="64"/>
        <v>85.14</v>
      </c>
      <c r="Z437" s="142">
        <f>ROUND(0.3*T437*Table1[[#This Row],[E&amp;D Rate per unit]]*Table1[[#This Row],[Quantity]],2)</f>
        <v>0</v>
      </c>
      <c r="AA437" s="142">
        <f t="shared" si="65"/>
        <v>296.32</v>
      </c>
      <c r="AB437" s="143">
        <v>234.94</v>
      </c>
      <c r="AC437" s="143">
        <f>Table1[[#This Row],[Total Amount]]-Table1[[#This Row],[Previous Amount]]</f>
        <v>61.379999999999995</v>
      </c>
      <c r="AD437" s="144"/>
    </row>
    <row r="438" spans="1:30" ht="30" customHeight="1" x14ac:dyDescent="0.3">
      <c r="A438" s="92" t="s">
        <v>89</v>
      </c>
      <c r="B438" s="92" t="s">
        <v>97</v>
      </c>
      <c r="C438" s="16" t="s">
        <v>596</v>
      </c>
      <c r="D438" s="136">
        <v>79154</v>
      </c>
      <c r="E438" s="136">
        <v>80588</v>
      </c>
      <c r="F438" s="17" t="s">
        <v>573</v>
      </c>
      <c r="G438" s="17" t="s">
        <v>226</v>
      </c>
      <c r="H438" s="102" t="s">
        <v>205</v>
      </c>
      <c r="I438" s="136">
        <v>1</v>
      </c>
      <c r="J438" s="136">
        <v>4.3</v>
      </c>
      <c r="K438" s="136">
        <v>1</v>
      </c>
      <c r="L438" s="136">
        <v>1.5</v>
      </c>
      <c r="M438" s="136">
        <v>1</v>
      </c>
      <c r="N438" s="138" t="s">
        <v>206</v>
      </c>
      <c r="O438" s="138">
        <f t="shared" si="63"/>
        <v>6.45</v>
      </c>
      <c r="P438" s="118">
        <v>44910</v>
      </c>
      <c r="Q438" s="139">
        <v>44917</v>
      </c>
      <c r="R438" s="140">
        <v>1</v>
      </c>
      <c r="S438" s="140">
        <v>1</v>
      </c>
      <c r="T438" s="140">
        <v>1</v>
      </c>
      <c r="U438" s="141">
        <f>IF(ISBLANK(Table1[[#This Row],[OHC Date]]),$B$7-Table1[[#This Row],[HOC Date]]+1,Table1[[#This Row],[OHC Date]]-Table1[[#This Row],[HOC Date]]+1)/7</f>
        <v>1.1428571428571428</v>
      </c>
      <c r="V438" s="142">
        <v>12.01</v>
      </c>
      <c r="W438" s="142">
        <v>0.49</v>
      </c>
      <c r="X438" s="142">
        <f>ROUND(0.7*Table1[[#This Row],[E&amp;D Rate per unit]]*R438*Table1[[#This Row],[Quantity]],2)</f>
        <v>54.23</v>
      </c>
      <c r="Y438" s="142">
        <f t="shared" si="64"/>
        <v>3.61</v>
      </c>
      <c r="Z438" s="142">
        <f>ROUND(0.3*T438*Table1[[#This Row],[E&amp;D Rate per unit]]*Table1[[#This Row],[Quantity]],2)</f>
        <v>23.24</v>
      </c>
      <c r="AA438" s="142">
        <f t="shared" si="65"/>
        <v>81.08</v>
      </c>
      <c r="AB438" s="143">
        <v>81.08</v>
      </c>
      <c r="AC438" s="143">
        <f>Table1[[#This Row],[Total Amount]]-Table1[[#This Row],[Previous Amount]]</f>
        <v>0</v>
      </c>
      <c r="AD438" s="144"/>
    </row>
    <row r="439" spans="1:30" ht="30" customHeight="1" x14ac:dyDescent="0.3">
      <c r="A439" s="92" t="s">
        <v>89</v>
      </c>
      <c r="B439" s="92" t="s">
        <v>97</v>
      </c>
      <c r="C439" s="16">
        <v>140</v>
      </c>
      <c r="D439" s="136">
        <v>79155</v>
      </c>
      <c r="E439" s="136">
        <v>80581</v>
      </c>
      <c r="F439" s="17" t="s">
        <v>597</v>
      </c>
      <c r="G439" s="17" t="s">
        <v>254</v>
      </c>
      <c r="H439" s="16" t="s">
        <v>220</v>
      </c>
      <c r="I439" s="136">
        <v>1</v>
      </c>
      <c r="J439" s="136">
        <v>1.8</v>
      </c>
      <c r="K439" s="136">
        <v>1.3</v>
      </c>
      <c r="L439" s="136">
        <v>1.5</v>
      </c>
      <c r="M439" s="136">
        <v>1</v>
      </c>
      <c r="N439" s="93" t="s">
        <v>221</v>
      </c>
      <c r="O439" s="138">
        <f t="shared" si="63"/>
        <v>1.5</v>
      </c>
      <c r="P439" s="118">
        <v>44911</v>
      </c>
      <c r="Q439" s="139">
        <v>44914</v>
      </c>
      <c r="R439" s="140">
        <v>1</v>
      </c>
      <c r="S439" s="140">
        <v>1</v>
      </c>
      <c r="T439" s="140">
        <v>1</v>
      </c>
      <c r="U439" s="141">
        <f>IF(ISBLANK(Table1[[#This Row],[OHC Date]]),$B$7-Table1[[#This Row],[HOC Date]]+1,Table1[[#This Row],[OHC Date]]-Table1[[#This Row],[HOC Date]]+1)/7</f>
        <v>0.5714285714285714</v>
      </c>
      <c r="V439" s="142">
        <v>63.34</v>
      </c>
      <c r="W439" s="142">
        <v>7.28</v>
      </c>
      <c r="X439" s="142">
        <f>ROUND(0.7*Table1[[#This Row],[E&amp;D Rate per unit]]*R439*Table1[[#This Row],[Quantity]],2)</f>
        <v>66.510000000000005</v>
      </c>
      <c r="Y439" s="142">
        <f t="shared" si="64"/>
        <v>6.24</v>
      </c>
      <c r="Z439" s="142">
        <f>ROUND(0.3*T439*Table1[[#This Row],[E&amp;D Rate per unit]]*Table1[[#This Row],[Quantity]],2)</f>
        <v>28.5</v>
      </c>
      <c r="AA439" s="142">
        <f t="shared" si="65"/>
        <v>101.25</v>
      </c>
      <c r="AB439" s="143">
        <v>101.25</v>
      </c>
      <c r="AC439" s="143">
        <f>Table1[[#This Row],[Total Amount]]-Table1[[#This Row],[Previous Amount]]</f>
        <v>0</v>
      </c>
      <c r="AD439" s="144"/>
    </row>
    <row r="440" spans="1:30" ht="30" customHeight="1" x14ac:dyDescent="0.3">
      <c r="A440" s="145" t="s">
        <v>550</v>
      </c>
      <c r="B440" s="92" t="s">
        <v>97</v>
      </c>
      <c r="C440" s="16" t="s">
        <v>598</v>
      </c>
      <c r="D440" s="136">
        <v>79156</v>
      </c>
      <c r="E440" s="136">
        <v>80583</v>
      </c>
      <c r="F440" s="17" t="s">
        <v>552</v>
      </c>
      <c r="G440" s="17" t="s">
        <v>447</v>
      </c>
      <c r="H440" s="151" t="s">
        <v>590</v>
      </c>
      <c r="I440" s="136">
        <v>1</v>
      </c>
      <c r="J440" s="136">
        <v>4.3</v>
      </c>
      <c r="K440" s="136">
        <v>1</v>
      </c>
      <c r="L440" s="136">
        <v>1</v>
      </c>
      <c r="M440" s="136">
        <v>1</v>
      </c>
      <c r="N440" s="138" t="s">
        <v>56</v>
      </c>
      <c r="O440" s="138">
        <f t="shared" si="63"/>
        <v>1</v>
      </c>
      <c r="P440" s="118">
        <v>44911</v>
      </c>
      <c r="Q440" s="139">
        <v>44916</v>
      </c>
      <c r="R440" s="140">
        <v>1</v>
      </c>
      <c r="S440" s="140">
        <v>1</v>
      </c>
      <c r="T440" s="140">
        <v>1</v>
      </c>
      <c r="U440" s="141">
        <f>IF(ISBLANK(Table1[[#This Row],[OHC Date]]),$B$7-Table1[[#This Row],[HOC Date]]+1,Table1[[#This Row],[OHC Date]]-Table1[[#This Row],[HOC Date]]+1)/7</f>
        <v>0.8571428571428571</v>
      </c>
      <c r="V440" s="142">
        <v>1772.5845217391307</v>
      </c>
      <c r="W440" s="142">
        <v>52.192000000000007</v>
      </c>
      <c r="X440" s="142">
        <f>ROUND(0.7*Table1[[#This Row],[E&amp;D Rate per unit]]*R440*Table1[[#This Row],[Quantity]],2)</f>
        <v>1240.81</v>
      </c>
      <c r="Y440" s="142">
        <f t="shared" si="64"/>
        <v>44.74</v>
      </c>
      <c r="Z440" s="142">
        <f>ROUND(0.3*T440*Table1[[#This Row],[E&amp;D Rate per unit]]*Table1[[#This Row],[Quantity]],2)</f>
        <v>531.78</v>
      </c>
      <c r="AA440" s="142">
        <f t="shared" si="65"/>
        <v>1817.33</v>
      </c>
      <c r="AB440" s="143">
        <v>1594.5434782608695</v>
      </c>
      <c r="AC440" s="143">
        <f>Table1[[#This Row],[Total Amount]]-Table1[[#This Row],[Previous Amount]]</f>
        <v>222.78652173913042</v>
      </c>
      <c r="AD440" s="132" t="s">
        <v>557</v>
      </c>
    </row>
    <row r="441" spans="1:30" ht="30" customHeight="1" x14ac:dyDescent="0.3">
      <c r="A441" s="145" t="s">
        <v>550</v>
      </c>
      <c r="B441" s="92" t="s">
        <v>97</v>
      </c>
      <c r="C441" s="16" t="s">
        <v>599</v>
      </c>
      <c r="D441" s="136">
        <v>79157</v>
      </c>
      <c r="E441" s="136">
        <v>80584</v>
      </c>
      <c r="F441" s="17" t="s">
        <v>552</v>
      </c>
      <c r="G441" s="17" t="s">
        <v>447</v>
      </c>
      <c r="H441" s="151" t="s">
        <v>590</v>
      </c>
      <c r="I441" s="136">
        <v>1</v>
      </c>
      <c r="J441" s="136">
        <v>4.3</v>
      </c>
      <c r="K441" s="136">
        <v>1</v>
      </c>
      <c r="L441" s="136">
        <v>1</v>
      </c>
      <c r="M441" s="136">
        <v>1</v>
      </c>
      <c r="N441" s="138" t="s">
        <v>56</v>
      </c>
      <c r="O441" s="138">
        <f t="shared" si="63"/>
        <v>1</v>
      </c>
      <c r="P441" s="118">
        <v>44911</v>
      </c>
      <c r="Q441" s="139">
        <v>44916</v>
      </c>
      <c r="R441" s="140">
        <v>1</v>
      </c>
      <c r="S441" s="140">
        <v>1</v>
      </c>
      <c r="T441" s="140">
        <v>1</v>
      </c>
      <c r="U441" s="141">
        <f>IF(ISBLANK(Table1[[#This Row],[OHC Date]]),$B$7-Table1[[#This Row],[HOC Date]]+1,Table1[[#This Row],[OHC Date]]-Table1[[#This Row],[HOC Date]]+1)/7</f>
        <v>0.8571428571428571</v>
      </c>
      <c r="V441" s="142">
        <v>1772.5845217391307</v>
      </c>
      <c r="W441" s="142">
        <v>52.192000000000007</v>
      </c>
      <c r="X441" s="142">
        <f>ROUND(0.7*Table1[[#This Row],[E&amp;D Rate per unit]]*R441*Table1[[#This Row],[Quantity]],2)</f>
        <v>1240.81</v>
      </c>
      <c r="Y441" s="142">
        <f t="shared" si="64"/>
        <v>44.74</v>
      </c>
      <c r="Z441" s="142">
        <f>ROUND(0.3*T441*Table1[[#This Row],[E&amp;D Rate per unit]]*Table1[[#This Row],[Quantity]],2)</f>
        <v>531.78</v>
      </c>
      <c r="AA441" s="142">
        <f t="shared" si="65"/>
        <v>1817.33</v>
      </c>
      <c r="AB441" s="143">
        <v>1594.5434782608695</v>
      </c>
      <c r="AC441" s="143">
        <f>Table1[[#This Row],[Total Amount]]-Table1[[#This Row],[Previous Amount]]</f>
        <v>222.78652173913042</v>
      </c>
      <c r="AD441" s="132" t="s">
        <v>557</v>
      </c>
    </row>
    <row r="442" spans="1:30" ht="30" customHeight="1" x14ac:dyDescent="0.3">
      <c r="A442" s="92" t="s">
        <v>89</v>
      </c>
      <c r="B442" s="92" t="s">
        <v>97</v>
      </c>
      <c r="C442" s="16">
        <v>143</v>
      </c>
      <c r="D442" s="136">
        <v>79159</v>
      </c>
      <c r="E442" s="136"/>
      <c r="F442" s="17" t="s">
        <v>600</v>
      </c>
      <c r="G442" s="17" t="s">
        <v>190</v>
      </c>
      <c r="H442" s="16" t="s">
        <v>220</v>
      </c>
      <c r="I442" s="136">
        <v>3</v>
      </c>
      <c r="J442" s="136">
        <v>1</v>
      </c>
      <c r="K442" s="136">
        <v>0.75</v>
      </c>
      <c r="L442" s="136">
        <v>0.6</v>
      </c>
      <c r="M442" s="136">
        <v>1</v>
      </c>
      <c r="N442" s="93" t="s">
        <v>221</v>
      </c>
      <c r="O442" s="138">
        <f t="shared" si="63"/>
        <v>1.8</v>
      </c>
      <c r="P442" s="118">
        <v>44912</v>
      </c>
      <c r="Q442" s="139"/>
      <c r="R442" s="140">
        <v>1</v>
      </c>
      <c r="S442" s="140">
        <v>1</v>
      </c>
      <c r="T442" s="140">
        <v>0</v>
      </c>
      <c r="U442" s="141">
        <f>IF(ISBLANK(Table1[[#This Row],[OHC Date]]),$B$7-Table1[[#This Row],[HOC Date]]+1,Table1[[#This Row],[OHC Date]]-Table1[[#This Row],[HOC Date]]+1)/7</f>
        <v>5.7142857142857144</v>
      </c>
      <c r="V442" s="142">
        <v>63.34</v>
      </c>
      <c r="W442" s="142">
        <v>7.28</v>
      </c>
      <c r="X442" s="142">
        <f>ROUND(0.7*Table1[[#This Row],[E&amp;D Rate per unit]]*R442*Table1[[#This Row],[Quantity]],2)</f>
        <v>79.81</v>
      </c>
      <c r="Y442" s="142">
        <f t="shared" si="64"/>
        <v>74.88</v>
      </c>
      <c r="Z442" s="142">
        <f>ROUND(0.3*T442*Table1[[#This Row],[E&amp;D Rate per unit]]*Table1[[#This Row],[Quantity]],2)</f>
        <v>0</v>
      </c>
      <c r="AA442" s="142">
        <f t="shared" si="65"/>
        <v>154.69</v>
      </c>
      <c r="AB442" s="143">
        <v>96.66</v>
      </c>
      <c r="AC442" s="143">
        <f>Table1[[#This Row],[Total Amount]]-Table1[[#This Row],[Previous Amount]]</f>
        <v>58.03</v>
      </c>
      <c r="AD442" s="144"/>
    </row>
    <row r="443" spans="1:30" ht="30" customHeight="1" x14ac:dyDescent="0.3">
      <c r="A443" s="92" t="s">
        <v>601</v>
      </c>
      <c r="B443" s="92" t="s">
        <v>97</v>
      </c>
      <c r="C443" s="16">
        <v>144</v>
      </c>
      <c r="D443" s="136">
        <v>79160</v>
      </c>
      <c r="E443" s="196">
        <v>80866</v>
      </c>
      <c r="F443" s="17" t="s">
        <v>603</v>
      </c>
      <c r="G443" s="17" t="s">
        <v>190</v>
      </c>
      <c r="H443" s="16" t="s">
        <v>604</v>
      </c>
      <c r="I443" s="136">
        <v>1</v>
      </c>
      <c r="J443" s="136"/>
      <c r="K443" s="136"/>
      <c r="L443" s="136"/>
      <c r="M443" s="136"/>
      <c r="N443" s="138" t="s">
        <v>56</v>
      </c>
      <c r="O443" s="138">
        <f t="shared" si="63"/>
        <v>1</v>
      </c>
      <c r="P443" s="118">
        <v>44912</v>
      </c>
      <c r="Q443" s="189">
        <v>44930</v>
      </c>
      <c r="R443" s="140">
        <v>1</v>
      </c>
      <c r="S443" s="140">
        <v>1</v>
      </c>
      <c r="T443" s="140">
        <v>1</v>
      </c>
      <c r="U443" s="141">
        <f>IF(ISBLANK(Table1[[#This Row],[OHC Date]]),$B$7-Table1[[#This Row],[HOC Date]]+1,Table1[[#This Row],[OHC Date]]-Table1[[#This Row],[HOC Date]]+1)/7</f>
        <v>2.7142857142857144</v>
      </c>
      <c r="V443" s="142">
        <v>3381.02</v>
      </c>
      <c r="W443" s="142">
        <v>181.02</v>
      </c>
      <c r="X443" s="142">
        <f>ROUND(0.7*Table1[[#This Row],[E&amp;D Rate per unit]]*R443*Table1[[#This Row],[Quantity]],2)</f>
        <v>2366.71</v>
      </c>
      <c r="Y443" s="142">
        <f t="shared" si="64"/>
        <v>491.34</v>
      </c>
      <c r="Z443" s="142">
        <f>ROUND(0.3*T443*Table1[[#This Row],[E&amp;D Rate per unit]]*Table1[[#This Row],[Quantity]],2)</f>
        <v>1014.31</v>
      </c>
      <c r="AA443" s="142">
        <f t="shared" si="65"/>
        <v>3872.36</v>
      </c>
      <c r="AB443" s="143">
        <v>2599.4499999999998</v>
      </c>
      <c r="AC443" s="143">
        <f>Table1[[#This Row],[Total Amount]]-Table1[[#This Row],[Previous Amount]]</f>
        <v>1272.9100000000003</v>
      </c>
      <c r="AD443" s="132" t="s">
        <v>605</v>
      </c>
    </row>
    <row r="444" spans="1:30" ht="30" customHeight="1" x14ac:dyDescent="0.3">
      <c r="A444" s="92" t="s">
        <v>89</v>
      </c>
      <c r="B444" s="92" t="s">
        <v>97</v>
      </c>
      <c r="C444" s="16" t="s">
        <v>606</v>
      </c>
      <c r="D444" s="136">
        <v>79161</v>
      </c>
      <c r="E444" s="136"/>
      <c r="F444" s="17" t="s">
        <v>580</v>
      </c>
      <c r="G444" s="17" t="s">
        <v>200</v>
      </c>
      <c r="H444" s="151" t="s">
        <v>123</v>
      </c>
      <c r="I444" s="136">
        <v>1</v>
      </c>
      <c r="J444" s="136">
        <v>3.6</v>
      </c>
      <c r="K444" s="136">
        <v>1.3</v>
      </c>
      <c r="L444" s="136">
        <v>4</v>
      </c>
      <c r="M444" s="136"/>
      <c r="N444" s="138" t="s">
        <v>224</v>
      </c>
      <c r="O444" s="138">
        <f t="shared" si="63"/>
        <v>18.72</v>
      </c>
      <c r="P444" s="118">
        <v>44909</v>
      </c>
      <c r="Q444" s="139"/>
      <c r="R444" s="140">
        <v>1</v>
      </c>
      <c r="S444" s="140">
        <v>1</v>
      </c>
      <c r="T444" s="140">
        <v>0</v>
      </c>
      <c r="U444" s="141">
        <f>IF(ISBLANK(Table1[[#This Row],[OHC Date]]),$B$7-Table1[[#This Row],[HOC Date]]+1,Table1[[#This Row],[OHC Date]]-Table1[[#This Row],[HOC Date]]+1)/7</f>
        <v>6.1428571428571432</v>
      </c>
      <c r="V444" s="142">
        <v>5.29</v>
      </c>
      <c r="W444" s="142">
        <v>0.35</v>
      </c>
      <c r="X444" s="142">
        <f>ROUND(0.7*Table1[[#This Row],[E&amp;D Rate per unit]]*R444*Table1[[#This Row],[Quantity]],2)</f>
        <v>69.319999999999993</v>
      </c>
      <c r="Y444" s="142">
        <f t="shared" si="64"/>
        <v>40.25</v>
      </c>
      <c r="Z444" s="142">
        <f>ROUND(0.3*T444*Table1[[#This Row],[E&amp;D Rate per unit]]*Table1[[#This Row],[Quantity]],2)</f>
        <v>0</v>
      </c>
      <c r="AA444" s="142">
        <f t="shared" si="65"/>
        <v>109.57</v>
      </c>
      <c r="AB444" s="143">
        <v>80.55</v>
      </c>
      <c r="AC444" s="143">
        <f>Table1[[#This Row],[Total Amount]]-Table1[[#This Row],[Previous Amount]]</f>
        <v>29.019999999999996</v>
      </c>
      <c r="AD444" s="144"/>
    </row>
    <row r="445" spans="1:30" ht="30" customHeight="1" x14ac:dyDescent="0.3">
      <c r="A445" s="92" t="s">
        <v>89</v>
      </c>
      <c r="B445" s="92" t="s">
        <v>97</v>
      </c>
      <c r="C445" s="16" t="s">
        <v>607</v>
      </c>
      <c r="D445" s="136">
        <v>79161</v>
      </c>
      <c r="E445" s="136"/>
      <c r="F445" s="17" t="s">
        <v>580</v>
      </c>
      <c r="G445" s="17" t="s">
        <v>200</v>
      </c>
      <c r="H445" s="151" t="s">
        <v>123</v>
      </c>
      <c r="I445" s="136">
        <v>1</v>
      </c>
      <c r="J445" s="136">
        <v>3.6</v>
      </c>
      <c r="K445" s="136">
        <v>1.3</v>
      </c>
      <c r="L445" s="136">
        <v>2.5</v>
      </c>
      <c r="M445" s="136"/>
      <c r="N445" s="138" t="s">
        <v>224</v>
      </c>
      <c r="O445" s="138">
        <f t="shared" si="63"/>
        <v>11.7</v>
      </c>
      <c r="P445" s="118">
        <v>44909</v>
      </c>
      <c r="Q445" s="139"/>
      <c r="R445" s="140">
        <v>1</v>
      </c>
      <c r="S445" s="140">
        <v>1</v>
      </c>
      <c r="T445" s="140">
        <v>0</v>
      </c>
      <c r="U445" s="141">
        <f>IF(ISBLANK(Table1[[#This Row],[OHC Date]]),$B$7-Table1[[#This Row],[HOC Date]]+1,Table1[[#This Row],[OHC Date]]-Table1[[#This Row],[HOC Date]]+1)/7</f>
        <v>6.1428571428571432</v>
      </c>
      <c r="V445" s="142">
        <v>5.29</v>
      </c>
      <c r="W445" s="142">
        <v>0.35</v>
      </c>
      <c r="X445" s="142">
        <f>ROUND(0.7*Table1[[#This Row],[E&amp;D Rate per unit]]*R445*Table1[[#This Row],[Quantity]],2)</f>
        <v>43.33</v>
      </c>
      <c r="Y445" s="142">
        <f t="shared" si="64"/>
        <v>25.16</v>
      </c>
      <c r="Z445" s="142">
        <f>ROUND(0.3*T445*Table1[[#This Row],[E&amp;D Rate per unit]]*Table1[[#This Row],[Quantity]],2)</f>
        <v>0</v>
      </c>
      <c r="AA445" s="142">
        <f t="shared" si="65"/>
        <v>68.489999999999995</v>
      </c>
      <c r="AB445" s="143">
        <v>50.35</v>
      </c>
      <c r="AC445" s="143">
        <f>Table1[[#This Row],[Total Amount]]-Table1[[#This Row],[Previous Amount]]</f>
        <v>18.139999999999993</v>
      </c>
      <c r="AD445" s="144"/>
    </row>
    <row r="446" spans="1:30" ht="30" customHeight="1" x14ac:dyDescent="0.3">
      <c r="A446" s="92" t="s">
        <v>89</v>
      </c>
      <c r="B446" s="92" t="s">
        <v>97</v>
      </c>
      <c r="C446" s="16" t="s">
        <v>608</v>
      </c>
      <c r="D446" s="136">
        <v>79161</v>
      </c>
      <c r="E446" s="136"/>
      <c r="F446" s="17" t="s">
        <v>580</v>
      </c>
      <c r="G446" s="17" t="s">
        <v>200</v>
      </c>
      <c r="H446" s="151" t="s">
        <v>123</v>
      </c>
      <c r="I446" s="136">
        <v>1</v>
      </c>
      <c r="J446" s="136">
        <v>3.8</v>
      </c>
      <c r="K446" s="136">
        <v>0.9</v>
      </c>
      <c r="L446" s="136">
        <v>3</v>
      </c>
      <c r="M446" s="136"/>
      <c r="N446" s="138" t="s">
        <v>224</v>
      </c>
      <c r="O446" s="138">
        <f t="shared" si="63"/>
        <v>10.26</v>
      </c>
      <c r="P446" s="118">
        <v>44909</v>
      </c>
      <c r="Q446" s="139"/>
      <c r="R446" s="140">
        <v>1</v>
      </c>
      <c r="S446" s="140">
        <v>1</v>
      </c>
      <c r="T446" s="140">
        <v>0</v>
      </c>
      <c r="U446" s="141">
        <f>IF(ISBLANK(Table1[[#This Row],[OHC Date]]),$B$7-Table1[[#This Row],[HOC Date]]+1,Table1[[#This Row],[OHC Date]]-Table1[[#This Row],[HOC Date]]+1)/7</f>
        <v>6.1428571428571432</v>
      </c>
      <c r="V446" s="142">
        <v>5.29</v>
      </c>
      <c r="W446" s="142">
        <v>0.35</v>
      </c>
      <c r="X446" s="142">
        <f>ROUND(0.7*Table1[[#This Row],[E&amp;D Rate per unit]]*R446*Table1[[#This Row],[Quantity]],2)</f>
        <v>37.99</v>
      </c>
      <c r="Y446" s="142">
        <f t="shared" si="64"/>
        <v>22.06</v>
      </c>
      <c r="Z446" s="142">
        <f>ROUND(0.3*T446*Table1[[#This Row],[E&amp;D Rate per unit]]*Table1[[#This Row],[Quantity]],2)</f>
        <v>0</v>
      </c>
      <c r="AA446" s="142">
        <f t="shared" si="65"/>
        <v>60.05</v>
      </c>
      <c r="AB446" s="143">
        <v>44.15</v>
      </c>
      <c r="AC446" s="143">
        <f>Table1[[#This Row],[Total Amount]]-Table1[[#This Row],[Previous Amount]]</f>
        <v>15.899999999999999</v>
      </c>
      <c r="AD446" s="144"/>
    </row>
    <row r="447" spans="1:30" ht="30" customHeight="1" x14ac:dyDescent="0.3">
      <c r="A447" s="92" t="s">
        <v>89</v>
      </c>
      <c r="B447" s="92" t="s">
        <v>97</v>
      </c>
      <c r="C447" s="16" t="s">
        <v>609</v>
      </c>
      <c r="D447" s="136">
        <v>79163</v>
      </c>
      <c r="E447" s="196">
        <v>80598</v>
      </c>
      <c r="F447" s="17" t="s">
        <v>522</v>
      </c>
      <c r="G447" s="17" t="s">
        <v>200</v>
      </c>
      <c r="H447" s="102" t="s">
        <v>127</v>
      </c>
      <c r="I447" s="136">
        <v>1</v>
      </c>
      <c r="J447" s="136">
        <v>6</v>
      </c>
      <c r="K447" s="136">
        <v>1</v>
      </c>
      <c r="L447" s="136">
        <v>1</v>
      </c>
      <c r="M447" s="136">
        <v>1</v>
      </c>
      <c r="N447" s="138" t="s">
        <v>160</v>
      </c>
      <c r="O447" s="138">
        <f t="shared" si="63"/>
        <v>6</v>
      </c>
      <c r="P447" s="118">
        <v>44914</v>
      </c>
      <c r="Q447" s="189">
        <v>44923</v>
      </c>
      <c r="R447" s="140">
        <v>1</v>
      </c>
      <c r="S447" s="140">
        <v>1</v>
      </c>
      <c r="T447" s="140">
        <v>1</v>
      </c>
      <c r="U447" s="141">
        <f>IF(ISBLANK(Table1[[#This Row],[OHC Date]]),$B$7-Table1[[#This Row],[HOC Date]]+1,Table1[[#This Row],[OHC Date]]-Table1[[#This Row],[HOC Date]]+1)/7</f>
        <v>1.4285714285714286</v>
      </c>
      <c r="V447" s="142">
        <v>36.520000000000003</v>
      </c>
      <c r="W447" s="142">
        <v>2.94</v>
      </c>
      <c r="X447" s="142">
        <f>ROUND(0.7*Table1[[#This Row],[E&amp;D Rate per unit]]*R447*Table1[[#This Row],[Quantity]],2)</f>
        <v>153.38</v>
      </c>
      <c r="Y447" s="142">
        <f t="shared" si="64"/>
        <v>25.2</v>
      </c>
      <c r="Z447" s="142">
        <f>ROUND(0.3*T447*Table1[[#This Row],[E&amp;D Rate per unit]]*Table1[[#This Row],[Quantity]],2)</f>
        <v>65.739999999999995</v>
      </c>
      <c r="AA447" s="142">
        <f t="shared" si="65"/>
        <v>244.32</v>
      </c>
      <c r="AB447" s="143">
        <v>171.02</v>
      </c>
      <c r="AC447" s="143">
        <f>Table1[[#This Row],[Total Amount]]-Table1[[#This Row],[Previous Amount]]</f>
        <v>73.299999999999983</v>
      </c>
      <c r="AD447" s="144"/>
    </row>
    <row r="448" spans="1:30" ht="30" customHeight="1" x14ac:dyDescent="0.3">
      <c r="A448" s="92" t="s">
        <v>89</v>
      </c>
      <c r="B448" s="92" t="s">
        <v>97</v>
      </c>
      <c r="C448" s="16">
        <v>145</v>
      </c>
      <c r="D448" s="136">
        <v>79164</v>
      </c>
      <c r="E448" s="136"/>
      <c r="F448" s="17" t="s">
        <v>610</v>
      </c>
      <c r="G448" s="17" t="s">
        <v>190</v>
      </c>
      <c r="H448" s="102" t="s">
        <v>118</v>
      </c>
      <c r="I448" s="136">
        <v>1</v>
      </c>
      <c r="J448" s="136">
        <v>17.8</v>
      </c>
      <c r="K448" s="136">
        <v>1.8</v>
      </c>
      <c r="L448" s="136">
        <v>5</v>
      </c>
      <c r="M448" s="136">
        <v>1</v>
      </c>
      <c r="N448" s="138" t="s">
        <v>206</v>
      </c>
      <c r="O448" s="138">
        <f t="shared" si="63"/>
        <v>89</v>
      </c>
      <c r="P448" s="118">
        <v>44914</v>
      </c>
      <c r="Q448" s="139"/>
      <c r="R448" s="140">
        <v>1</v>
      </c>
      <c r="S448" s="140">
        <v>1</v>
      </c>
      <c r="T448" s="140">
        <v>0</v>
      </c>
      <c r="U448" s="141">
        <f>IF(ISBLANK(Table1[[#This Row],[OHC Date]]),$B$7-Table1[[#This Row],[HOC Date]]+1,Table1[[#This Row],[OHC Date]]-Table1[[#This Row],[HOC Date]]+1)/7</f>
        <v>5.4285714285714288</v>
      </c>
      <c r="V448" s="142">
        <v>12.01</v>
      </c>
      <c r="W448" s="142">
        <v>0.49</v>
      </c>
      <c r="X448" s="142">
        <f>ROUND(0.7*Table1[[#This Row],[E&amp;D Rate per unit]]*R448*Table1[[#This Row],[Quantity]],2)</f>
        <v>748.22</v>
      </c>
      <c r="Y448" s="142">
        <f t="shared" si="64"/>
        <v>236.74</v>
      </c>
      <c r="Z448" s="142">
        <f>ROUND(0.3*T448*Table1[[#This Row],[E&amp;D Rate per unit]]*Table1[[#This Row],[Quantity]],2)</f>
        <v>0</v>
      </c>
      <c r="AA448" s="142">
        <f t="shared" si="65"/>
        <v>984.96</v>
      </c>
      <c r="AB448" s="143">
        <v>791.83</v>
      </c>
      <c r="AC448" s="143">
        <f>Table1[[#This Row],[Total Amount]]-Table1[[#This Row],[Previous Amount]]</f>
        <v>193.13</v>
      </c>
      <c r="AD448" s="144"/>
    </row>
    <row r="449" spans="1:30" ht="30" customHeight="1" x14ac:dyDescent="0.3">
      <c r="A449" s="92" t="s">
        <v>89</v>
      </c>
      <c r="B449" s="92" t="s">
        <v>97</v>
      </c>
      <c r="C449" s="16">
        <v>146</v>
      </c>
      <c r="D449" s="136">
        <v>79165</v>
      </c>
      <c r="E449" s="196">
        <v>80882</v>
      </c>
      <c r="F449" s="17" t="s">
        <v>600</v>
      </c>
      <c r="G449" s="17" t="s">
        <v>190</v>
      </c>
      <c r="H449" s="16" t="s">
        <v>220</v>
      </c>
      <c r="I449" s="136">
        <v>1</v>
      </c>
      <c r="J449" s="136">
        <v>1</v>
      </c>
      <c r="K449" s="136">
        <v>1</v>
      </c>
      <c r="L449" s="136">
        <v>1</v>
      </c>
      <c r="M449" s="136">
        <v>1</v>
      </c>
      <c r="N449" s="93" t="s">
        <v>221</v>
      </c>
      <c r="O449" s="138">
        <f t="shared" si="63"/>
        <v>1</v>
      </c>
      <c r="P449" s="118">
        <v>44914</v>
      </c>
      <c r="Q449" s="189">
        <v>44937</v>
      </c>
      <c r="R449" s="140">
        <v>1</v>
      </c>
      <c r="S449" s="140">
        <v>1</v>
      </c>
      <c r="T449" s="140">
        <v>1</v>
      </c>
      <c r="U449" s="141">
        <f>IF(ISBLANK(Table1[[#This Row],[OHC Date]]),$B$7-Table1[[#This Row],[HOC Date]]+1,Table1[[#This Row],[OHC Date]]-Table1[[#This Row],[HOC Date]]+1)/7</f>
        <v>3.4285714285714284</v>
      </c>
      <c r="V449" s="142">
        <v>63.34</v>
      </c>
      <c r="W449" s="142">
        <v>7.28</v>
      </c>
      <c r="X449" s="142">
        <f>ROUND(0.7*Table1[[#This Row],[E&amp;D Rate per unit]]*R449*Table1[[#This Row],[Quantity]],2)</f>
        <v>44.34</v>
      </c>
      <c r="Y449" s="142">
        <f t="shared" si="64"/>
        <v>24.96</v>
      </c>
      <c r="Z449" s="142">
        <f>ROUND(0.3*T449*Table1[[#This Row],[E&amp;D Rate per unit]]*Table1[[#This Row],[Quantity]],2)</f>
        <v>19</v>
      </c>
      <c r="AA449" s="142">
        <f t="shared" si="65"/>
        <v>88.3</v>
      </c>
      <c r="AB449" s="143">
        <v>51.62</v>
      </c>
      <c r="AC449" s="143">
        <f>Table1[[#This Row],[Total Amount]]-Table1[[#This Row],[Previous Amount]]</f>
        <v>36.68</v>
      </c>
      <c r="AD449" s="144"/>
    </row>
    <row r="450" spans="1:30" ht="30" customHeight="1" x14ac:dyDescent="0.3">
      <c r="A450" s="92" t="s">
        <v>89</v>
      </c>
      <c r="B450" s="92" t="s">
        <v>97</v>
      </c>
      <c r="C450" s="16">
        <v>147</v>
      </c>
      <c r="D450" s="136">
        <v>79166</v>
      </c>
      <c r="E450" s="196">
        <v>78602</v>
      </c>
      <c r="F450" s="17" t="s">
        <v>600</v>
      </c>
      <c r="G450" s="17" t="s">
        <v>190</v>
      </c>
      <c r="H450" s="16" t="s">
        <v>220</v>
      </c>
      <c r="I450" s="136">
        <v>1</v>
      </c>
      <c r="J450" s="136">
        <v>1</v>
      </c>
      <c r="K450" s="136">
        <v>1</v>
      </c>
      <c r="L450" s="136">
        <v>1</v>
      </c>
      <c r="M450" s="136">
        <v>1</v>
      </c>
      <c r="N450" s="93" t="s">
        <v>221</v>
      </c>
      <c r="O450" s="138">
        <f t="shared" si="63"/>
        <v>1</v>
      </c>
      <c r="P450" s="118">
        <v>44914</v>
      </c>
      <c r="Q450" s="189">
        <v>44950</v>
      </c>
      <c r="R450" s="140">
        <v>1</v>
      </c>
      <c r="S450" s="140">
        <v>1</v>
      </c>
      <c r="T450" s="140">
        <v>1</v>
      </c>
      <c r="U450" s="141">
        <f>IF(ISBLANK(Table1[[#This Row],[OHC Date]]),$B$7-Table1[[#This Row],[HOC Date]]+1,Table1[[#This Row],[OHC Date]]-Table1[[#This Row],[HOC Date]]+1)/7</f>
        <v>5.2857142857142856</v>
      </c>
      <c r="V450" s="142">
        <v>63.34</v>
      </c>
      <c r="W450" s="142">
        <v>7.28</v>
      </c>
      <c r="X450" s="142">
        <f>ROUND(0.7*Table1[[#This Row],[E&amp;D Rate per unit]]*R450*Table1[[#This Row],[Quantity]],2)</f>
        <v>44.34</v>
      </c>
      <c r="Y450" s="142">
        <f t="shared" si="64"/>
        <v>38.479999999999997</v>
      </c>
      <c r="Z450" s="142">
        <f>ROUND(0.3*T450*Table1[[#This Row],[E&amp;D Rate per unit]]*Table1[[#This Row],[Quantity]],2)</f>
        <v>19</v>
      </c>
      <c r="AA450" s="142">
        <f t="shared" si="65"/>
        <v>101.82</v>
      </c>
      <c r="AB450" s="143">
        <v>51.62</v>
      </c>
      <c r="AC450" s="143">
        <f>Table1[[#This Row],[Total Amount]]-Table1[[#This Row],[Previous Amount]]</f>
        <v>50.199999999999996</v>
      </c>
      <c r="AD450" s="144"/>
    </row>
    <row r="451" spans="1:30" ht="30" customHeight="1" x14ac:dyDescent="0.3">
      <c r="A451" s="92" t="s">
        <v>89</v>
      </c>
      <c r="B451" s="92" t="s">
        <v>97</v>
      </c>
      <c r="C451" s="16">
        <v>148</v>
      </c>
      <c r="D451" s="136">
        <v>79167</v>
      </c>
      <c r="E451" s="136"/>
      <c r="F451" s="17" t="s">
        <v>592</v>
      </c>
      <c r="G451" s="17" t="s">
        <v>200</v>
      </c>
      <c r="H451" s="102" t="s">
        <v>205</v>
      </c>
      <c r="I451" s="136">
        <v>1</v>
      </c>
      <c r="J451" s="136">
        <v>6.3</v>
      </c>
      <c r="K451" s="136">
        <v>1.3</v>
      </c>
      <c r="L451" s="136">
        <v>4</v>
      </c>
      <c r="M451" s="136">
        <v>1</v>
      </c>
      <c r="N451" s="138" t="s">
        <v>206</v>
      </c>
      <c r="O451" s="138">
        <f t="shared" si="63"/>
        <v>25.2</v>
      </c>
      <c r="P451" s="118">
        <v>44915</v>
      </c>
      <c r="Q451" s="139"/>
      <c r="R451" s="140">
        <v>1</v>
      </c>
      <c r="S451" s="140">
        <v>1</v>
      </c>
      <c r="T451" s="140">
        <v>0</v>
      </c>
      <c r="U451" s="141">
        <f>IF(ISBLANK(Table1[[#This Row],[OHC Date]]),$B$7-Table1[[#This Row],[HOC Date]]+1,Table1[[#This Row],[OHC Date]]-Table1[[#This Row],[HOC Date]]+1)/7</f>
        <v>5.2857142857142856</v>
      </c>
      <c r="V451" s="142">
        <v>12.01</v>
      </c>
      <c r="W451" s="142">
        <v>0.49</v>
      </c>
      <c r="X451" s="142">
        <f>ROUND(0.7*Table1[[#This Row],[E&amp;D Rate per unit]]*R451*Table1[[#This Row],[Quantity]],2)</f>
        <v>211.86</v>
      </c>
      <c r="Y451" s="142">
        <f t="shared" si="64"/>
        <v>65.27</v>
      </c>
      <c r="Z451" s="142">
        <f>ROUND(0.3*T451*Table1[[#This Row],[E&amp;D Rate per unit]]*Table1[[#This Row],[Quantity]],2)</f>
        <v>0</v>
      </c>
      <c r="AA451" s="142">
        <f t="shared" si="65"/>
        <v>277.13</v>
      </c>
      <c r="AB451" s="143">
        <v>222.44</v>
      </c>
      <c r="AC451" s="143">
        <f>Table1[[#This Row],[Total Amount]]-Table1[[#This Row],[Previous Amount]]</f>
        <v>54.69</v>
      </c>
      <c r="AD451" s="144"/>
    </row>
    <row r="452" spans="1:30" ht="30" customHeight="1" x14ac:dyDescent="0.3">
      <c r="A452" s="92" t="s">
        <v>89</v>
      </c>
      <c r="B452" s="92" t="s">
        <v>97</v>
      </c>
      <c r="C452" s="16" t="s">
        <v>611</v>
      </c>
      <c r="D452" s="136">
        <v>79168</v>
      </c>
      <c r="E452" s="136"/>
      <c r="F452" s="17" t="s">
        <v>612</v>
      </c>
      <c r="G452" s="17" t="s">
        <v>223</v>
      </c>
      <c r="H452" s="16" t="s">
        <v>176</v>
      </c>
      <c r="I452" s="136">
        <v>1</v>
      </c>
      <c r="J452" s="136">
        <v>2.5</v>
      </c>
      <c r="K452" s="136">
        <v>1.3</v>
      </c>
      <c r="L452" s="136">
        <v>1</v>
      </c>
      <c r="M452" s="136">
        <v>1</v>
      </c>
      <c r="N452" s="138" t="s">
        <v>160</v>
      </c>
      <c r="O452" s="138">
        <f t="shared" si="63"/>
        <v>3.25</v>
      </c>
      <c r="P452" s="118">
        <v>44915</v>
      </c>
      <c r="Q452" s="139"/>
      <c r="R452" s="140">
        <v>1</v>
      </c>
      <c r="S452" s="140">
        <v>1</v>
      </c>
      <c r="T452" s="140">
        <v>0</v>
      </c>
      <c r="U452" s="141">
        <f>IF(ISBLANK(Table1[[#This Row],[OHC Date]]),$B$7-Table1[[#This Row],[HOC Date]]+1,Table1[[#This Row],[OHC Date]]-Table1[[#This Row],[HOC Date]]+1)/7</f>
        <v>5.2857142857142856</v>
      </c>
      <c r="V452" s="142">
        <v>6.63</v>
      </c>
      <c r="W452" s="142">
        <v>0.7</v>
      </c>
      <c r="X452" s="142">
        <f>ROUND(0.7*Table1[[#This Row],[E&amp;D Rate per unit]]*R452*Table1[[#This Row],[Quantity]],2)</f>
        <v>15.08</v>
      </c>
      <c r="Y452" s="142">
        <f t="shared" si="64"/>
        <v>12.03</v>
      </c>
      <c r="Z452" s="142">
        <f>ROUND(0.3*T452*Table1[[#This Row],[E&amp;D Rate per unit]]*Table1[[#This Row],[Quantity]],2)</f>
        <v>0</v>
      </c>
      <c r="AA452" s="142">
        <f t="shared" si="65"/>
        <v>27.11</v>
      </c>
      <c r="AB452" s="143">
        <v>17.03</v>
      </c>
      <c r="AC452" s="143">
        <f>Table1[[#This Row],[Total Amount]]-Table1[[#This Row],[Previous Amount]]</f>
        <v>10.079999999999998</v>
      </c>
      <c r="AD452" s="144"/>
    </row>
    <row r="453" spans="1:30" ht="30" customHeight="1" x14ac:dyDescent="0.3">
      <c r="A453" s="92" t="s">
        <v>89</v>
      </c>
      <c r="B453" s="92" t="s">
        <v>97</v>
      </c>
      <c r="C453" s="16">
        <v>149</v>
      </c>
      <c r="D453" s="136">
        <v>79169</v>
      </c>
      <c r="E453" s="136"/>
      <c r="F453" s="17" t="s">
        <v>613</v>
      </c>
      <c r="G453" s="17" t="s">
        <v>200</v>
      </c>
      <c r="H453" s="16" t="s">
        <v>220</v>
      </c>
      <c r="I453" s="136">
        <v>1</v>
      </c>
      <c r="J453" s="136">
        <v>1.8</v>
      </c>
      <c r="K453" s="136">
        <v>1.3</v>
      </c>
      <c r="L453" s="136">
        <v>1.25</v>
      </c>
      <c r="M453" s="136">
        <v>1</v>
      </c>
      <c r="N453" s="93" t="s">
        <v>221</v>
      </c>
      <c r="O453" s="138">
        <f t="shared" si="63"/>
        <v>1.25</v>
      </c>
      <c r="P453" s="118">
        <v>44916</v>
      </c>
      <c r="Q453" s="139"/>
      <c r="R453" s="140">
        <v>1</v>
      </c>
      <c r="S453" s="140">
        <v>1</v>
      </c>
      <c r="T453" s="140">
        <v>0</v>
      </c>
      <c r="U453" s="141">
        <f>IF(ISBLANK(Table1[[#This Row],[OHC Date]]),$B$7-Table1[[#This Row],[HOC Date]]+1,Table1[[#This Row],[OHC Date]]-Table1[[#This Row],[HOC Date]]+1)/7</f>
        <v>5.1428571428571432</v>
      </c>
      <c r="V453" s="142">
        <v>63.34</v>
      </c>
      <c r="W453" s="142">
        <v>7.28</v>
      </c>
      <c r="X453" s="142">
        <f>ROUND(0.7*Table1[[#This Row],[E&amp;D Rate per unit]]*R453*Table1[[#This Row],[Quantity]],2)</f>
        <v>55.42</v>
      </c>
      <c r="Y453" s="142">
        <f t="shared" si="64"/>
        <v>46.8</v>
      </c>
      <c r="Z453" s="142">
        <f>ROUND(0.3*T453*Table1[[#This Row],[E&amp;D Rate per unit]]*Table1[[#This Row],[Quantity]],2)</f>
        <v>0</v>
      </c>
      <c r="AA453" s="142">
        <f t="shared" si="65"/>
        <v>102.22</v>
      </c>
      <c r="AB453" s="143">
        <v>61.92</v>
      </c>
      <c r="AC453" s="143">
        <f>Table1[[#This Row],[Total Amount]]-Table1[[#This Row],[Previous Amount]]</f>
        <v>40.299999999999997</v>
      </c>
      <c r="AD453" s="144"/>
    </row>
    <row r="454" spans="1:30" ht="30" customHeight="1" x14ac:dyDescent="0.3">
      <c r="A454" s="92" t="s">
        <v>614</v>
      </c>
      <c r="B454" s="92" t="s">
        <v>97</v>
      </c>
      <c r="C454" s="16" t="s">
        <v>628</v>
      </c>
      <c r="D454" s="136">
        <v>79170</v>
      </c>
      <c r="E454" s="136"/>
      <c r="F454" s="17" t="s">
        <v>616</v>
      </c>
      <c r="G454" s="17" t="s">
        <v>617</v>
      </c>
      <c r="H454" s="16" t="s">
        <v>618</v>
      </c>
      <c r="I454" s="136">
        <v>1</v>
      </c>
      <c r="J454" s="136"/>
      <c r="K454" s="136"/>
      <c r="L454" s="136"/>
      <c r="M454" s="136"/>
      <c r="N454" s="93" t="s">
        <v>56</v>
      </c>
      <c r="O454" s="138">
        <f t="shared" si="63"/>
        <v>1</v>
      </c>
      <c r="P454" s="118">
        <v>44916</v>
      </c>
      <c r="Q454" s="139"/>
      <c r="R454" s="140">
        <v>1</v>
      </c>
      <c r="S454" s="140">
        <v>1</v>
      </c>
      <c r="T454" s="140">
        <v>0</v>
      </c>
      <c r="U454" s="141">
        <f>IF(ISBLANK(Table1[[#This Row],[OHC Date]]),$B$7-Table1[[#This Row],[HOC Date]]+1,Table1[[#This Row],[OHC Date]]-Table1[[#This Row],[HOC Date]]+1)/7</f>
        <v>5.1428571428571432</v>
      </c>
      <c r="V454" s="142">
        <v>34922.6</v>
      </c>
      <c r="W454" s="142">
        <v>1384.55</v>
      </c>
      <c r="X454" s="142">
        <f>ROUND(0.7*Table1[[#This Row],[E&amp;D Rate per unit]]*R454*Table1[[#This Row],[Quantity]],2)</f>
        <v>24445.82</v>
      </c>
      <c r="Y454" s="142">
        <f t="shared" si="64"/>
        <v>7120.54</v>
      </c>
      <c r="Z454" s="142">
        <f>ROUND(0.3*T454*Table1[[#This Row],[E&amp;D Rate per unit]]*Table1[[#This Row],[Quantity]],2)</f>
        <v>0</v>
      </c>
      <c r="AA454" s="142">
        <f t="shared" si="65"/>
        <v>31566.36</v>
      </c>
      <c r="AB454" s="143">
        <v>25434.78</v>
      </c>
      <c r="AC454" s="143">
        <f>Table1[[#This Row],[Total Amount]]-Table1[[#This Row],[Previous Amount]]</f>
        <v>6131.5800000000017</v>
      </c>
      <c r="AD454" s="132" t="s">
        <v>619</v>
      </c>
    </row>
    <row r="455" spans="1:30" ht="30" customHeight="1" x14ac:dyDescent="0.3">
      <c r="A455" s="92" t="s">
        <v>89</v>
      </c>
      <c r="B455" s="92" t="s">
        <v>97</v>
      </c>
      <c r="C455" s="16" t="s">
        <v>620</v>
      </c>
      <c r="D455" s="136">
        <v>79171</v>
      </c>
      <c r="E455" s="136"/>
      <c r="F455" s="17" t="s">
        <v>427</v>
      </c>
      <c r="G455" s="17" t="s">
        <v>621</v>
      </c>
      <c r="H455" s="16" t="s">
        <v>176</v>
      </c>
      <c r="I455" s="136">
        <v>1</v>
      </c>
      <c r="J455" s="136">
        <v>1.8</v>
      </c>
      <c r="K455" s="136">
        <v>1.8</v>
      </c>
      <c r="L455" s="136">
        <v>1</v>
      </c>
      <c r="M455" s="136">
        <v>1</v>
      </c>
      <c r="N455" s="93" t="s">
        <v>160</v>
      </c>
      <c r="O455" s="138">
        <f t="shared" si="63"/>
        <v>3.24</v>
      </c>
      <c r="P455" s="118">
        <v>44916</v>
      </c>
      <c r="Q455" s="139"/>
      <c r="R455" s="140">
        <v>1</v>
      </c>
      <c r="S455" s="140">
        <v>1</v>
      </c>
      <c r="T455" s="140">
        <v>0</v>
      </c>
      <c r="U455" s="141">
        <f>IF(ISBLANK(Table1[[#This Row],[OHC Date]]),$B$7-Table1[[#This Row],[HOC Date]]+1,Table1[[#This Row],[OHC Date]]-Table1[[#This Row],[HOC Date]]+1)/7</f>
        <v>5.1428571428571432</v>
      </c>
      <c r="V455" s="142">
        <v>6.63</v>
      </c>
      <c r="W455" s="142">
        <v>0.7</v>
      </c>
      <c r="X455" s="142">
        <f>ROUND(0.7*Table1[[#This Row],[E&amp;D Rate per unit]]*R455*Table1[[#This Row],[Quantity]],2)</f>
        <v>15.04</v>
      </c>
      <c r="Y455" s="142">
        <f t="shared" si="64"/>
        <v>11.66</v>
      </c>
      <c r="Z455" s="142">
        <f>ROUND(0.3*T455*Table1[[#This Row],[E&amp;D Rate per unit]]*Table1[[#This Row],[Quantity]],2)</f>
        <v>0</v>
      </c>
      <c r="AA455" s="142">
        <f t="shared" si="65"/>
        <v>26.7</v>
      </c>
      <c r="AB455" s="143">
        <v>16.66</v>
      </c>
      <c r="AC455" s="143">
        <f>Table1[[#This Row],[Total Amount]]-Table1[[#This Row],[Previous Amount]]</f>
        <v>10.039999999999999</v>
      </c>
      <c r="AD455" s="144"/>
    </row>
    <row r="456" spans="1:30" ht="30" customHeight="1" x14ac:dyDescent="0.3">
      <c r="A456" s="92" t="s">
        <v>89</v>
      </c>
      <c r="B456" s="92" t="s">
        <v>97</v>
      </c>
      <c r="C456" s="16" t="s">
        <v>622</v>
      </c>
      <c r="D456" s="136">
        <v>79172</v>
      </c>
      <c r="E456" s="136"/>
      <c r="F456" s="17" t="s">
        <v>427</v>
      </c>
      <c r="G456" s="17" t="s">
        <v>621</v>
      </c>
      <c r="H456" s="102" t="s">
        <v>127</v>
      </c>
      <c r="I456" s="136">
        <v>1</v>
      </c>
      <c r="J456" s="136">
        <v>1.8</v>
      </c>
      <c r="K456" s="136">
        <v>1</v>
      </c>
      <c r="L456" s="136">
        <v>1</v>
      </c>
      <c r="M456" s="136">
        <v>1</v>
      </c>
      <c r="N456" s="93" t="s">
        <v>160</v>
      </c>
      <c r="O456" s="138">
        <f t="shared" si="63"/>
        <v>1.8</v>
      </c>
      <c r="P456" s="118">
        <v>44916</v>
      </c>
      <c r="Q456" s="139"/>
      <c r="R456" s="140">
        <v>1</v>
      </c>
      <c r="S456" s="140">
        <v>1</v>
      </c>
      <c r="T456" s="140">
        <v>0</v>
      </c>
      <c r="U456" s="141">
        <f>IF(ISBLANK(Table1[[#This Row],[OHC Date]]),$B$7-Table1[[#This Row],[HOC Date]]+1,Table1[[#This Row],[OHC Date]]-Table1[[#This Row],[HOC Date]]+1)/7</f>
        <v>5.1428571428571432</v>
      </c>
      <c r="V456" s="142">
        <v>36.520000000000003</v>
      </c>
      <c r="W456" s="142">
        <v>2.94</v>
      </c>
      <c r="X456" s="142">
        <f>ROUND(0.7*Table1[[#This Row],[E&amp;D Rate per unit]]*R456*Table1[[#This Row],[Quantity]],2)</f>
        <v>46.02</v>
      </c>
      <c r="Y456" s="142">
        <f t="shared" si="64"/>
        <v>27.22</v>
      </c>
      <c r="Z456" s="142">
        <f>ROUND(0.3*T456*Table1[[#This Row],[E&amp;D Rate per unit]]*Table1[[#This Row],[Quantity]],2)</f>
        <v>0</v>
      </c>
      <c r="AA456" s="142">
        <f t="shared" si="65"/>
        <v>73.239999999999995</v>
      </c>
      <c r="AB456" s="143">
        <v>49.8</v>
      </c>
      <c r="AC456" s="143">
        <f>Table1[[#This Row],[Total Amount]]-Table1[[#This Row],[Previous Amount]]</f>
        <v>23.439999999999998</v>
      </c>
      <c r="AD456" s="144"/>
    </row>
    <row r="457" spans="1:30" ht="30" customHeight="1" x14ac:dyDescent="0.3">
      <c r="A457" s="92" t="s">
        <v>89</v>
      </c>
      <c r="B457" s="92" t="s">
        <v>97</v>
      </c>
      <c r="C457" s="148">
        <v>151</v>
      </c>
      <c r="D457" s="136">
        <v>79173</v>
      </c>
      <c r="E457" s="136"/>
      <c r="F457" s="17" t="s">
        <v>552</v>
      </c>
      <c r="G457" s="17" t="s">
        <v>209</v>
      </c>
      <c r="H457" s="136" t="s">
        <v>220</v>
      </c>
      <c r="I457" s="136">
        <v>1</v>
      </c>
      <c r="J457" s="136">
        <v>2.5</v>
      </c>
      <c r="K457" s="136">
        <v>1.3</v>
      </c>
      <c r="L457" s="136">
        <v>2</v>
      </c>
      <c r="M457" s="136">
        <v>1</v>
      </c>
      <c r="N457" s="93" t="s">
        <v>221</v>
      </c>
      <c r="O457" s="138">
        <f t="shared" si="63"/>
        <v>2</v>
      </c>
      <c r="P457" s="118">
        <v>44917</v>
      </c>
      <c r="Q457" s="139"/>
      <c r="R457" s="140">
        <v>1</v>
      </c>
      <c r="S457" s="140">
        <v>1</v>
      </c>
      <c r="T457" s="140">
        <v>0</v>
      </c>
      <c r="U457" s="141">
        <f>IF(ISBLANK(Table1[[#This Row],[OHC Date]]),$B$7-Table1[[#This Row],[HOC Date]]+1,Table1[[#This Row],[OHC Date]]-Table1[[#This Row],[HOC Date]]+1)/7</f>
        <v>5</v>
      </c>
      <c r="V457" s="142">
        <v>63.34</v>
      </c>
      <c r="W457" s="142">
        <v>7.28</v>
      </c>
      <c r="X457" s="142">
        <f>ROUND(0.7*Table1[[#This Row],[E&amp;D Rate per unit]]*R457*Table1[[#This Row],[Quantity]],2)</f>
        <v>88.68</v>
      </c>
      <c r="Y457" s="142">
        <f t="shared" si="64"/>
        <v>72.8</v>
      </c>
      <c r="Z457" s="142">
        <f>ROUND(0.3*T457*Table1[[#This Row],[E&amp;D Rate per unit]]*Table1[[#This Row],[Quantity]],2)</f>
        <v>0</v>
      </c>
      <c r="AA457" s="142">
        <f t="shared" si="65"/>
        <v>161.47999999999999</v>
      </c>
      <c r="AB457" s="143">
        <v>97</v>
      </c>
      <c r="AC457" s="143">
        <f>Table1[[#This Row],[Total Amount]]-Table1[[#This Row],[Previous Amount]]</f>
        <v>64.47999999999999</v>
      </c>
      <c r="AD457" s="144"/>
    </row>
    <row r="458" spans="1:30" ht="30" customHeight="1" x14ac:dyDescent="0.3">
      <c r="A458" s="92" t="s">
        <v>89</v>
      </c>
      <c r="B458" s="92" t="s">
        <v>97</v>
      </c>
      <c r="C458" s="147">
        <v>152</v>
      </c>
      <c r="D458" s="136">
        <v>79174</v>
      </c>
      <c r="E458" s="136"/>
      <c r="F458" s="17" t="s">
        <v>552</v>
      </c>
      <c r="G458" s="17" t="s">
        <v>336</v>
      </c>
      <c r="H458" s="136" t="s">
        <v>220</v>
      </c>
      <c r="I458" s="136">
        <v>1</v>
      </c>
      <c r="J458" s="136">
        <v>2.5</v>
      </c>
      <c r="K458" s="136">
        <v>1.3</v>
      </c>
      <c r="L458" s="136">
        <v>2</v>
      </c>
      <c r="M458" s="136">
        <v>1</v>
      </c>
      <c r="N458" s="93" t="s">
        <v>221</v>
      </c>
      <c r="O458" s="138">
        <f t="shared" si="63"/>
        <v>2</v>
      </c>
      <c r="P458" s="118">
        <v>44917</v>
      </c>
      <c r="Q458" s="139"/>
      <c r="R458" s="140">
        <v>1</v>
      </c>
      <c r="S458" s="140">
        <v>1</v>
      </c>
      <c r="T458" s="140">
        <v>0</v>
      </c>
      <c r="U458" s="141">
        <f>IF(ISBLANK(Table1[[#This Row],[OHC Date]]),$B$7-Table1[[#This Row],[HOC Date]]+1,Table1[[#This Row],[OHC Date]]-Table1[[#This Row],[HOC Date]]+1)/7</f>
        <v>5</v>
      </c>
      <c r="V458" s="142">
        <v>63.34</v>
      </c>
      <c r="W458" s="142">
        <v>7.28</v>
      </c>
      <c r="X458" s="142">
        <f>ROUND(0.7*Table1[[#This Row],[E&amp;D Rate per unit]]*R458*Table1[[#This Row],[Quantity]],2)</f>
        <v>88.68</v>
      </c>
      <c r="Y458" s="142">
        <f t="shared" si="64"/>
        <v>72.8</v>
      </c>
      <c r="Z458" s="142">
        <f>ROUND(0.3*T458*Table1[[#This Row],[E&amp;D Rate per unit]]*Table1[[#This Row],[Quantity]],2)</f>
        <v>0</v>
      </c>
      <c r="AA458" s="142">
        <f t="shared" si="65"/>
        <v>161.47999999999999</v>
      </c>
      <c r="AB458" s="143">
        <v>97</v>
      </c>
      <c r="AC458" s="143">
        <f>Table1[[#This Row],[Total Amount]]-Table1[[#This Row],[Previous Amount]]</f>
        <v>64.47999999999999</v>
      </c>
      <c r="AD458" s="144"/>
    </row>
    <row r="459" spans="1:30" ht="30" customHeight="1" x14ac:dyDescent="0.3">
      <c r="A459" s="92" t="s">
        <v>89</v>
      </c>
      <c r="B459" s="92" t="s">
        <v>96</v>
      </c>
      <c r="C459" s="136" t="s">
        <v>524</v>
      </c>
      <c r="D459" s="136">
        <v>79060</v>
      </c>
      <c r="E459" s="136">
        <v>80836</v>
      </c>
      <c r="F459" s="137" t="s">
        <v>275</v>
      </c>
      <c r="G459" s="17" t="s">
        <v>276</v>
      </c>
      <c r="H459" s="136" t="s">
        <v>220</v>
      </c>
      <c r="I459" s="136">
        <v>1</v>
      </c>
      <c r="J459" s="136">
        <v>2.5</v>
      </c>
      <c r="K459" s="136">
        <v>1.3</v>
      </c>
      <c r="L459" s="136">
        <v>1.5</v>
      </c>
      <c r="M459" s="136">
        <v>1</v>
      </c>
      <c r="N459" s="138" t="s">
        <v>221</v>
      </c>
      <c r="O459" s="138">
        <f t="shared" si="57"/>
        <v>1.5</v>
      </c>
      <c r="P459" s="118">
        <v>44891</v>
      </c>
      <c r="Q459" s="139">
        <v>44916</v>
      </c>
      <c r="R459" s="140">
        <v>1</v>
      </c>
      <c r="S459" s="140">
        <v>1</v>
      </c>
      <c r="T459" s="140">
        <v>1</v>
      </c>
      <c r="U459" s="141">
        <f>IF(ISBLANK(Table1[[#This Row],[OHC Date]]),$B$7-Table1[[#This Row],[HOC Date]]+1,Table1[[#This Row],[OHC Date]]-Table1[[#This Row],[HOC Date]]+1)/7</f>
        <v>3.7142857142857144</v>
      </c>
      <c r="V459" s="142">
        <v>63.34</v>
      </c>
      <c r="W459" s="142">
        <v>7.28</v>
      </c>
      <c r="X459" s="142">
        <f>ROUND(0.7*Table1[[#This Row],[E&amp;D Rate per unit]]*R459*Table1[[#This Row],[Quantity]],2)</f>
        <v>66.510000000000005</v>
      </c>
      <c r="Y459" s="142">
        <f t="shared" si="58"/>
        <v>40.56</v>
      </c>
      <c r="Z459" s="142">
        <f>ROUND(0.3*T459*Table1[[#This Row],[E&amp;D Rate per unit]]*Table1[[#This Row],[Quantity]],2)</f>
        <v>28.5</v>
      </c>
      <c r="AA459" s="142">
        <f t="shared" si="59"/>
        <v>135.57</v>
      </c>
      <c r="AB459" s="143">
        <v>135.57</v>
      </c>
      <c r="AC459" s="143">
        <f>Table1[[#This Row],[Total Amount]]-Table1[[#This Row],[Previous Amount]]</f>
        <v>0</v>
      </c>
      <c r="AD459" s="144"/>
    </row>
    <row r="460" spans="1:30" ht="30" customHeight="1" x14ac:dyDescent="0.3">
      <c r="A460" s="145" t="s">
        <v>426</v>
      </c>
      <c r="B460" s="92" t="s">
        <v>96</v>
      </c>
      <c r="C460" s="136">
        <v>60</v>
      </c>
      <c r="D460" s="136">
        <v>79061</v>
      </c>
      <c r="E460" s="136"/>
      <c r="F460" s="137" t="s">
        <v>427</v>
      </c>
      <c r="G460" s="17" t="s">
        <v>525</v>
      </c>
      <c r="H460" s="136" t="s">
        <v>220</v>
      </c>
      <c r="I460" s="136">
        <v>1</v>
      </c>
      <c r="J460" s="136">
        <v>2.5</v>
      </c>
      <c r="K460" s="136">
        <v>1.3</v>
      </c>
      <c r="L460" s="136">
        <v>3.7</v>
      </c>
      <c r="M460" s="136">
        <v>1</v>
      </c>
      <c r="N460" s="138" t="s">
        <v>56</v>
      </c>
      <c r="O460" s="138">
        <f t="shared" si="57"/>
        <v>1</v>
      </c>
      <c r="P460" s="118">
        <v>44891</v>
      </c>
      <c r="Q460" s="139"/>
      <c r="R460" s="140">
        <v>1</v>
      </c>
      <c r="S460" s="140">
        <v>1</v>
      </c>
      <c r="T460" s="140">
        <v>0</v>
      </c>
      <c r="U460" s="141">
        <f>IF(ISBLANK(Table1[[#This Row],[OHC Date]]),$B$7-Table1[[#This Row],[HOC Date]]+1,Table1[[#This Row],[OHC Date]]-Table1[[#This Row],[HOC Date]]+1)/7</f>
        <v>8.7142857142857135</v>
      </c>
      <c r="V460" s="142">
        <v>1182.48</v>
      </c>
      <c r="W460" s="142">
        <v>26.94</v>
      </c>
      <c r="X460" s="142">
        <f>ROUND(0.7*Table1[[#This Row],[E&amp;D Rate per unit]]*R460*Table1[[#This Row],[Quantity]],2)</f>
        <v>827.74</v>
      </c>
      <c r="Y460" s="142">
        <f t="shared" si="58"/>
        <v>234.76</v>
      </c>
      <c r="Z460" s="142">
        <f>ROUND(0.3*T460*Table1[[#This Row],[E&amp;D Rate per unit]]*Table1[[#This Row],[Quantity]],2)</f>
        <v>0</v>
      </c>
      <c r="AA460" s="142">
        <f t="shared" si="59"/>
        <v>1062.5</v>
      </c>
      <c r="AB460" s="143">
        <v>943.18</v>
      </c>
      <c r="AC460" s="143">
        <f>Table1[[#This Row],[Total Amount]]-Table1[[#This Row],[Previous Amount]]</f>
        <v>119.32000000000005</v>
      </c>
      <c r="AD460" s="146" t="s">
        <v>526</v>
      </c>
    </row>
    <row r="461" spans="1:30" ht="30" customHeight="1" x14ac:dyDescent="0.3">
      <c r="A461" s="92" t="s">
        <v>89</v>
      </c>
      <c r="B461" s="92" t="s">
        <v>96</v>
      </c>
      <c r="C461" s="136" t="s">
        <v>347</v>
      </c>
      <c r="D461" s="136">
        <v>79061</v>
      </c>
      <c r="E461" s="136"/>
      <c r="F461" s="137" t="s">
        <v>427</v>
      </c>
      <c r="G461" s="17" t="s">
        <v>525</v>
      </c>
      <c r="H461" s="102" t="s">
        <v>127</v>
      </c>
      <c r="I461" s="136">
        <v>1</v>
      </c>
      <c r="J461" s="136">
        <v>2</v>
      </c>
      <c r="K461" s="136">
        <v>1.3</v>
      </c>
      <c r="L461" s="136">
        <v>1</v>
      </c>
      <c r="M461" s="136">
        <v>1</v>
      </c>
      <c r="N461" s="138" t="s">
        <v>160</v>
      </c>
      <c r="O461" s="138">
        <f t="shared" ref="O461:O471" si="66">ROUND(IF(N461="m3",I461*J461*K461*L461,IF(N461="m2-LxH",I461*J461*L461,IF(N461="m2-LxW",I461*J461*K461,IF(N461="rm",I461*L461,IF(N461="lm",I461*J461,IF(N461="unit",I461,"NA")))))),2)</f>
        <v>2.6</v>
      </c>
      <c r="P461" s="118">
        <v>44891</v>
      </c>
      <c r="Q461" s="139"/>
      <c r="R461" s="140">
        <v>1</v>
      </c>
      <c r="S461" s="140">
        <v>1</v>
      </c>
      <c r="T461" s="140">
        <v>0</v>
      </c>
      <c r="U461" s="141">
        <f>IF(ISBLANK(Table1[[#This Row],[OHC Date]]),$B$7-Table1[[#This Row],[HOC Date]]+1,Table1[[#This Row],[OHC Date]]-Table1[[#This Row],[HOC Date]]+1)/7</f>
        <v>8.7142857142857135</v>
      </c>
      <c r="V461" s="142">
        <v>36.520000000000003</v>
      </c>
      <c r="W461" s="142">
        <v>2.94</v>
      </c>
      <c r="X461" s="142">
        <f>ROUND(0.7*Table1[[#This Row],[E&amp;D Rate per unit]]*R461*Table1[[#This Row],[Quantity]],2)</f>
        <v>66.47</v>
      </c>
      <c r="Y461" s="142">
        <f t="shared" ref="Y461:Y471" si="67">ROUND(O461*U461*W461*S461,2)</f>
        <v>66.61</v>
      </c>
      <c r="Z461" s="142">
        <f>ROUND(0.3*T461*Table1[[#This Row],[E&amp;D Rate per unit]]*Table1[[#This Row],[Quantity]],2)</f>
        <v>0</v>
      </c>
      <c r="AA461" s="142">
        <f t="shared" ref="AA461:AA471" si="68">ROUND(X461+Z461+Y461,2)</f>
        <v>133.08000000000001</v>
      </c>
      <c r="AB461" s="143">
        <v>99.23</v>
      </c>
      <c r="AC461" s="143">
        <f>Table1[[#This Row],[Total Amount]]-Table1[[#This Row],[Previous Amount]]</f>
        <v>33.850000000000009</v>
      </c>
      <c r="AD461" s="144"/>
    </row>
    <row r="462" spans="1:30" ht="30" customHeight="1" x14ac:dyDescent="0.3">
      <c r="A462" s="92" t="s">
        <v>89</v>
      </c>
      <c r="B462" s="92" t="s">
        <v>96</v>
      </c>
      <c r="C462" s="136">
        <v>61</v>
      </c>
      <c r="D462" s="136">
        <v>79062</v>
      </c>
      <c r="E462" s="136">
        <v>76840</v>
      </c>
      <c r="F462" s="137" t="s">
        <v>527</v>
      </c>
      <c r="G462" s="17" t="s">
        <v>226</v>
      </c>
      <c r="H462" s="102" t="s">
        <v>118</v>
      </c>
      <c r="I462" s="136">
        <v>1</v>
      </c>
      <c r="J462" s="136">
        <v>29.3</v>
      </c>
      <c r="K462" s="136">
        <v>2.5</v>
      </c>
      <c r="L462" s="136">
        <v>2</v>
      </c>
      <c r="M462" s="136">
        <v>1</v>
      </c>
      <c r="N462" s="138" t="s">
        <v>206</v>
      </c>
      <c r="O462" s="138">
        <f t="shared" si="66"/>
        <v>58.6</v>
      </c>
      <c r="P462" s="118">
        <v>44893</v>
      </c>
      <c r="Q462" s="139">
        <v>44900</v>
      </c>
      <c r="R462" s="140">
        <v>1</v>
      </c>
      <c r="S462" s="140">
        <v>1</v>
      </c>
      <c r="T462" s="140">
        <v>1</v>
      </c>
      <c r="U462" s="141">
        <f>IF(ISBLANK(Table1[[#This Row],[OHC Date]]),$B$7-Table1[[#This Row],[HOC Date]]+1,Table1[[#This Row],[OHC Date]]-Table1[[#This Row],[HOC Date]]+1)/7</f>
        <v>1.1428571428571428</v>
      </c>
      <c r="V462" s="142">
        <v>16.760000000000002</v>
      </c>
      <c r="W462" s="142">
        <v>0.77</v>
      </c>
      <c r="X462" s="142">
        <f>ROUND(0.7*Table1[[#This Row],[E&amp;D Rate per unit]]*R462*Table1[[#This Row],[Quantity]],2)</f>
        <v>687.5</v>
      </c>
      <c r="Y462" s="142">
        <f t="shared" si="67"/>
        <v>51.57</v>
      </c>
      <c r="Z462" s="142">
        <f>ROUND(0.3*T462*Table1[[#This Row],[E&amp;D Rate per unit]]*Table1[[#This Row],[Quantity]],2)</f>
        <v>294.64</v>
      </c>
      <c r="AA462" s="142">
        <f t="shared" si="68"/>
        <v>1033.71</v>
      </c>
      <c r="AB462" s="143">
        <v>1033.71</v>
      </c>
      <c r="AC462" s="143">
        <f>Table1[[#This Row],[Total Amount]]-Table1[[#This Row],[Previous Amount]]</f>
        <v>0</v>
      </c>
      <c r="AD462" s="144"/>
    </row>
    <row r="463" spans="1:30" ht="30" customHeight="1" x14ac:dyDescent="0.3">
      <c r="A463" s="145" t="s">
        <v>426</v>
      </c>
      <c r="B463" s="92" t="s">
        <v>96</v>
      </c>
      <c r="C463" s="136">
        <v>62</v>
      </c>
      <c r="D463" s="136">
        <v>79063</v>
      </c>
      <c r="E463" s="136"/>
      <c r="F463" s="137" t="s">
        <v>496</v>
      </c>
      <c r="G463" s="17" t="s">
        <v>528</v>
      </c>
      <c r="H463" s="136" t="s">
        <v>220</v>
      </c>
      <c r="I463" s="136">
        <v>1</v>
      </c>
      <c r="J463" s="136">
        <v>2.5</v>
      </c>
      <c r="K463" s="136">
        <v>1.8</v>
      </c>
      <c r="L463" s="136">
        <v>4</v>
      </c>
      <c r="M463" s="136">
        <v>1</v>
      </c>
      <c r="N463" s="138" t="s">
        <v>56</v>
      </c>
      <c r="O463" s="138">
        <f t="shared" si="66"/>
        <v>1</v>
      </c>
      <c r="P463" s="118">
        <v>44893</v>
      </c>
      <c r="Q463" s="139"/>
      <c r="R463" s="140">
        <v>1</v>
      </c>
      <c r="S463" s="140">
        <v>1</v>
      </c>
      <c r="T463" s="140">
        <v>0</v>
      </c>
      <c r="U463" s="141">
        <f>IF(ISBLANK(Table1[[#This Row],[OHC Date]]),$B$7-Table1[[#This Row],[HOC Date]]+1,Table1[[#This Row],[OHC Date]]-Table1[[#This Row],[HOC Date]]+1)/7</f>
        <v>8.4285714285714288</v>
      </c>
      <c r="V463" s="142">
        <v>1278.3599999999999</v>
      </c>
      <c r="W463" s="142">
        <v>29.12</v>
      </c>
      <c r="X463" s="142">
        <f>ROUND(0.7*Table1[[#This Row],[E&amp;D Rate per unit]]*R463*Table1[[#This Row],[Quantity]],2)</f>
        <v>894.85</v>
      </c>
      <c r="Y463" s="142">
        <f t="shared" si="67"/>
        <v>245.44</v>
      </c>
      <c r="Z463" s="142">
        <f>ROUND(0.3*T463*Table1[[#This Row],[E&amp;D Rate per unit]]*Table1[[#This Row],[Quantity]],2)</f>
        <v>0</v>
      </c>
      <c r="AA463" s="142">
        <f t="shared" si="68"/>
        <v>1140.29</v>
      </c>
      <c r="AB463" s="143">
        <v>1011.33</v>
      </c>
      <c r="AC463" s="143">
        <f>Table1[[#This Row],[Total Amount]]-Table1[[#This Row],[Previous Amount]]</f>
        <v>128.95999999999992</v>
      </c>
      <c r="AD463" s="146" t="s">
        <v>529</v>
      </c>
    </row>
    <row r="464" spans="1:30" ht="30" customHeight="1" x14ac:dyDescent="0.3">
      <c r="A464" s="92" t="s">
        <v>89</v>
      </c>
      <c r="B464" s="92" t="s">
        <v>96</v>
      </c>
      <c r="C464" s="136" t="s">
        <v>530</v>
      </c>
      <c r="D464" s="136">
        <v>79063</v>
      </c>
      <c r="E464" s="136"/>
      <c r="F464" s="137" t="s">
        <v>496</v>
      </c>
      <c r="G464" s="17" t="s">
        <v>528</v>
      </c>
      <c r="H464" s="102" t="s">
        <v>127</v>
      </c>
      <c r="I464" s="136">
        <v>1</v>
      </c>
      <c r="J464" s="136">
        <v>1.5</v>
      </c>
      <c r="K464" s="136">
        <v>1</v>
      </c>
      <c r="L464" s="136">
        <v>1</v>
      </c>
      <c r="M464" s="136">
        <v>1</v>
      </c>
      <c r="N464" s="138" t="s">
        <v>160</v>
      </c>
      <c r="O464" s="138">
        <f t="shared" si="66"/>
        <v>1.5</v>
      </c>
      <c r="P464" s="118">
        <v>44893</v>
      </c>
      <c r="Q464" s="139"/>
      <c r="R464" s="140">
        <v>1</v>
      </c>
      <c r="S464" s="140">
        <v>1</v>
      </c>
      <c r="T464" s="140">
        <v>0</v>
      </c>
      <c r="U464" s="141">
        <f>IF(ISBLANK(Table1[[#This Row],[OHC Date]]),$B$7-Table1[[#This Row],[HOC Date]]+1,Table1[[#This Row],[OHC Date]]-Table1[[#This Row],[HOC Date]]+1)/7</f>
        <v>8.4285714285714288</v>
      </c>
      <c r="V464" s="142">
        <v>36.520000000000003</v>
      </c>
      <c r="W464" s="142">
        <v>2.94</v>
      </c>
      <c r="X464" s="142">
        <f>ROUND(0.7*Table1[[#This Row],[E&amp;D Rate per unit]]*R464*Table1[[#This Row],[Quantity]],2)</f>
        <v>38.35</v>
      </c>
      <c r="Y464" s="142">
        <f t="shared" si="67"/>
        <v>37.17</v>
      </c>
      <c r="Z464" s="142">
        <f>ROUND(0.3*T464*Table1[[#This Row],[E&amp;D Rate per unit]]*Table1[[#This Row],[Quantity]],2)</f>
        <v>0</v>
      </c>
      <c r="AA464" s="142">
        <f t="shared" si="68"/>
        <v>75.52</v>
      </c>
      <c r="AB464" s="143">
        <v>55.99</v>
      </c>
      <c r="AC464" s="143">
        <f>Table1[[#This Row],[Total Amount]]-Table1[[#This Row],[Previous Amount]]</f>
        <v>19.529999999999994</v>
      </c>
      <c r="AD464" s="144"/>
    </row>
    <row r="465" spans="1:30" ht="30" customHeight="1" x14ac:dyDescent="0.3">
      <c r="A465" s="92" t="s">
        <v>89</v>
      </c>
      <c r="B465" s="92" t="s">
        <v>96</v>
      </c>
      <c r="C465" s="136">
        <v>63</v>
      </c>
      <c r="D465" s="136">
        <v>79064</v>
      </c>
      <c r="E465" s="136">
        <v>76841</v>
      </c>
      <c r="F465" s="137" t="s">
        <v>531</v>
      </c>
      <c r="G465" s="17" t="s">
        <v>226</v>
      </c>
      <c r="H465" s="136" t="s">
        <v>220</v>
      </c>
      <c r="I465" s="136">
        <v>1</v>
      </c>
      <c r="J465" s="136">
        <v>2.5</v>
      </c>
      <c r="K465" s="136">
        <v>1.3</v>
      </c>
      <c r="L465" s="136">
        <v>3.5</v>
      </c>
      <c r="M465" s="136">
        <v>1</v>
      </c>
      <c r="N465" s="138" t="s">
        <v>221</v>
      </c>
      <c r="O465" s="138">
        <f t="shared" si="66"/>
        <v>3.5</v>
      </c>
      <c r="P465" s="118">
        <v>44894</v>
      </c>
      <c r="Q465" s="139">
        <v>44900</v>
      </c>
      <c r="R465" s="140">
        <v>1</v>
      </c>
      <c r="S465" s="140">
        <v>1</v>
      </c>
      <c r="T465" s="140">
        <v>1</v>
      </c>
      <c r="U465" s="141">
        <f>IF(ISBLANK(Table1[[#This Row],[OHC Date]]),$B$7-Table1[[#This Row],[HOC Date]]+1,Table1[[#This Row],[OHC Date]]-Table1[[#This Row],[HOC Date]]+1)/7</f>
        <v>1</v>
      </c>
      <c r="V465" s="142">
        <v>63.34</v>
      </c>
      <c r="W465" s="142">
        <v>7.28</v>
      </c>
      <c r="X465" s="142">
        <f>ROUND(0.7*Table1[[#This Row],[E&amp;D Rate per unit]]*R465*Table1[[#This Row],[Quantity]],2)</f>
        <v>155.18</v>
      </c>
      <c r="Y465" s="142">
        <f t="shared" si="67"/>
        <v>25.48</v>
      </c>
      <c r="Z465" s="142">
        <f>ROUND(0.3*T465*Table1[[#This Row],[E&amp;D Rate per unit]]*Table1[[#This Row],[Quantity]],2)</f>
        <v>66.510000000000005</v>
      </c>
      <c r="AA465" s="142">
        <f t="shared" si="68"/>
        <v>247.17</v>
      </c>
      <c r="AB465" s="143">
        <v>247.17</v>
      </c>
      <c r="AC465" s="143">
        <f>Table1[[#This Row],[Total Amount]]-Table1[[#This Row],[Previous Amount]]</f>
        <v>0</v>
      </c>
      <c r="AD465" s="144"/>
    </row>
    <row r="466" spans="1:30" ht="30" customHeight="1" x14ac:dyDescent="0.3">
      <c r="A466" s="92" t="s">
        <v>89</v>
      </c>
      <c r="B466" s="92" t="s">
        <v>96</v>
      </c>
      <c r="C466" s="136" t="s">
        <v>381</v>
      </c>
      <c r="D466" s="136">
        <v>79065</v>
      </c>
      <c r="E466" s="136">
        <v>76838</v>
      </c>
      <c r="F466" s="137" t="s">
        <v>527</v>
      </c>
      <c r="G466" s="17" t="s">
        <v>226</v>
      </c>
      <c r="H466" s="102" t="s">
        <v>118</v>
      </c>
      <c r="I466" s="136">
        <v>1</v>
      </c>
      <c r="J466" s="136">
        <v>15</v>
      </c>
      <c r="K466" s="136">
        <v>2.5</v>
      </c>
      <c r="L466" s="136">
        <v>2.2999999999999998</v>
      </c>
      <c r="M466" s="136">
        <v>1</v>
      </c>
      <c r="N466" s="138" t="s">
        <v>206</v>
      </c>
      <c r="O466" s="138">
        <f t="shared" si="66"/>
        <v>34.5</v>
      </c>
      <c r="P466" s="118">
        <v>44894</v>
      </c>
      <c r="Q466" s="139">
        <v>44895</v>
      </c>
      <c r="R466" s="140">
        <v>1</v>
      </c>
      <c r="S466" s="140">
        <v>1</v>
      </c>
      <c r="T466" s="140">
        <v>1</v>
      </c>
      <c r="U466" s="141">
        <f>IF(ISBLANK(Table1[[#This Row],[OHC Date]]),$B$7-Table1[[#This Row],[HOC Date]]+1,Table1[[#This Row],[OHC Date]]-Table1[[#This Row],[HOC Date]]+1)/7</f>
        <v>0.2857142857142857</v>
      </c>
      <c r="V466" s="142">
        <v>16.760000000000002</v>
      </c>
      <c r="W466" s="142">
        <v>0.77</v>
      </c>
      <c r="X466" s="142">
        <f>ROUND(0.7*Table1[[#This Row],[E&amp;D Rate per unit]]*R466*Table1[[#This Row],[Quantity]],2)</f>
        <v>404.75</v>
      </c>
      <c r="Y466" s="142">
        <f t="shared" si="67"/>
        <v>7.59</v>
      </c>
      <c r="Z466" s="142">
        <f>ROUND(0.3*T466*Table1[[#This Row],[E&amp;D Rate per unit]]*Table1[[#This Row],[Quantity]],2)</f>
        <v>173.47</v>
      </c>
      <c r="AA466" s="142">
        <f t="shared" si="68"/>
        <v>585.80999999999995</v>
      </c>
      <c r="AB466" s="143">
        <v>585.80999999999995</v>
      </c>
      <c r="AC466" s="143">
        <f>Table1[[#This Row],[Total Amount]]-Table1[[#This Row],[Previous Amount]]</f>
        <v>0</v>
      </c>
      <c r="AD466" s="144"/>
    </row>
    <row r="467" spans="1:30" ht="30" customHeight="1" x14ac:dyDescent="0.3">
      <c r="A467" s="92" t="s">
        <v>89</v>
      </c>
      <c r="B467" s="92" t="s">
        <v>96</v>
      </c>
      <c r="C467" s="136" t="s">
        <v>532</v>
      </c>
      <c r="D467" s="136">
        <v>79066</v>
      </c>
      <c r="E467" s="136"/>
      <c r="F467" s="137" t="s">
        <v>307</v>
      </c>
      <c r="G467" s="17" t="s">
        <v>447</v>
      </c>
      <c r="H467" s="136" t="s">
        <v>308</v>
      </c>
      <c r="I467" s="136">
        <v>1</v>
      </c>
      <c r="J467" s="136">
        <v>8</v>
      </c>
      <c r="K467" s="136">
        <v>1</v>
      </c>
      <c r="L467" s="136">
        <v>1</v>
      </c>
      <c r="M467" s="136"/>
      <c r="N467" s="138" t="s">
        <v>283</v>
      </c>
      <c r="O467" s="138">
        <f t="shared" si="66"/>
        <v>8</v>
      </c>
      <c r="P467" s="118">
        <v>44895</v>
      </c>
      <c r="Q467" s="139"/>
      <c r="R467" s="140">
        <v>1</v>
      </c>
      <c r="S467" s="140">
        <v>1</v>
      </c>
      <c r="T467" s="140">
        <v>0</v>
      </c>
      <c r="U467" s="141">
        <f>IF(ISBLANK(Table1[[#This Row],[OHC Date]]),$B$7-Table1[[#This Row],[HOC Date]]+1,Table1[[#This Row],[OHC Date]]-Table1[[#This Row],[HOC Date]]+1)/7</f>
        <v>8.1428571428571423</v>
      </c>
      <c r="V467" s="142">
        <v>15</v>
      </c>
      <c r="W467" s="142">
        <v>0.91</v>
      </c>
      <c r="X467" s="142">
        <f>ROUND(0.7*Table1[[#This Row],[E&amp;D Rate per unit]]*R467*Table1[[#This Row],[Quantity]],2)</f>
        <v>84</v>
      </c>
      <c r="Y467" s="142">
        <f t="shared" si="67"/>
        <v>59.28</v>
      </c>
      <c r="Z467" s="142">
        <f>ROUND(0.3*T467*Table1[[#This Row],[E&amp;D Rate per unit]]*Table1[[#This Row],[Quantity]],2)</f>
        <v>0</v>
      </c>
      <c r="AA467" s="142">
        <f t="shared" si="68"/>
        <v>143.28</v>
      </c>
      <c r="AB467" s="143">
        <v>111.04</v>
      </c>
      <c r="AC467" s="143">
        <f>Table1[[#This Row],[Total Amount]]-Table1[[#This Row],[Previous Amount]]</f>
        <v>32.239999999999995</v>
      </c>
      <c r="AD467" s="144"/>
    </row>
    <row r="468" spans="1:30" ht="30" customHeight="1" x14ac:dyDescent="0.3">
      <c r="A468" s="92" t="s">
        <v>89</v>
      </c>
      <c r="B468" s="92" t="s">
        <v>96</v>
      </c>
      <c r="C468" s="136" t="s">
        <v>533</v>
      </c>
      <c r="D468" s="136">
        <v>79067</v>
      </c>
      <c r="E468" s="196">
        <v>80846</v>
      </c>
      <c r="F468" s="137" t="s">
        <v>534</v>
      </c>
      <c r="G468" s="17" t="s">
        <v>535</v>
      </c>
      <c r="H468" s="136" t="s">
        <v>220</v>
      </c>
      <c r="I468" s="136">
        <v>1</v>
      </c>
      <c r="J468" s="136">
        <v>2.5</v>
      </c>
      <c r="K468" s="136">
        <v>1</v>
      </c>
      <c r="L468" s="136">
        <v>1.5</v>
      </c>
      <c r="M468" s="136">
        <v>1</v>
      </c>
      <c r="N468" s="138" t="s">
        <v>221</v>
      </c>
      <c r="O468" s="138">
        <f t="shared" si="66"/>
        <v>1.5</v>
      </c>
      <c r="P468" s="118">
        <v>44895</v>
      </c>
      <c r="Q468" s="189">
        <v>44924</v>
      </c>
      <c r="R468" s="140">
        <v>1</v>
      </c>
      <c r="S468" s="140">
        <v>1</v>
      </c>
      <c r="T468" s="140">
        <v>1</v>
      </c>
      <c r="U468" s="141">
        <f>IF(ISBLANK(Table1[[#This Row],[OHC Date]]),$B$7-Table1[[#This Row],[HOC Date]]+1,Table1[[#This Row],[OHC Date]]-Table1[[#This Row],[HOC Date]]+1)/7</f>
        <v>4.2857142857142856</v>
      </c>
      <c r="V468" s="142">
        <v>63.34</v>
      </c>
      <c r="W468" s="142">
        <v>7.28</v>
      </c>
      <c r="X468" s="142">
        <f>ROUND(0.7*Table1[[#This Row],[E&amp;D Rate per unit]]*R468*Table1[[#This Row],[Quantity]],2)</f>
        <v>66.510000000000005</v>
      </c>
      <c r="Y468" s="142">
        <f t="shared" si="67"/>
        <v>46.8</v>
      </c>
      <c r="Z468" s="142">
        <f>ROUND(0.3*T468*Table1[[#This Row],[E&amp;D Rate per unit]]*Table1[[#This Row],[Quantity]],2)</f>
        <v>28.5</v>
      </c>
      <c r="AA468" s="142">
        <f t="shared" si="68"/>
        <v>141.81</v>
      </c>
      <c r="AB468" s="143">
        <v>107.07</v>
      </c>
      <c r="AC468" s="143">
        <f>Table1[[#This Row],[Total Amount]]-Table1[[#This Row],[Previous Amount]]</f>
        <v>34.740000000000009</v>
      </c>
      <c r="AD468" s="144"/>
    </row>
    <row r="469" spans="1:30" ht="30" customHeight="1" x14ac:dyDescent="0.3">
      <c r="A469" s="92" t="s">
        <v>89</v>
      </c>
      <c r="B469" s="92" t="s">
        <v>96</v>
      </c>
      <c r="C469" s="136" t="s">
        <v>536</v>
      </c>
      <c r="D469" s="136">
        <v>79068</v>
      </c>
      <c r="E469" s="136"/>
      <c r="F469" s="137" t="s">
        <v>537</v>
      </c>
      <c r="G469" s="17" t="s">
        <v>200</v>
      </c>
      <c r="H469" s="102" t="s">
        <v>127</v>
      </c>
      <c r="I469" s="136">
        <v>1</v>
      </c>
      <c r="J469" s="136">
        <v>14.5</v>
      </c>
      <c r="K469" s="136">
        <v>0.75</v>
      </c>
      <c r="L469" s="136">
        <v>1</v>
      </c>
      <c r="M469" s="136">
        <v>1</v>
      </c>
      <c r="N469" s="138" t="s">
        <v>160</v>
      </c>
      <c r="O469" s="138">
        <f t="shared" si="66"/>
        <v>10.88</v>
      </c>
      <c r="P469" s="118">
        <v>44900</v>
      </c>
      <c r="Q469" s="139"/>
      <c r="R469" s="140">
        <v>1</v>
      </c>
      <c r="S469" s="140">
        <v>1</v>
      </c>
      <c r="T469" s="140">
        <v>0</v>
      </c>
      <c r="U469" s="141">
        <f>IF(ISBLANK(Table1[[#This Row],[OHC Date]]),$B$7-Table1[[#This Row],[HOC Date]]+1,Table1[[#This Row],[OHC Date]]-Table1[[#This Row],[HOC Date]]+1)/7</f>
        <v>7.4285714285714288</v>
      </c>
      <c r="V469" s="142">
        <v>36.520000000000003</v>
      </c>
      <c r="W469" s="142">
        <v>2.94</v>
      </c>
      <c r="X469" s="142">
        <f>ROUND(0.7*Table1[[#This Row],[E&amp;D Rate per unit]]*R469*Table1[[#This Row],[Quantity]],2)</f>
        <v>278.14</v>
      </c>
      <c r="Y469" s="142">
        <f t="shared" si="67"/>
        <v>237.62</v>
      </c>
      <c r="Z469" s="142">
        <f>ROUND(0.3*T469*Table1[[#This Row],[E&amp;D Rate per unit]]*Table1[[#This Row],[Quantity]],2)</f>
        <v>0</v>
      </c>
      <c r="AA469" s="142">
        <f t="shared" si="68"/>
        <v>515.76</v>
      </c>
      <c r="AB469" s="143">
        <v>374.1</v>
      </c>
      <c r="AC469" s="143">
        <f>Table1[[#This Row],[Total Amount]]-Table1[[#This Row],[Previous Amount]]</f>
        <v>141.65999999999997</v>
      </c>
      <c r="AD469" s="144"/>
    </row>
    <row r="470" spans="1:30" ht="30" customHeight="1" x14ac:dyDescent="0.3">
      <c r="A470" s="92" t="s">
        <v>89</v>
      </c>
      <c r="B470" s="92" t="s">
        <v>96</v>
      </c>
      <c r="C470" s="136">
        <v>64</v>
      </c>
      <c r="D470" s="136">
        <v>79069</v>
      </c>
      <c r="E470" s="136"/>
      <c r="F470" s="137" t="s">
        <v>538</v>
      </c>
      <c r="G470" s="17" t="s">
        <v>200</v>
      </c>
      <c r="H470" s="102" t="s">
        <v>205</v>
      </c>
      <c r="I470" s="136">
        <v>1</v>
      </c>
      <c r="J470" s="136">
        <v>6.8</v>
      </c>
      <c r="K470" s="136">
        <v>0.9</v>
      </c>
      <c r="L470" s="136">
        <v>3</v>
      </c>
      <c r="M470" s="136">
        <v>1</v>
      </c>
      <c r="N470" s="138" t="s">
        <v>206</v>
      </c>
      <c r="O470" s="138">
        <f t="shared" si="66"/>
        <v>20.399999999999999</v>
      </c>
      <c r="P470" s="118">
        <v>44902</v>
      </c>
      <c r="Q470" s="139"/>
      <c r="R470" s="140">
        <v>1</v>
      </c>
      <c r="S470" s="140">
        <v>1</v>
      </c>
      <c r="T470" s="140">
        <v>0</v>
      </c>
      <c r="U470" s="141">
        <f>IF(ISBLANK(Table1[[#This Row],[OHC Date]]),$B$7-Table1[[#This Row],[HOC Date]]+1,Table1[[#This Row],[OHC Date]]-Table1[[#This Row],[HOC Date]]+1)/7</f>
        <v>7.1428571428571432</v>
      </c>
      <c r="V470" s="142">
        <v>12.01</v>
      </c>
      <c r="W470" s="142">
        <v>0.49</v>
      </c>
      <c r="X470" s="142">
        <f>ROUND(0.7*Table1[[#This Row],[E&amp;D Rate per unit]]*R470*Table1[[#This Row],[Quantity]],2)</f>
        <v>171.5</v>
      </c>
      <c r="Y470" s="142">
        <f t="shared" si="67"/>
        <v>71.400000000000006</v>
      </c>
      <c r="Z470" s="142">
        <f>ROUND(0.3*T470*Table1[[#This Row],[E&amp;D Rate per unit]]*Table1[[#This Row],[Quantity]],2)</f>
        <v>0</v>
      </c>
      <c r="AA470" s="142">
        <f t="shared" si="68"/>
        <v>242.9</v>
      </c>
      <c r="AB470" s="143">
        <v>198.63</v>
      </c>
      <c r="AC470" s="143">
        <f>Table1[[#This Row],[Total Amount]]-Table1[[#This Row],[Previous Amount]]</f>
        <v>44.27000000000001</v>
      </c>
      <c r="AD470" s="144"/>
    </row>
    <row r="471" spans="1:30" ht="30" customHeight="1" x14ac:dyDescent="0.3">
      <c r="A471" s="92" t="s">
        <v>89</v>
      </c>
      <c r="B471" s="92" t="s">
        <v>96</v>
      </c>
      <c r="C471" s="136" t="s">
        <v>539</v>
      </c>
      <c r="D471" s="136">
        <v>79069</v>
      </c>
      <c r="E471" s="136"/>
      <c r="F471" s="137" t="s">
        <v>538</v>
      </c>
      <c r="G471" s="17" t="s">
        <v>200</v>
      </c>
      <c r="H471" s="136" t="s">
        <v>176</v>
      </c>
      <c r="I471" s="136">
        <v>1</v>
      </c>
      <c r="J471" s="136">
        <v>2.5</v>
      </c>
      <c r="K471" s="136">
        <v>0.9</v>
      </c>
      <c r="L471" s="136">
        <v>1</v>
      </c>
      <c r="M471" s="136">
        <v>1</v>
      </c>
      <c r="N471" s="138" t="s">
        <v>160</v>
      </c>
      <c r="O471" s="138">
        <f t="shared" si="66"/>
        <v>2.25</v>
      </c>
      <c r="P471" s="118">
        <v>44902</v>
      </c>
      <c r="Q471" s="139"/>
      <c r="R471" s="140">
        <v>1</v>
      </c>
      <c r="S471" s="140">
        <v>1</v>
      </c>
      <c r="T471" s="140">
        <v>0</v>
      </c>
      <c r="U471" s="141">
        <f>IF(ISBLANK(Table1[[#This Row],[OHC Date]]),$B$7-Table1[[#This Row],[HOC Date]]+1,Table1[[#This Row],[OHC Date]]-Table1[[#This Row],[HOC Date]]+1)/7</f>
        <v>7.1428571428571432</v>
      </c>
      <c r="V471" s="142">
        <v>6.63</v>
      </c>
      <c r="W471" s="142">
        <v>0.7</v>
      </c>
      <c r="X471" s="142">
        <f>ROUND(0.7*Table1[[#This Row],[E&amp;D Rate per unit]]*R471*Table1[[#This Row],[Quantity]],2)</f>
        <v>10.44</v>
      </c>
      <c r="Y471" s="142">
        <f t="shared" si="67"/>
        <v>11.25</v>
      </c>
      <c r="Z471" s="142">
        <f>ROUND(0.3*T471*Table1[[#This Row],[E&amp;D Rate per unit]]*Table1[[#This Row],[Quantity]],2)</f>
        <v>0</v>
      </c>
      <c r="AA471" s="142">
        <f t="shared" si="68"/>
        <v>21.69</v>
      </c>
      <c r="AB471" s="143">
        <v>14.72</v>
      </c>
      <c r="AC471" s="143">
        <f>Table1[[#This Row],[Total Amount]]-Table1[[#This Row],[Previous Amount]]</f>
        <v>6.9700000000000006</v>
      </c>
      <c r="AD471" s="144"/>
    </row>
    <row r="472" spans="1:30" ht="30" customHeight="1" x14ac:dyDescent="0.3">
      <c r="A472" s="92" t="s">
        <v>89</v>
      </c>
      <c r="B472" s="92" t="s">
        <v>96</v>
      </c>
      <c r="C472" s="136">
        <v>65</v>
      </c>
      <c r="D472" s="136">
        <v>79070</v>
      </c>
      <c r="E472" s="196">
        <v>80848</v>
      </c>
      <c r="F472" s="137" t="s">
        <v>540</v>
      </c>
      <c r="G472" s="17" t="s">
        <v>223</v>
      </c>
      <c r="H472" s="102" t="s">
        <v>205</v>
      </c>
      <c r="I472" s="136">
        <v>1</v>
      </c>
      <c r="J472" s="136">
        <v>4</v>
      </c>
      <c r="K472" s="136">
        <v>1</v>
      </c>
      <c r="L472" s="136">
        <v>5.5</v>
      </c>
      <c r="M472" s="136">
        <v>1</v>
      </c>
      <c r="N472" s="138" t="s">
        <v>206</v>
      </c>
      <c r="O472" s="138">
        <f t="shared" ref="O472:O480" si="69">ROUND(IF(N472="m3",I472*J472*K472*L472,IF(N472="m2-LxH",I472*J472*L472,IF(N472="m2-LxW",I472*J472*K472,IF(N472="rm",I472*L472,IF(N472="lm",I472*J472,IF(N472="unit",I472,"NA")))))),2)</f>
        <v>22</v>
      </c>
      <c r="P472" s="118">
        <v>44904</v>
      </c>
      <c r="Q472" s="189">
        <v>44925</v>
      </c>
      <c r="R472" s="140">
        <v>1</v>
      </c>
      <c r="S472" s="140">
        <v>1</v>
      </c>
      <c r="T472" s="140">
        <v>1</v>
      </c>
      <c r="U472" s="141">
        <f>IF(ISBLANK(Table1[[#This Row],[OHC Date]]),$B$7-Table1[[#This Row],[HOC Date]]+1,Table1[[#This Row],[OHC Date]]-Table1[[#This Row],[HOC Date]]+1)/7</f>
        <v>3.1428571428571428</v>
      </c>
      <c r="V472" s="142">
        <v>12.01</v>
      </c>
      <c r="W472" s="142">
        <v>0.49</v>
      </c>
      <c r="X472" s="142">
        <f>ROUND(0.7*Table1[[#This Row],[E&amp;D Rate per unit]]*R472*Table1[[#This Row],[Quantity]],2)</f>
        <v>184.95</v>
      </c>
      <c r="Y472" s="142">
        <f t="shared" ref="Y472:Y480" si="70">ROUND(O472*U472*W472*S472,2)</f>
        <v>33.880000000000003</v>
      </c>
      <c r="Z472" s="142">
        <f>ROUND(0.3*T472*Table1[[#This Row],[E&amp;D Rate per unit]]*Table1[[#This Row],[Quantity]],2)</f>
        <v>79.27</v>
      </c>
      <c r="AA472" s="142">
        <f t="shared" ref="AA472:AA480" si="71">ROUND(X472+Z472+Y472,2)</f>
        <v>298.10000000000002</v>
      </c>
      <c r="AB472" s="143">
        <v>211.13</v>
      </c>
      <c r="AC472" s="143">
        <f>Table1[[#This Row],[Total Amount]]-Table1[[#This Row],[Previous Amount]]</f>
        <v>86.970000000000027</v>
      </c>
      <c r="AD472" s="144"/>
    </row>
    <row r="473" spans="1:30" ht="30" customHeight="1" x14ac:dyDescent="0.3">
      <c r="A473" s="92" t="s">
        <v>89</v>
      </c>
      <c r="B473" s="92" t="s">
        <v>96</v>
      </c>
      <c r="C473" s="136">
        <v>65</v>
      </c>
      <c r="D473" s="136">
        <v>79070</v>
      </c>
      <c r="E473" s="196">
        <v>80848</v>
      </c>
      <c r="F473" s="137" t="s">
        <v>540</v>
      </c>
      <c r="G473" s="17" t="s">
        <v>223</v>
      </c>
      <c r="H473" s="136" t="s">
        <v>176</v>
      </c>
      <c r="I473" s="136">
        <v>2</v>
      </c>
      <c r="J473" s="136">
        <v>4</v>
      </c>
      <c r="K473" s="136">
        <v>1</v>
      </c>
      <c r="L473" s="136">
        <v>1</v>
      </c>
      <c r="M473" s="136">
        <v>2</v>
      </c>
      <c r="N473" s="138" t="s">
        <v>160</v>
      </c>
      <c r="O473" s="138">
        <f t="shared" si="69"/>
        <v>8</v>
      </c>
      <c r="P473" s="118">
        <v>44904</v>
      </c>
      <c r="Q473" s="189">
        <v>44925</v>
      </c>
      <c r="R473" s="140">
        <v>1</v>
      </c>
      <c r="S473" s="140">
        <v>1</v>
      </c>
      <c r="T473" s="140">
        <v>1</v>
      </c>
      <c r="U473" s="141">
        <f>IF(ISBLANK(Table1[[#This Row],[OHC Date]]),$B$7-Table1[[#This Row],[HOC Date]]+1,Table1[[#This Row],[OHC Date]]-Table1[[#This Row],[HOC Date]]+1)/7</f>
        <v>3.1428571428571428</v>
      </c>
      <c r="V473" s="142">
        <v>6.63</v>
      </c>
      <c r="W473" s="142">
        <v>0.7</v>
      </c>
      <c r="X473" s="142">
        <f>ROUND(0.7*Table1[[#This Row],[E&amp;D Rate per unit]]*R473*Table1[[#This Row],[Quantity]],2)</f>
        <v>37.130000000000003</v>
      </c>
      <c r="Y473" s="142">
        <f t="shared" si="70"/>
        <v>17.600000000000001</v>
      </c>
      <c r="Z473" s="142">
        <f>ROUND(0.3*T473*Table1[[#This Row],[E&amp;D Rate per unit]]*Table1[[#This Row],[Quantity]],2)</f>
        <v>15.91</v>
      </c>
      <c r="AA473" s="142">
        <f t="shared" si="71"/>
        <v>70.64</v>
      </c>
      <c r="AB473" s="143">
        <v>50.73</v>
      </c>
      <c r="AC473" s="143">
        <f>Table1[[#This Row],[Total Amount]]-Table1[[#This Row],[Previous Amount]]</f>
        <v>19.910000000000004</v>
      </c>
      <c r="AD473" s="144"/>
    </row>
    <row r="474" spans="1:30" ht="30" customHeight="1" x14ac:dyDescent="0.3">
      <c r="A474" s="92" t="s">
        <v>89</v>
      </c>
      <c r="B474" s="92" t="s">
        <v>96</v>
      </c>
      <c r="C474" s="136">
        <v>66</v>
      </c>
      <c r="D474" s="136">
        <v>79071</v>
      </c>
      <c r="E474" s="196">
        <v>80909</v>
      </c>
      <c r="F474" s="137" t="s">
        <v>541</v>
      </c>
      <c r="G474" s="17" t="s">
        <v>223</v>
      </c>
      <c r="H474" s="102" t="s">
        <v>205</v>
      </c>
      <c r="I474" s="136">
        <v>1</v>
      </c>
      <c r="J474" s="136">
        <v>13.6</v>
      </c>
      <c r="K474" s="136">
        <v>0.9</v>
      </c>
      <c r="L474" s="136">
        <v>1.5</v>
      </c>
      <c r="M474" s="136">
        <v>1</v>
      </c>
      <c r="N474" s="138" t="s">
        <v>206</v>
      </c>
      <c r="O474" s="138">
        <f t="shared" si="69"/>
        <v>20.399999999999999</v>
      </c>
      <c r="P474" s="118">
        <v>44904</v>
      </c>
      <c r="Q474" s="189">
        <v>44938</v>
      </c>
      <c r="R474" s="140">
        <v>1</v>
      </c>
      <c r="S474" s="140">
        <v>1</v>
      </c>
      <c r="T474" s="140">
        <v>1</v>
      </c>
      <c r="U474" s="141">
        <f>IF(ISBLANK(Table1[[#This Row],[OHC Date]]),$B$7-Table1[[#This Row],[HOC Date]]+1,Table1[[#This Row],[OHC Date]]-Table1[[#This Row],[HOC Date]]+1)/7</f>
        <v>5</v>
      </c>
      <c r="V474" s="142">
        <v>12.01</v>
      </c>
      <c r="W474" s="142">
        <v>0.49</v>
      </c>
      <c r="X474" s="142">
        <f>ROUND(0.7*Table1[[#This Row],[E&amp;D Rate per unit]]*R474*Table1[[#This Row],[Quantity]],2)</f>
        <v>171.5</v>
      </c>
      <c r="Y474" s="142">
        <f t="shared" si="70"/>
        <v>49.98</v>
      </c>
      <c r="Z474" s="142">
        <f>ROUND(0.3*T474*Table1[[#This Row],[E&amp;D Rate per unit]]*Table1[[#This Row],[Quantity]],2)</f>
        <v>73.5</v>
      </c>
      <c r="AA474" s="142">
        <f t="shared" si="71"/>
        <v>294.98</v>
      </c>
      <c r="AB474" s="143">
        <v>195.78</v>
      </c>
      <c r="AC474" s="143">
        <f>Table1[[#This Row],[Total Amount]]-Table1[[#This Row],[Previous Amount]]</f>
        <v>99.200000000000017</v>
      </c>
      <c r="AD474" s="144"/>
    </row>
    <row r="475" spans="1:30" ht="30" customHeight="1" x14ac:dyDescent="0.3">
      <c r="A475" s="92" t="s">
        <v>89</v>
      </c>
      <c r="B475" s="92" t="s">
        <v>96</v>
      </c>
      <c r="C475" s="136" t="s">
        <v>542</v>
      </c>
      <c r="D475" s="136">
        <v>79072</v>
      </c>
      <c r="E475" s="196">
        <v>80909</v>
      </c>
      <c r="F475" s="137" t="s">
        <v>541</v>
      </c>
      <c r="G475" s="17" t="s">
        <v>223</v>
      </c>
      <c r="H475" s="102" t="s">
        <v>126</v>
      </c>
      <c r="I475" s="136">
        <v>1</v>
      </c>
      <c r="J475" s="136">
        <v>14.5</v>
      </c>
      <c r="K475" s="136">
        <v>0.5</v>
      </c>
      <c r="L475" s="136">
        <v>1</v>
      </c>
      <c r="M475" s="136">
        <v>1</v>
      </c>
      <c r="N475" s="138" t="s">
        <v>160</v>
      </c>
      <c r="O475" s="138">
        <f t="shared" si="69"/>
        <v>7.25</v>
      </c>
      <c r="P475" s="118">
        <v>44904</v>
      </c>
      <c r="Q475" s="189">
        <v>44938</v>
      </c>
      <c r="R475" s="140">
        <v>1</v>
      </c>
      <c r="S475" s="140">
        <v>1</v>
      </c>
      <c r="T475" s="140">
        <v>1</v>
      </c>
      <c r="U475" s="141">
        <f>IF(ISBLANK(Table1[[#This Row],[OHC Date]]),$B$7-Table1[[#This Row],[HOC Date]]+1,Table1[[#This Row],[OHC Date]]-Table1[[#This Row],[HOC Date]]+1)/7</f>
        <v>5</v>
      </c>
      <c r="V475" s="142">
        <v>32.75</v>
      </c>
      <c r="W475" s="142">
        <v>1.05</v>
      </c>
      <c r="X475" s="142">
        <f>ROUND(0.7*Table1[[#This Row],[E&amp;D Rate per unit]]*R475*Table1[[#This Row],[Quantity]],2)</f>
        <v>166.21</v>
      </c>
      <c r="Y475" s="142">
        <f t="shared" si="70"/>
        <v>38.06</v>
      </c>
      <c r="Z475" s="142">
        <f>ROUND(0.3*T475*Table1[[#This Row],[E&amp;D Rate per unit]]*Table1[[#This Row],[Quantity]],2)</f>
        <v>71.23</v>
      </c>
      <c r="AA475" s="142">
        <f t="shared" si="71"/>
        <v>275.5</v>
      </c>
      <c r="AB475" s="143">
        <v>184.7</v>
      </c>
      <c r="AC475" s="143">
        <f>Table1[[#This Row],[Total Amount]]-Table1[[#This Row],[Previous Amount]]</f>
        <v>90.800000000000011</v>
      </c>
      <c r="AD475" s="144"/>
    </row>
    <row r="476" spans="1:30" ht="30" customHeight="1" x14ac:dyDescent="0.3">
      <c r="A476" s="92" t="s">
        <v>89</v>
      </c>
      <c r="B476" s="92" t="s">
        <v>96</v>
      </c>
      <c r="C476" s="136" t="s">
        <v>543</v>
      </c>
      <c r="D476" s="136">
        <v>79073</v>
      </c>
      <c r="E476" s="196">
        <v>80910</v>
      </c>
      <c r="F476" s="137" t="s">
        <v>541</v>
      </c>
      <c r="G476" s="17" t="s">
        <v>223</v>
      </c>
      <c r="H476" s="102" t="s">
        <v>127</v>
      </c>
      <c r="I476" s="136">
        <v>1</v>
      </c>
      <c r="J476" s="136">
        <v>1.8</v>
      </c>
      <c r="K476" s="136">
        <v>1.4</v>
      </c>
      <c r="L476" s="136">
        <v>1</v>
      </c>
      <c r="M476" s="136">
        <v>1</v>
      </c>
      <c r="N476" s="138" t="s">
        <v>160</v>
      </c>
      <c r="O476" s="138">
        <f t="shared" si="69"/>
        <v>2.52</v>
      </c>
      <c r="P476" s="118">
        <v>44904</v>
      </c>
      <c r="Q476" s="189">
        <v>44938</v>
      </c>
      <c r="R476" s="140">
        <v>1</v>
      </c>
      <c r="S476" s="140">
        <v>1</v>
      </c>
      <c r="T476" s="140">
        <v>1</v>
      </c>
      <c r="U476" s="141">
        <f>IF(ISBLANK(Table1[[#This Row],[OHC Date]]),$B$7-Table1[[#This Row],[HOC Date]]+1,Table1[[#This Row],[OHC Date]]-Table1[[#This Row],[HOC Date]]+1)/7</f>
        <v>5</v>
      </c>
      <c r="V476" s="142">
        <v>32.75</v>
      </c>
      <c r="W476" s="142">
        <v>1.05</v>
      </c>
      <c r="X476" s="142">
        <f>ROUND(0.7*Table1[[#This Row],[E&amp;D Rate per unit]]*R476*Table1[[#This Row],[Quantity]],2)</f>
        <v>57.77</v>
      </c>
      <c r="Y476" s="142">
        <f t="shared" si="70"/>
        <v>13.23</v>
      </c>
      <c r="Z476" s="142">
        <f>ROUND(0.3*T476*Table1[[#This Row],[E&amp;D Rate per unit]]*Table1[[#This Row],[Quantity]],2)</f>
        <v>24.76</v>
      </c>
      <c r="AA476" s="142">
        <f t="shared" si="71"/>
        <v>95.76</v>
      </c>
      <c r="AB476" s="143">
        <v>64.2</v>
      </c>
      <c r="AC476" s="143">
        <f>Table1[[#This Row],[Total Amount]]-Table1[[#This Row],[Previous Amount]]</f>
        <v>31.560000000000002</v>
      </c>
      <c r="AD476" s="144"/>
    </row>
    <row r="477" spans="1:30" ht="30" customHeight="1" x14ac:dyDescent="0.3">
      <c r="A477" s="145" t="s">
        <v>426</v>
      </c>
      <c r="B477" s="92" t="s">
        <v>96</v>
      </c>
      <c r="C477" s="136">
        <v>67</v>
      </c>
      <c r="D477" s="136">
        <v>79074</v>
      </c>
      <c r="E477" s="136"/>
      <c r="F477" s="137" t="s">
        <v>427</v>
      </c>
      <c r="G477" s="17" t="s">
        <v>209</v>
      </c>
      <c r="H477" s="136" t="s">
        <v>220</v>
      </c>
      <c r="I477" s="136">
        <v>1</v>
      </c>
      <c r="J477" s="136">
        <v>2.5</v>
      </c>
      <c r="K477" s="136">
        <v>1.3</v>
      </c>
      <c r="L477" s="136">
        <v>3.5</v>
      </c>
      <c r="M477" s="136">
        <v>1</v>
      </c>
      <c r="N477" s="138" t="s">
        <v>56</v>
      </c>
      <c r="O477" s="138">
        <f t="shared" si="69"/>
        <v>1</v>
      </c>
      <c r="P477" s="118">
        <v>44904</v>
      </c>
      <c r="Q477" s="139"/>
      <c r="R477" s="140">
        <v>1</v>
      </c>
      <c r="S477" s="140">
        <v>1</v>
      </c>
      <c r="T477" s="140">
        <v>0</v>
      </c>
      <c r="U477" s="141">
        <f>IF(ISBLANK(Table1[[#This Row],[OHC Date]]),$B$7-Table1[[#This Row],[HOC Date]]+1,Table1[[#This Row],[OHC Date]]-Table1[[#This Row],[HOC Date]]+1)/7</f>
        <v>6.8571428571428568</v>
      </c>
      <c r="V477" s="142">
        <v>1118.5650000000001</v>
      </c>
      <c r="W477" s="142">
        <v>25.48</v>
      </c>
      <c r="X477" s="142">
        <f>ROUND(0.7*Table1[[#This Row],[E&amp;D Rate per unit]]*R477*Table1[[#This Row],[Quantity]],2)</f>
        <v>783</v>
      </c>
      <c r="Y477" s="142">
        <f t="shared" si="70"/>
        <v>174.72</v>
      </c>
      <c r="Z477" s="142">
        <f>ROUND(0.3*T477*Table1[[#This Row],[E&amp;D Rate per unit]]*Table1[[#This Row],[Quantity]],2)</f>
        <v>0</v>
      </c>
      <c r="AA477" s="142">
        <f t="shared" si="71"/>
        <v>957.72</v>
      </c>
      <c r="AB477" s="143">
        <v>844.87</v>
      </c>
      <c r="AC477" s="143">
        <f>Table1[[#This Row],[Total Amount]]-Table1[[#This Row],[Previous Amount]]</f>
        <v>112.85000000000002</v>
      </c>
      <c r="AD477" s="146" t="s">
        <v>544</v>
      </c>
    </row>
    <row r="478" spans="1:30" ht="30" customHeight="1" x14ac:dyDescent="0.3">
      <c r="A478" s="92" t="s">
        <v>89</v>
      </c>
      <c r="B478" s="92" t="s">
        <v>96</v>
      </c>
      <c r="C478" s="136" t="s">
        <v>545</v>
      </c>
      <c r="D478" s="136">
        <v>79074</v>
      </c>
      <c r="E478" s="136"/>
      <c r="F478" s="137" t="s">
        <v>427</v>
      </c>
      <c r="G478" s="17" t="s">
        <v>336</v>
      </c>
      <c r="H478" s="102" t="s">
        <v>127</v>
      </c>
      <c r="I478" s="136">
        <v>1</v>
      </c>
      <c r="J478" s="136">
        <v>2</v>
      </c>
      <c r="K478" s="136">
        <v>1.5</v>
      </c>
      <c r="L478" s="136">
        <v>1</v>
      </c>
      <c r="M478" s="136">
        <v>1</v>
      </c>
      <c r="N478" s="138" t="s">
        <v>160</v>
      </c>
      <c r="O478" s="138">
        <f t="shared" si="69"/>
        <v>3</v>
      </c>
      <c r="P478" s="118">
        <v>44904</v>
      </c>
      <c r="Q478" s="139"/>
      <c r="R478" s="140">
        <v>1</v>
      </c>
      <c r="S478" s="140">
        <v>1</v>
      </c>
      <c r="T478" s="140">
        <v>0</v>
      </c>
      <c r="U478" s="141">
        <f>IF(ISBLANK(Table1[[#This Row],[OHC Date]]),$B$7-Table1[[#This Row],[HOC Date]]+1,Table1[[#This Row],[OHC Date]]-Table1[[#This Row],[HOC Date]]+1)/7</f>
        <v>6.8571428571428568</v>
      </c>
      <c r="V478" s="142">
        <v>32.75</v>
      </c>
      <c r="W478" s="142">
        <v>1.05</v>
      </c>
      <c r="X478" s="142">
        <f>ROUND(0.7*Table1[[#This Row],[E&amp;D Rate per unit]]*R478*Table1[[#This Row],[Quantity]],2)</f>
        <v>68.78</v>
      </c>
      <c r="Y478" s="142">
        <f t="shared" si="70"/>
        <v>21.6</v>
      </c>
      <c r="Z478" s="142">
        <f>ROUND(0.3*T478*Table1[[#This Row],[E&amp;D Rate per unit]]*Table1[[#This Row],[Quantity]],2)</f>
        <v>0</v>
      </c>
      <c r="AA478" s="142">
        <f t="shared" si="71"/>
        <v>90.38</v>
      </c>
      <c r="AB478" s="143">
        <v>76.430000000000007</v>
      </c>
      <c r="AC478" s="143">
        <f>Table1[[#This Row],[Total Amount]]-Table1[[#This Row],[Previous Amount]]</f>
        <v>13.949999999999989</v>
      </c>
      <c r="AD478" s="144"/>
    </row>
    <row r="479" spans="1:30" ht="30" customHeight="1" x14ac:dyDescent="0.3">
      <c r="A479" s="92" t="s">
        <v>89</v>
      </c>
      <c r="B479" s="92" t="s">
        <v>96</v>
      </c>
      <c r="C479" s="136">
        <v>68</v>
      </c>
      <c r="D479" s="136">
        <v>79075</v>
      </c>
      <c r="E479" s="136">
        <v>80842</v>
      </c>
      <c r="F479" s="137" t="s">
        <v>546</v>
      </c>
      <c r="G479" s="17" t="s">
        <v>547</v>
      </c>
      <c r="H479" s="102" t="s">
        <v>205</v>
      </c>
      <c r="I479" s="136">
        <v>1</v>
      </c>
      <c r="J479" s="136">
        <v>8.1</v>
      </c>
      <c r="K479" s="136">
        <v>1.5</v>
      </c>
      <c r="L479" s="136">
        <v>2.5</v>
      </c>
      <c r="M479" s="136">
        <v>1</v>
      </c>
      <c r="N479" s="138" t="s">
        <v>206</v>
      </c>
      <c r="O479" s="138">
        <f t="shared" si="69"/>
        <v>20.25</v>
      </c>
      <c r="P479" s="118">
        <v>44904</v>
      </c>
      <c r="Q479" s="139">
        <v>44917</v>
      </c>
      <c r="R479" s="140">
        <v>1</v>
      </c>
      <c r="S479" s="140">
        <v>1</v>
      </c>
      <c r="T479" s="140">
        <v>1</v>
      </c>
      <c r="U479" s="141">
        <f>IF(ISBLANK(Table1[[#This Row],[OHC Date]]),$B$7-Table1[[#This Row],[HOC Date]]+1,Table1[[#This Row],[OHC Date]]-Table1[[#This Row],[HOC Date]]+1)/7</f>
        <v>2</v>
      </c>
      <c r="V479" s="142">
        <v>12.01</v>
      </c>
      <c r="W479" s="142">
        <v>0.49</v>
      </c>
      <c r="X479" s="142">
        <f>ROUND(0.7*Table1[[#This Row],[E&amp;D Rate per unit]]*R479*Table1[[#This Row],[Quantity]],2)</f>
        <v>170.24</v>
      </c>
      <c r="Y479" s="142">
        <f t="shared" si="70"/>
        <v>19.850000000000001</v>
      </c>
      <c r="Z479" s="142">
        <f>ROUND(0.3*T479*Table1[[#This Row],[E&amp;D Rate per unit]]*Table1[[#This Row],[Quantity]],2)</f>
        <v>72.959999999999994</v>
      </c>
      <c r="AA479" s="142">
        <f t="shared" si="71"/>
        <v>263.05</v>
      </c>
      <c r="AB479" s="143">
        <v>263.05</v>
      </c>
      <c r="AC479" s="143">
        <f>Table1[[#This Row],[Total Amount]]-Table1[[#This Row],[Previous Amount]]</f>
        <v>0</v>
      </c>
      <c r="AD479" s="144"/>
    </row>
    <row r="480" spans="1:30" ht="30" customHeight="1" x14ac:dyDescent="0.3">
      <c r="A480" s="92" t="s">
        <v>89</v>
      </c>
      <c r="B480" s="92" t="s">
        <v>96</v>
      </c>
      <c r="C480" s="136" t="s">
        <v>548</v>
      </c>
      <c r="D480" s="136">
        <v>79076</v>
      </c>
      <c r="E480" s="136"/>
      <c r="F480" s="137" t="s">
        <v>549</v>
      </c>
      <c r="G480" s="17" t="s">
        <v>200</v>
      </c>
      <c r="H480" s="102" t="s">
        <v>205</v>
      </c>
      <c r="I480" s="136">
        <v>1</v>
      </c>
      <c r="J480" s="136">
        <v>13</v>
      </c>
      <c r="K480" s="136">
        <v>1</v>
      </c>
      <c r="L480" s="136">
        <v>1.5</v>
      </c>
      <c r="M480" s="136">
        <v>1</v>
      </c>
      <c r="N480" s="138" t="s">
        <v>206</v>
      </c>
      <c r="O480" s="138">
        <f t="shared" si="69"/>
        <v>19.5</v>
      </c>
      <c r="P480" s="118">
        <v>44905</v>
      </c>
      <c r="Q480" s="139"/>
      <c r="R480" s="140">
        <v>1</v>
      </c>
      <c r="S480" s="140">
        <v>1</v>
      </c>
      <c r="T480" s="140">
        <v>0</v>
      </c>
      <c r="U480" s="141">
        <f>IF(ISBLANK(Table1[[#This Row],[OHC Date]]),$B$7-Table1[[#This Row],[HOC Date]]+1,Table1[[#This Row],[OHC Date]]-Table1[[#This Row],[HOC Date]]+1)/7</f>
        <v>6.7142857142857144</v>
      </c>
      <c r="V480" s="142">
        <v>12.01</v>
      </c>
      <c r="W480" s="142">
        <v>0.49</v>
      </c>
      <c r="X480" s="142">
        <f>ROUND(0.7*Table1[[#This Row],[E&amp;D Rate per unit]]*R480*Table1[[#This Row],[Quantity]],2)</f>
        <v>163.94</v>
      </c>
      <c r="Y480" s="142">
        <f t="shared" si="70"/>
        <v>64.16</v>
      </c>
      <c r="Z480" s="142">
        <f>ROUND(0.3*T480*Table1[[#This Row],[E&amp;D Rate per unit]]*Table1[[#This Row],[Quantity]],2)</f>
        <v>0</v>
      </c>
      <c r="AA480" s="142">
        <f t="shared" si="71"/>
        <v>228.1</v>
      </c>
      <c r="AB480" s="143">
        <v>185.78</v>
      </c>
      <c r="AC480" s="143">
        <f>Table1[[#This Row],[Total Amount]]-Table1[[#This Row],[Previous Amount]]</f>
        <v>42.319999999999993</v>
      </c>
      <c r="AD480" s="144"/>
    </row>
    <row r="481" spans="1:30" ht="30" customHeight="1" x14ac:dyDescent="0.3">
      <c r="A481" s="145" t="s">
        <v>550</v>
      </c>
      <c r="B481" s="92" t="s">
        <v>96</v>
      </c>
      <c r="C481" s="136">
        <v>69</v>
      </c>
      <c r="D481" s="136">
        <v>79077</v>
      </c>
      <c r="E481" s="196">
        <v>80849</v>
      </c>
      <c r="F481" s="17" t="s">
        <v>552</v>
      </c>
      <c r="G481" s="17" t="s">
        <v>304</v>
      </c>
      <c r="H481" s="151" t="s">
        <v>553</v>
      </c>
      <c r="I481" s="136">
        <v>1</v>
      </c>
      <c r="J481" s="136">
        <v>5.3</v>
      </c>
      <c r="K481" s="136">
        <v>1</v>
      </c>
      <c r="L481" s="136">
        <v>1</v>
      </c>
      <c r="M481" s="136">
        <v>1</v>
      </c>
      <c r="N481" s="138" t="s">
        <v>56</v>
      </c>
      <c r="O481" s="138">
        <f t="shared" ref="O481:O489" si="72">ROUND(IF(N481="m3",I481*J481*K481*L481,IF(N481="m2-LxH",I481*J481*L481,IF(N481="m2-LxW",I481*J481*K481,IF(N481="rm",I481*L481,IF(N481="lm",I481*J481,IF(N481="unit",I481,"NA")))))),2)</f>
        <v>1</v>
      </c>
      <c r="P481" s="118">
        <v>44912</v>
      </c>
      <c r="Q481" s="189">
        <v>44926</v>
      </c>
      <c r="R481" s="140">
        <v>1</v>
      </c>
      <c r="S481" s="140">
        <v>1</v>
      </c>
      <c r="T481" s="140">
        <v>1</v>
      </c>
      <c r="U481" s="141">
        <f>IF(ISBLANK(Table1[[#This Row],[OHC Date]]),$B$7-Table1[[#This Row],[HOC Date]]+1,Table1[[#This Row],[OHC Date]]-Table1[[#This Row],[HOC Date]]+1)/7</f>
        <v>2.1428571428571428</v>
      </c>
      <c r="V481" s="142">
        <f>1772.58452173913/4.3*5.3</f>
        <v>2184.8134802831137</v>
      </c>
      <c r="W481" s="142">
        <f>52.192/4.3*5.3</f>
        <v>64.329674418604654</v>
      </c>
      <c r="X481" s="142">
        <f>ROUND(0.7*Table1[[#This Row],[E&amp;D Rate per unit]]*R481*Table1[[#This Row],[Quantity]],2)</f>
        <v>1529.37</v>
      </c>
      <c r="Y481" s="142">
        <f t="shared" ref="Y481:Y489" si="73">ROUND(O481*U481*W481*S481,2)</f>
        <v>137.85</v>
      </c>
      <c r="Z481" s="142">
        <f>ROUND(0.3*T481*Table1[[#This Row],[E&amp;D Rate per unit]]*Table1[[#This Row],[Quantity]],2)</f>
        <v>655.44</v>
      </c>
      <c r="AA481" s="142">
        <f t="shared" ref="AA481:AA489" si="74">ROUND(X481+Z481+Y481,2)</f>
        <v>2322.66</v>
      </c>
      <c r="AB481" s="143">
        <v>1395.9417593528819</v>
      </c>
      <c r="AC481" s="143">
        <f>Table1[[#This Row],[Total Amount]]-Table1[[#This Row],[Previous Amount]]</f>
        <v>926.71824064711791</v>
      </c>
      <c r="AD481" s="132" t="s">
        <v>557</v>
      </c>
    </row>
    <row r="482" spans="1:30" ht="30" customHeight="1" x14ac:dyDescent="0.3">
      <c r="A482" s="92" t="s">
        <v>89</v>
      </c>
      <c r="B482" s="92" t="s">
        <v>96</v>
      </c>
      <c r="C482" s="136">
        <v>70</v>
      </c>
      <c r="D482" s="136">
        <v>79078</v>
      </c>
      <c r="E482" s="136"/>
      <c r="F482" s="17" t="s">
        <v>554</v>
      </c>
      <c r="G482" s="17" t="s">
        <v>200</v>
      </c>
      <c r="H482" s="102" t="s">
        <v>205</v>
      </c>
      <c r="I482" s="136">
        <v>1</v>
      </c>
      <c r="J482" s="136">
        <v>6.3</v>
      </c>
      <c r="K482" s="136">
        <v>1.3</v>
      </c>
      <c r="L482" s="136">
        <v>4</v>
      </c>
      <c r="M482" s="136">
        <v>1</v>
      </c>
      <c r="N482" s="138" t="s">
        <v>206</v>
      </c>
      <c r="O482" s="138">
        <f t="shared" si="72"/>
        <v>25.2</v>
      </c>
      <c r="P482" s="118">
        <v>44912</v>
      </c>
      <c r="Q482" s="139"/>
      <c r="R482" s="140">
        <v>1</v>
      </c>
      <c r="S482" s="140">
        <v>1</v>
      </c>
      <c r="T482" s="140">
        <v>0</v>
      </c>
      <c r="U482" s="141">
        <f>IF(ISBLANK(Table1[[#This Row],[OHC Date]]),$B$7-Table1[[#This Row],[HOC Date]]+1,Table1[[#This Row],[OHC Date]]-Table1[[#This Row],[HOC Date]]+1)/7</f>
        <v>5.7142857142857144</v>
      </c>
      <c r="V482" s="142">
        <v>12.01</v>
      </c>
      <c r="W482" s="142">
        <v>0.49</v>
      </c>
      <c r="X482" s="142">
        <f>ROUND(0.7*Table1[[#This Row],[E&amp;D Rate per unit]]*R482*Table1[[#This Row],[Quantity]],2)</f>
        <v>211.86</v>
      </c>
      <c r="Y482" s="142">
        <f t="shared" si="73"/>
        <v>70.56</v>
      </c>
      <c r="Z482" s="142">
        <f>ROUND(0.3*T482*Table1[[#This Row],[E&amp;D Rate per unit]]*Table1[[#This Row],[Quantity]],2)</f>
        <v>0</v>
      </c>
      <c r="AA482" s="142">
        <f t="shared" si="74"/>
        <v>282.42</v>
      </c>
      <c r="AB482" s="143">
        <v>227.74</v>
      </c>
      <c r="AC482" s="143">
        <f>Table1[[#This Row],[Total Amount]]-Table1[[#This Row],[Previous Amount]]</f>
        <v>54.680000000000007</v>
      </c>
      <c r="AD482" s="144"/>
    </row>
    <row r="483" spans="1:30" ht="30" customHeight="1" x14ac:dyDescent="0.3">
      <c r="A483" s="92" t="s">
        <v>89</v>
      </c>
      <c r="B483" s="92" t="s">
        <v>96</v>
      </c>
      <c r="C483" s="151" t="s">
        <v>623</v>
      </c>
      <c r="D483" s="136">
        <v>79079</v>
      </c>
      <c r="E483" s="136"/>
      <c r="F483" s="17" t="s">
        <v>554</v>
      </c>
      <c r="G483" s="17" t="s">
        <v>200</v>
      </c>
      <c r="H483" s="16" t="s">
        <v>220</v>
      </c>
      <c r="I483" s="136">
        <v>1</v>
      </c>
      <c r="J483" s="136">
        <v>2.5</v>
      </c>
      <c r="K483" s="136">
        <v>2.5</v>
      </c>
      <c r="L483" s="136">
        <v>4</v>
      </c>
      <c r="M483" s="136">
        <v>1</v>
      </c>
      <c r="N483" s="138" t="s">
        <v>221</v>
      </c>
      <c r="O483" s="138">
        <f>ROUND(IF(N483="m3",I483*J483*K483*L483,IF(N483="m2-LxH",I483*J483*L483,IF(N483="m2-LxW",I483*J483*K483,IF(N483="rm",I483*L483,IF(N483="lm",I483*J483,IF(N483="unit",I483,"NA")))))),2)</f>
        <v>4</v>
      </c>
      <c r="P483" s="118">
        <v>44912</v>
      </c>
      <c r="Q483" s="139"/>
      <c r="R483" s="140">
        <v>1</v>
      </c>
      <c r="S483" s="140">
        <v>1</v>
      </c>
      <c r="T483" s="140">
        <v>0</v>
      </c>
      <c r="U483" s="141">
        <f>IF(ISBLANK(Table1[[#This Row],[OHC Date]]),$B$7-Table1[[#This Row],[HOC Date]]+1,Table1[[#This Row],[OHC Date]]-Table1[[#This Row],[HOC Date]]+1)/7</f>
        <v>5.7142857142857144</v>
      </c>
      <c r="V483" s="142">
        <v>63.34</v>
      </c>
      <c r="W483" s="142">
        <v>7.28</v>
      </c>
      <c r="X483" s="142">
        <f>ROUND(0.7*Table1[[#This Row],[E&amp;D Rate per unit]]*R483*Table1[[#This Row],[Quantity]],2)</f>
        <v>177.35</v>
      </c>
      <c r="Y483" s="142">
        <f>ROUND(O483*U483*W483*S483,2)</f>
        <v>166.4</v>
      </c>
      <c r="Z483" s="142">
        <f>ROUND(0.3*T483*Table1[[#This Row],[E&amp;D Rate per unit]]*Table1[[#This Row],[Quantity]],2)</f>
        <v>0</v>
      </c>
      <c r="AA483" s="142">
        <f>ROUND(X483+Z483+Y483,2)</f>
        <v>343.75</v>
      </c>
      <c r="AB483" s="143">
        <v>22.34</v>
      </c>
      <c r="AC483" s="143">
        <f>Table1[[#This Row],[Total Amount]]-Table1[[#This Row],[Previous Amount]]</f>
        <v>321.41000000000003</v>
      </c>
      <c r="AD483" s="144"/>
    </row>
    <row r="484" spans="1:30" ht="30" customHeight="1" x14ac:dyDescent="0.3">
      <c r="A484" s="145" t="s">
        <v>550</v>
      </c>
      <c r="B484" s="92" t="s">
        <v>96</v>
      </c>
      <c r="C484" s="16" t="s">
        <v>555</v>
      </c>
      <c r="D484" s="136">
        <v>79082</v>
      </c>
      <c r="E484" s="196">
        <v>80850</v>
      </c>
      <c r="F484" s="17" t="s">
        <v>552</v>
      </c>
      <c r="G484" s="17" t="s">
        <v>556</v>
      </c>
      <c r="H484" s="151" t="s">
        <v>553</v>
      </c>
      <c r="I484" s="136">
        <v>1</v>
      </c>
      <c r="J484" s="136">
        <v>4.3</v>
      </c>
      <c r="K484" s="136">
        <v>1</v>
      </c>
      <c r="L484" s="136">
        <v>1</v>
      </c>
      <c r="M484" s="136">
        <v>1</v>
      </c>
      <c r="N484" s="138" t="s">
        <v>56</v>
      </c>
      <c r="O484" s="138">
        <f t="shared" si="72"/>
        <v>1</v>
      </c>
      <c r="P484" s="118">
        <v>44912</v>
      </c>
      <c r="Q484" s="189">
        <v>44926</v>
      </c>
      <c r="R484" s="140">
        <v>1</v>
      </c>
      <c r="S484" s="140">
        <v>1</v>
      </c>
      <c r="T484" s="140">
        <v>1</v>
      </c>
      <c r="U484" s="141">
        <f>IF(ISBLANK(Table1[[#This Row],[OHC Date]]),$B$7-Table1[[#This Row],[HOC Date]]+1,Table1[[#This Row],[OHC Date]]-Table1[[#This Row],[HOC Date]]+1)/7</f>
        <v>2.1428571428571428</v>
      </c>
      <c r="V484" s="142">
        <v>1772.5845217391307</v>
      </c>
      <c r="W484" s="142">
        <v>52.192000000000007</v>
      </c>
      <c r="X484" s="142">
        <f>ROUND(0.7*Table1[[#This Row],[E&amp;D Rate per unit]]*R484*Table1[[#This Row],[Quantity]],2)</f>
        <v>1240.81</v>
      </c>
      <c r="Y484" s="142">
        <f t="shared" si="73"/>
        <v>111.84</v>
      </c>
      <c r="Z484" s="142">
        <f>ROUND(0.3*T484*Table1[[#This Row],[E&amp;D Rate per unit]]*Table1[[#This Row],[Quantity]],2)</f>
        <v>531.78</v>
      </c>
      <c r="AA484" s="142">
        <f t="shared" si="74"/>
        <v>1884.43</v>
      </c>
      <c r="AB484" s="143">
        <v>1132.5565217391306</v>
      </c>
      <c r="AC484" s="143">
        <f>Table1[[#This Row],[Total Amount]]-Table1[[#This Row],[Previous Amount]]</f>
        <v>751.87347826086943</v>
      </c>
      <c r="AD484" s="132" t="s">
        <v>557</v>
      </c>
    </row>
    <row r="485" spans="1:30" ht="30" customHeight="1" x14ac:dyDescent="0.3">
      <c r="A485" s="145" t="s">
        <v>550</v>
      </c>
      <c r="B485" s="92" t="s">
        <v>96</v>
      </c>
      <c r="C485" s="16" t="s">
        <v>558</v>
      </c>
      <c r="D485" s="136">
        <v>79083</v>
      </c>
      <c r="E485" s="196">
        <v>80901</v>
      </c>
      <c r="F485" s="17" t="s">
        <v>552</v>
      </c>
      <c r="G485" s="17" t="s">
        <v>556</v>
      </c>
      <c r="H485" s="151" t="s">
        <v>553</v>
      </c>
      <c r="I485" s="136">
        <v>1</v>
      </c>
      <c r="J485" s="136">
        <v>4.3</v>
      </c>
      <c r="K485" s="136">
        <v>1</v>
      </c>
      <c r="L485" s="136">
        <v>1</v>
      </c>
      <c r="M485" s="136">
        <v>1</v>
      </c>
      <c r="N485" s="138" t="s">
        <v>56</v>
      </c>
      <c r="O485" s="138">
        <f t="shared" si="72"/>
        <v>1</v>
      </c>
      <c r="P485" s="118">
        <v>44912</v>
      </c>
      <c r="Q485" s="189">
        <v>44926</v>
      </c>
      <c r="R485" s="140">
        <v>1</v>
      </c>
      <c r="S485" s="140">
        <v>1</v>
      </c>
      <c r="T485" s="140">
        <v>1</v>
      </c>
      <c r="U485" s="141">
        <f>IF(ISBLANK(Table1[[#This Row],[OHC Date]]),$B$7-Table1[[#This Row],[HOC Date]]+1,Table1[[#This Row],[OHC Date]]-Table1[[#This Row],[HOC Date]]+1)/7</f>
        <v>2.1428571428571428</v>
      </c>
      <c r="V485" s="142">
        <v>1772.5845217391307</v>
      </c>
      <c r="W485" s="142">
        <v>52.192000000000007</v>
      </c>
      <c r="X485" s="142">
        <f>ROUND(0.7*Table1[[#This Row],[E&amp;D Rate per unit]]*R485*Table1[[#This Row],[Quantity]],2)</f>
        <v>1240.81</v>
      </c>
      <c r="Y485" s="142">
        <f t="shared" si="73"/>
        <v>111.84</v>
      </c>
      <c r="Z485" s="142">
        <f>ROUND(0.3*T485*Table1[[#This Row],[E&amp;D Rate per unit]]*Table1[[#This Row],[Quantity]],2)</f>
        <v>531.78</v>
      </c>
      <c r="AA485" s="142">
        <f t="shared" si="74"/>
        <v>1884.43</v>
      </c>
      <c r="AB485" s="143">
        <v>1132.5565217391306</v>
      </c>
      <c r="AC485" s="143">
        <f>Table1[[#This Row],[Total Amount]]-Table1[[#This Row],[Previous Amount]]</f>
        <v>751.87347826086943</v>
      </c>
      <c r="AD485" s="132" t="s">
        <v>557</v>
      </c>
    </row>
    <row r="486" spans="1:30" ht="30" customHeight="1" x14ac:dyDescent="0.3">
      <c r="A486" s="145" t="s">
        <v>550</v>
      </c>
      <c r="B486" s="92" t="s">
        <v>96</v>
      </c>
      <c r="C486" s="16" t="s">
        <v>559</v>
      </c>
      <c r="D486" s="136">
        <v>79084</v>
      </c>
      <c r="E486" s="136"/>
      <c r="F486" s="17" t="s">
        <v>552</v>
      </c>
      <c r="G486" s="17" t="s">
        <v>560</v>
      </c>
      <c r="H486" s="151" t="s">
        <v>553</v>
      </c>
      <c r="I486" s="136">
        <v>1</v>
      </c>
      <c r="J486" s="136">
        <v>4.3</v>
      </c>
      <c r="K486" s="136">
        <v>1</v>
      </c>
      <c r="L486" s="136">
        <v>1</v>
      </c>
      <c r="M486" s="136">
        <v>1</v>
      </c>
      <c r="N486" s="138" t="s">
        <v>56</v>
      </c>
      <c r="O486" s="138">
        <f t="shared" si="72"/>
        <v>1</v>
      </c>
      <c r="P486" s="118">
        <v>44912</v>
      </c>
      <c r="Q486" s="139"/>
      <c r="R486" s="140">
        <v>1</v>
      </c>
      <c r="S486" s="140">
        <v>1</v>
      </c>
      <c r="T486" s="140">
        <v>0</v>
      </c>
      <c r="U486" s="141">
        <f>IF(ISBLANK(Table1[[#This Row],[OHC Date]]),$B$7-Table1[[#This Row],[HOC Date]]+1,Table1[[#This Row],[OHC Date]]-Table1[[#This Row],[HOC Date]]+1)/7</f>
        <v>5.7142857142857144</v>
      </c>
      <c r="V486" s="142">
        <v>1772.5845217391307</v>
      </c>
      <c r="W486" s="142">
        <v>52.192000000000007</v>
      </c>
      <c r="X486" s="142">
        <f>ROUND(0.7*Table1[[#This Row],[E&amp;D Rate per unit]]*R486*Table1[[#This Row],[Quantity]],2)</f>
        <v>1240.81</v>
      </c>
      <c r="Y486" s="142">
        <f t="shared" si="73"/>
        <v>298.24</v>
      </c>
      <c r="Z486" s="142">
        <f>ROUND(0.3*T486*Table1[[#This Row],[E&amp;D Rate per unit]]*Table1[[#This Row],[Quantity]],2)</f>
        <v>0</v>
      </c>
      <c r="AA486" s="142">
        <f t="shared" si="74"/>
        <v>1539.05</v>
      </c>
      <c r="AB486" s="143">
        <v>1122.3217391304349</v>
      </c>
      <c r="AC486" s="143">
        <f>Table1[[#This Row],[Total Amount]]-Table1[[#This Row],[Previous Amount]]</f>
        <v>416.72826086956502</v>
      </c>
      <c r="AD486" s="132" t="s">
        <v>557</v>
      </c>
    </row>
    <row r="487" spans="1:30" ht="30" customHeight="1" x14ac:dyDescent="0.3">
      <c r="A487" s="145" t="s">
        <v>550</v>
      </c>
      <c r="B487" s="92" t="s">
        <v>96</v>
      </c>
      <c r="C487" s="16" t="s">
        <v>561</v>
      </c>
      <c r="D487" s="136">
        <v>79085</v>
      </c>
      <c r="E487" s="136"/>
      <c r="F487" s="17" t="s">
        <v>552</v>
      </c>
      <c r="G487" s="17" t="s">
        <v>560</v>
      </c>
      <c r="H487" s="151" t="s">
        <v>553</v>
      </c>
      <c r="I487" s="136">
        <v>1</v>
      </c>
      <c r="J487" s="136">
        <v>4.3</v>
      </c>
      <c r="K487" s="136">
        <v>1</v>
      </c>
      <c r="L487" s="136">
        <v>1</v>
      </c>
      <c r="M487" s="136">
        <v>1</v>
      </c>
      <c r="N487" s="138" t="s">
        <v>56</v>
      </c>
      <c r="O487" s="138">
        <f t="shared" si="72"/>
        <v>1</v>
      </c>
      <c r="P487" s="118">
        <v>44912</v>
      </c>
      <c r="Q487" s="139"/>
      <c r="R487" s="140">
        <v>1</v>
      </c>
      <c r="S487" s="140">
        <v>1</v>
      </c>
      <c r="T487" s="140">
        <v>0</v>
      </c>
      <c r="U487" s="141">
        <f>IF(ISBLANK(Table1[[#This Row],[OHC Date]]),$B$7-Table1[[#This Row],[HOC Date]]+1,Table1[[#This Row],[OHC Date]]-Table1[[#This Row],[HOC Date]]+1)/7</f>
        <v>5.7142857142857144</v>
      </c>
      <c r="V487" s="142">
        <v>1772.5845217391307</v>
      </c>
      <c r="W487" s="142">
        <v>52.192000000000007</v>
      </c>
      <c r="X487" s="142">
        <f>ROUND(0.7*Table1[[#This Row],[E&amp;D Rate per unit]]*R487*Table1[[#This Row],[Quantity]],2)</f>
        <v>1240.81</v>
      </c>
      <c r="Y487" s="142">
        <f t="shared" si="73"/>
        <v>298.24</v>
      </c>
      <c r="Z487" s="142">
        <f>ROUND(0.3*T487*Table1[[#This Row],[E&amp;D Rate per unit]]*Table1[[#This Row],[Quantity]],2)</f>
        <v>0</v>
      </c>
      <c r="AA487" s="142">
        <f t="shared" si="74"/>
        <v>1539.05</v>
      </c>
      <c r="AB487" s="143">
        <v>1122.3217391304349</v>
      </c>
      <c r="AC487" s="143">
        <f>Table1[[#This Row],[Total Amount]]-Table1[[#This Row],[Previous Amount]]</f>
        <v>416.72826086956502</v>
      </c>
      <c r="AD487" s="132" t="s">
        <v>557</v>
      </c>
    </row>
    <row r="488" spans="1:30" ht="30" customHeight="1" x14ac:dyDescent="0.3">
      <c r="A488" s="92" t="s">
        <v>89</v>
      </c>
      <c r="B488" s="92" t="s">
        <v>96</v>
      </c>
      <c r="C488" s="136">
        <v>75</v>
      </c>
      <c r="D488" s="136">
        <v>79086</v>
      </c>
      <c r="E488" s="196">
        <v>80843</v>
      </c>
      <c r="F488" s="17" t="s">
        <v>562</v>
      </c>
      <c r="G488" s="17" t="s">
        <v>200</v>
      </c>
      <c r="H488" s="16" t="s">
        <v>220</v>
      </c>
      <c r="I488" s="136">
        <v>1</v>
      </c>
      <c r="J488" s="136">
        <v>1.8</v>
      </c>
      <c r="K488" s="136">
        <v>1</v>
      </c>
      <c r="L488" s="136">
        <v>1.2</v>
      </c>
      <c r="M488" s="136">
        <v>1</v>
      </c>
      <c r="N488" s="138" t="s">
        <v>221</v>
      </c>
      <c r="O488" s="138">
        <f t="shared" si="72"/>
        <v>1.2</v>
      </c>
      <c r="P488" s="118">
        <v>44915</v>
      </c>
      <c r="Q488" s="189">
        <v>44921</v>
      </c>
      <c r="R488" s="140">
        <v>1</v>
      </c>
      <c r="S488" s="140">
        <v>1</v>
      </c>
      <c r="T488" s="140">
        <v>1</v>
      </c>
      <c r="U488" s="141">
        <f>IF(ISBLANK(Table1[[#This Row],[OHC Date]]),$B$7-Table1[[#This Row],[HOC Date]]+1,Table1[[#This Row],[OHC Date]]-Table1[[#This Row],[HOC Date]]+1)/7</f>
        <v>1</v>
      </c>
      <c r="V488" s="142">
        <v>63.34</v>
      </c>
      <c r="W488" s="142">
        <v>7.28</v>
      </c>
      <c r="X488" s="142">
        <f>ROUND(0.7*Table1[[#This Row],[E&amp;D Rate per unit]]*R488*Table1[[#This Row],[Quantity]],2)</f>
        <v>53.21</v>
      </c>
      <c r="Y488" s="142">
        <f t="shared" si="73"/>
        <v>8.74</v>
      </c>
      <c r="Z488" s="142">
        <f>ROUND(0.3*T488*Table1[[#This Row],[E&amp;D Rate per unit]]*Table1[[#This Row],[Quantity]],2)</f>
        <v>22.8</v>
      </c>
      <c r="AA488" s="142">
        <f t="shared" si="74"/>
        <v>84.75</v>
      </c>
      <c r="AB488" s="143">
        <v>60.7</v>
      </c>
      <c r="AC488" s="143">
        <f>Table1[[#This Row],[Total Amount]]-Table1[[#This Row],[Previous Amount]]</f>
        <v>24.049999999999997</v>
      </c>
      <c r="AD488" s="144"/>
    </row>
    <row r="489" spans="1:30" ht="30" customHeight="1" x14ac:dyDescent="0.3">
      <c r="A489" s="145" t="s">
        <v>550</v>
      </c>
      <c r="B489" s="92" t="s">
        <v>96</v>
      </c>
      <c r="C489" s="16" t="s">
        <v>563</v>
      </c>
      <c r="D489" s="136">
        <v>79087</v>
      </c>
      <c r="E489" s="196">
        <v>80904</v>
      </c>
      <c r="F489" s="17" t="s">
        <v>552</v>
      </c>
      <c r="G489" s="17" t="s">
        <v>439</v>
      </c>
      <c r="H489" s="151" t="s">
        <v>553</v>
      </c>
      <c r="I489" s="136">
        <v>1</v>
      </c>
      <c r="J489" s="136">
        <v>4.3</v>
      </c>
      <c r="K489" s="136">
        <v>1</v>
      </c>
      <c r="L489" s="136">
        <v>1</v>
      </c>
      <c r="M489" s="136">
        <v>1</v>
      </c>
      <c r="N489" s="138" t="s">
        <v>56</v>
      </c>
      <c r="O489" s="138">
        <f t="shared" si="72"/>
        <v>1</v>
      </c>
      <c r="P489" s="118">
        <v>44916</v>
      </c>
      <c r="Q489" s="189">
        <v>44937</v>
      </c>
      <c r="R489" s="140">
        <v>1</v>
      </c>
      <c r="S489" s="140">
        <v>1</v>
      </c>
      <c r="T489" s="140">
        <v>1</v>
      </c>
      <c r="U489" s="141">
        <f>IF(ISBLANK(Table1[[#This Row],[OHC Date]]),$B$7-Table1[[#This Row],[HOC Date]]+1,Table1[[#This Row],[OHC Date]]-Table1[[#This Row],[HOC Date]]+1)/7</f>
        <v>3.1428571428571428</v>
      </c>
      <c r="V489" s="142">
        <v>1772.5845217391307</v>
      </c>
      <c r="W489" s="142">
        <v>52.192000000000007</v>
      </c>
      <c r="X489" s="142">
        <f>ROUND(0.7*Table1[[#This Row],[E&amp;D Rate per unit]]*R489*Table1[[#This Row],[Quantity]],2)</f>
        <v>1240.81</v>
      </c>
      <c r="Y489" s="142">
        <f t="shared" si="73"/>
        <v>164.03</v>
      </c>
      <c r="Z489" s="142">
        <f>ROUND(0.3*T489*Table1[[#This Row],[E&amp;D Rate per unit]]*Table1[[#This Row],[Quantity]],2)</f>
        <v>531.78</v>
      </c>
      <c r="AA489" s="142">
        <f t="shared" si="74"/>
        <v>1936.62</v>
      </c>
      <c r="AB489" s="143">
        <v>1118.913043478261</v>
      </c>
      <c r="AC489" s="143">
        <f>Table1[[#This Row],[Total Amount]]-Table1[[#This Row],[Previous Amount]]</f>
        <v>817.7069565217389</v>
      </c>
      <c r="AD489" s="132" t="s">
        <v>557</v>
      </c>
    </row>
    <row r="490" spans="1:30" ht="30" customHeight="1" x14ac:dyDescent="0.3">
      <c r="A490" s="92" t="s">
        <v>89</v>
      </c>
      <c r="B490" s="92" t="s">
        <v>96</v>
      </c>
      <c r="C490" s="136" t="s">
        <v>564</v>
      </c>
      <c r="D490" s="136">
        <v>79088</v>
      </c>
      <c r="E490" s="136"/>
      <c r="F490" s="137" t="s">
        <v>565</v>
      </c>
      <c r="G490" s="17" t="s">
        <v>200</v>
      </c>
      <c r="H490" s="136" t="s">
        <v>176</v>
      </c>
      <c r="I490" s="136">
        <v>1</v>
      </c>
      <c r="J490" s="136">
        <v>3.8</v>
      </c>
      <c r="K490" s="136">
        <v>1.3</v>
      </c>
      <c r="L490" s="136">
        <v>1</v>
      </c>
      <c r="M490" s="136">
        <v>1</v>
      </c>
      <c r="N490" s="138" t="s">
        <v>160</v>
      </c>
      <c r="O490" s="138">
        <f t="shared" ref="O490:O680" si="75">ROUND(IF(N490="m3",I490*J490*K490*L490,IF(N490="m2-LxH",I490*J490*L490,IF(N490="m2-LxW",I490*J490*K490,IF(N490="rm",I490*L490,IF(N490="lm",I490*J490,IF(N490="unit",I490,"NA")))))),2)</f>
        <v>4.9400000000000004</v>
      </c>
      <c r="P490" s="118">
        <v>44916</v>
      </c>
      <c r="Q490" s="139"/>
      <c r="R490" s="140">
        <v>1</v>
      </c>
      <c r="S490" s="140">
        <v>1</v>
      </c>
      <c r="T490" s="140">
        <v>0</v>
      </c>
      <c r="U490" s="141">
        <f>IF(ISBLANK(Table1[[#This Row],[OHC Date]]),$B$7-Table1[[#This Row],[HOC Date]]+1,Table1[[#This Row],[OHC Date]]-Table1[[#This Row],[HOC Date]]+1)/7</f>
        <v>5.1428571428571432</v>
      </c>
      <c r="V490" s="142">
        <v>6.63</v>
      </c>
      <c r="W490" s="142">
        <v>0.7</v>
      </c>
      <c r="X490" s="142">
        <f>ROUND(0.7*Table1[[#This Row],[E&amp;D Rate per unit]]*R490*Table1[[#This Row],[Quantity]],2)</f>
        <v>22.93</v>
      </c>
      <c r="Y490" s="142">
        <f t="shared" ref="Y490:Y497" si="76">ROUND(O490*U490*W490*S490,2)</f>
        <v>17.78</v>
      </c>
      <c r="Z490" s="142">
        <f>ROUND(0.3*T490*Table1[[#This Row],[E&amp;D Rate per unit]]*Table1[[#This Row],[Quantity]],2)</f>
        <v>0</v>
      </c>
      <c r="AA490" s="142">
        <f>ROUND(X490+Z490+Y490,2)</f>
        <v>40.71</v>
      </c>
      <c r="AB490" s="143">
        <v>25.4</v>
      </c>
      <c r="AC490" s="143">
        <f>Table1[[#This Row],[Total Amount]]-Table1[[#This Row],[Previous Amount]]</f>
        <v>15.310000000000002</v>
      </c>
      <c r="AD490" s="144"/>
    </row>
    <row r="491" spans="1:30" ht="30" customHeight="1" x14ac:dyDescent="0.3">
      <c r="A491" s="92" t="s">
        <v>89</v>
      </c>
      <c r="B491" s="92" t="s">
        <v>96</v>
      </c>
      <c r="C491" s="136" t="s">
        <v>566</v>
      </c>
      <c r="D491" s="136">
        <v>79089</v>
      </c>
      <c r="E491" s="136"/>
      <c r="F491" s="137" t="s">
        <v>565</v>
      </c>
      <c r="G491" s="17" t="s">
        <v>200</v>
      </c>
      <c r="H491" s="102" t="s">
        <v>126</v>
      </c>
      <c r="I491" s="136">
        <v>1</v>
      </c>
      <c r="J491" s="136">
        <v>4</v>
      </c>
      <c r="K491" s="136">
        <v>0.5</v>
      </c>
      <c r="L491" s="136">
        <v>1</v>
      </c>
      <c r="M491" s="136">
        <v>1</v>
      </c>
      <c r="N491" s="138" t="s">
        <v>160</v>
      </c>
      <c r="O491" s="138">
        <f t="shared" si="75"/>
        <v>2</v>
      </c>
      <c r="P491" s="118">
        <v>44916</v>
      </c>
      <c r="Q491" s="139"/>
      <c r="R491" s="140">
        <v>1</v>
      </c>
      <c r="S491" s="140">
        <v>1</v>
      </c>
      <c r="T491" s="140">
        <v>0</v>
      </c>
      <c r="U491" s="141">
        <f>IF(ISBLANK(Table1[[#This Row],[OHC Date]]),$B$7-Table1[[#This Row],[HOC Date]]+1,Table1[[#This Row],[OHC Date]]-Table1[[#This Row],[HOC Date]]+1)/7</f>
        <v>5.1428571428571432</v>
      </c>
      <c r="V491" s="142">
        <v>32.75</v>
      </c>
      <c r="W491" s="142">
        <v>1.05</v>
      </c>
      <c r="X491" s="142">
        <f>ROUND(0.7*Table1[[#This Row],[E&amp;D Rate per unit]]*R491*Table1[[#This Row],[Quantity]],2)</f>
        <v>45.85</v>
      </c>
      <c r="Y491" s="142">
        <f t="shared" si="76"/>
        <v>10.8</v>
      </c>
      <c r="Z491" s="142">
        <f>ROUND(0.3*T491*Table1[[#This Row],[E&amp;D Rate per unit]]*Table1[[#This Row],[Quantity]],2)</f>
        <v>0</v>
      </c>
      <c r="AA491" s="142">
        <f>ROUND(X491+Z491+Y491,2)</f>
        <v>56.65</v>
      </c>
      <c r="AB491" s="143">
        <v>47.35</v>
      </c>
      <c r="AC491" s="143">
        <f>Table1[[#This Row],[Total Amount]]-Table1[[#This Row],[Previous Amount]]</f>
        <v>9.2999999999999972</v>
      </c>
      <c r="AD491" s="144"/>
    </row>
    <row r="492" spans="1:30" ht="30" customHeight="1" x14ac:dyDescent="0.3">
      <c r="A492" s="92" t="s">
        <v>89</v>
      </c>
      <c r="B492" s="92" t="s">
        <v>96</v>
      </c>
      <c r="C492" s="136">
        <v>77</v>
      </c>
      <c r="D492" s="136">
        <v>79090</v>
      </c>
      <c r="E492" s="136"/>
      <c r="F492" s="137" t="s">
        <v>567</v>
      </c>
      <c r="G492" s="17" t="s">
        <v>200</v>
      </c>
      <c r="H492" s="136" t="s">
        <v>220</v>
      </c>
      <c r="I492" s="136">
        <v>1</v>
      </c>
      <c r="J492" s="136">
        <v>1.3</v>
      </c>
      <c r="K492" s="136">
        <v>1.3</v>
      </c>
      <c r="L492" s="136">
        <v>4</v>
      </c>
      <c r="M492" s="136">
        <v>2</v>
      </c>
      <c r="N492" s="138" t="s">
        <v>221</v>
      </c>
      <c r="O492" s="138">
        <f t="shared" si="75"/>
        <v>4</v>
      </c>
      <c r="P492" s="118">
        <v>44917</v>
      </c>
      <c r="Q492" s="139"/>
      <c r="R492" s="140">
        <v>1</v>
      </c>
      <c r="S492" s="140">
        <v>1</v>
      </c>
      <c r="T492" s="140">
        <v>0</v>
      </c>
      <c r="U492" s="141">
        <f>IF(ISBLANK(Table1[[#This Row],[OHC Date]]),$B$7-Table1[[#This Row],[HOC Date]]+1,Table1[[#This Row],[OHC Date]]-Table1[[#This Row],[HOC Date]]+1)/7</f>
        <v>5</v>
      </c>
      <c r="V492" s="142">
        <v>63.34</v>
      </c>
      <c r="W492" s="142">
        <v>7.28</v>
      </c>
      <c r="X492" s="142">
        <f>ROUND(0.7*Table1[[#This Row],[E&amp;D Rate per unit]]*R492*Table1[[#This Row],[Quantity]],2)</f>
        <v>177.35</v>
      </c>
      <c r="Y492" s="142">
        <f t="shared" si="76"/>
        <v>145.6</v>
      </c>
      <c r="Z492" s="142">
        <f>ROUND(0.3*T492*Table1[[#This Row],[E&amp;D Rate per unit]]*Table1[[#This Row],[Quantity]],2)</f>
        <v>0</v>
      </c>
      <c r="AA492" s="142">
        <f>ROUND(X492+Z492+Y492,2)</f>
        <v>322.95</v>
      </c>
      <c r="AB492" s="143">
        <v>193.99</v>
      </c>
      <c r="AC492" s="143">
        <f>Table1[[#This Row],[Total Amount]]-Table1[[#This Row],[Previous Amount]]</f>
        <v>128.95999999999998</v>
      </c>
      <c r="AD492" s="144"/>
    </row>
    <row r="493" spans="1:30" ht="30" customHeight="1" x14ac:dyDescent="0.3">
      <c r="A493" s="92" t="s">
        <v>89</v>
      </c>
      <c r="B493" s="92" t="s">
        <v>96</v>
      </c>
      <c r="C493" s="136" t="s">
        <v>568</v>
      </c>
      <c r="D493" s="136">
        <v>79091</v>
      </c>
      <c r="E493" s="136"/>
      <c r="F493" s="137" t="s">
        <v>562</v>
      </c>
      <c r="G493" s="17" t="s">
        <v>200</v>
      </c>
      <c r="H493" s="136" t="s">
        <v>176</v>
      </c>
      <c r="I493" s="136">
        <v>1</v>
      </c>
      <c r="J493" s="136">
        <v>2.5</v>
      </c>
      <c r="K493" s="136">
        <v>1.3</v>
      </c>
      <c r="L493" s="136">
        <v>1</v>
      </c>
      <c r="M493" s="136">
        <v>1</v>
      </c>
      <c r="N493" s="138" t="s">
        <v>160</v>
      </c>
      <c r="O493" s="138">
        <f t="shared" si="75"/>
        <v>3.25</v>
      </c>
      <c r="P493" s="118">
        <v>44917</v>
      </c>
      <c r="Q493" s="139"/>
      <c r="R493" s="140">
        <v>1</v>
      </c>
      <c r="S493" s="140">
        <v>1</v>
      </c>
      <c r="T493" s="140">
        <v>0</v>
      </c>
      <c r="U493" s="141">
        <f>IF(ISBLANK(Table1[[#This Row],[OHC Date]]),$B$7-Table1[[#This Row],[HOC Date]]+1,Table1[[#This Row],[OHC Date]]-Table1[[#This Row],[HOC Date]]+1)/7</f>
        <v>5</v>
      </c>
      <c r="V493" s="142">
        <v>6.63</v>
      </c>
      <c r="W493" s="142">
        <v>0.7</v>
      </c>
      <c r="X493" s="142">
        <f>ROUND(0.7*Table1[[#This Row],[E&amp;D Rate per unit]]*R493*Table1[[#This Row],[Quantity]],2)</f>
        <v>15.08</v>
      </c>
      <c r="Y493" s="142">
        <f t="shared" si="76"/>
        <v>11.38</v>
      </c>
      <c r="Z493" s="142">
        <f>ROUND(0.3*T493*Table1[[#This Row],[E&amp;D Rate per unit]]*Table1[[#This Row],[Quantity]],2)</f>
        <v>0</v>
      </c>
      <c r="AA493" s="142">
        <f>ROUND(X493+Z493+Y493,2)</f>
        <v>26.46</v>
      </c>
      <c r="AB493" s="143">
        <v>16.38</v>
      </c>
      <c r="AC493" s="143">
        <f>Table1[[#This Row],[Total Amount]]-Table1[[#This Row],[Previous Amount]]</f>
        <v>10.080000000000002</v>
      </c>
      <c r="AD493" s="144"/>
    </row>
    <row r="494" spans="1:30" ht="30" customHeight="1" x14ac:dyDescent="0.3">
      <c r="A494" s="156" t="s">
        <v>550</v>
      </c>
      <c r="B494" s="92" t="s">
        <v>96</v>
      </c>
      <c r="C494" s="136" t="s">
        <v>569</v>
      </c>
      <c r="D494" s="136">
        <v>79092</v>
      </c>
      <c r="E494" s="196">
        <v>80905</v>
      </c>
      <c r="F494" s="137" t="s">
        <v>552</v>
      </c>
      <c r="G494" s="17" t="s">
        <v>439</v>
      </c>
      <c r="H494" s="157" t="s">
        <v>553</v>
      </c>
      <c r="I494" s="136">
        <v>1</v>
      </c>
      <c r="J494" s="136">
        <v>4.3</v>
      </c>
      <c r="K494" s="136">
        <v>1</v>
      </c>
      <c r="L494" s="136">
        <v>1</v>
      </c>
      <c r="M494" s="136">
        <v>1</v>
      </c>
      <c r="N494" s="138" t="s">
        <v>56</v>
      </c>
      <c r="O494" s="138">
        <f t="shared" si="75"/>
        <v>1</v>
      </c>
      <c r="P494" s="118">
        <v>44917</v>
      </c>
      <c r="Q494" s="189">
        <v>44937</v>
      </c>
      <c r="R494" s="140">
        <v>1</v>
      </c>
      <c r="S494" s="140">
        <v>1</v>
      </c>
      <c r="T494" s="140">
        <v>1</v>
      </c>
      <c r="U494" s="141">
        <f>IF(ISBLANK(Table1[[#This Row],[OHC Date]]),$B$7-Table1[[#This Row],[HOC Date]]+1,Table1[[#This Row],[OHC Date]]-Table1[[#This Row],[HOC Date]]+1)/7</f>
        <v>3</v>
      </c>
      <c r="V494" s="142">
        <v>1772.5845217391307</v>
      </c>
      <c r="W494" s="142">
        <v>52.192000000000007</v>
      </c>
      <c r="X494" s="142">
        <f>ROUND(0.7*Table1[[#This Row],[E&amp;D Rate per unit]]*R494*Table1[[#This Row],[Quantity]],2)</f>
        <v>1240.81</v>
      </c>
      <c r="Y494" s="142">
        <f t="shared" si="76"/>
        <v>156.58000000000001</v>
      </c>
      <c r="Z494" s="142">
        <f>ROUND(0.3*T494*Table1[[#This Row],[E&amp;D Rate per unit]]*Table1[[#This Row],[Quantity]],2)</f>
        <v>531.78</v>
      </c>
      <c r="AA494" s="142">
        <f>ROUND(X494+Z494+Y494,2)</f>
        <v>1929.17</v>
      </c>
      <c r="AB494" s="143">
        <v>1115.5000000000002</v>
      </c>
      <c r="AC494" s="143">
        <f>Table1[[#This Row],[Total Amount]]-Table1[[#This Row],[Previous Amount]]</f>
        <v>813.66999999999985</v>
      </c>
      <c r="AD494" s="132" t="s">
        <v>557</v>
      </c>
    </row>
    <row r="495" spans="1:30" ht="30" customHeight="1" x14ac:dyDescent="0.3">
      <c r="A495" s="92" t="s">
        <v>629</v>
      </c>
      <c r="B495" s="92" t="s">
        <v>96</v>
      </c>
      <c r="C495" s="16"/>
      <c r="D495" s="16"/>
      <c r="E495" s="16"/>
      <c r="F495" s="17" t="s">
        <v>100</v>
      </c>
      <c r="G495" s="17" t="s">
        <v>101</v>
      </c>
      <c r="H495" s="16" t="s">
        <v>101</v>
      </c>
      <c r="I495" s="16">
        <v>1</v>
      </c>
      <c r="J495" s="16"/>
      <c r="K495" s="16"/>
      <c r="L495" s="16"/>
      <c r="M495" s="16"/>
      <c r="N495" s="93" t="s">
        <v>56</v>
      </c>
      <c r="O495" s="16">
        <f t="shared" si="75"/>
        <v>1</v>
      </c>
      <c r="P495" s="18">
        <v>44914</v>
      </c>
      <c r="Q495" s="18"/>
      <c r="R495" s="19">
        <v>0</v>
      </c>
      <c r="S495" s="19">
        <v>1</v>
      </c>
      <c r="T495" s="19">
        <v>0</v>
      </c>
      <c r="U495" s="20">
        <f>IF(ISBLANK(Table1[[#This Row],[OHC Date]]),$B$7-Table1[[#This Row],[HOC Date]]+1,Table1[[#This Row],[OHC Date]]-Table1[[#This Row],[HOC Date]]+1)/7</f>
        <v>5.4285714285714288</v>
      </c>
      <c r="V495" s="21">
        <v>0</v>
      </c>
      <c r="W495" s="21">
        <v>200</v>
      </c>
      <c r="X495" s="21">
        <f>ROUND(0.7*Table1[[#This Row],[E&amp;D Rate per unit]]*R495*Table1[[#This Row],[Quantity]],2)</f>
        <v>0</v>
      </c>
      <c r="Y495" s="21">
        <f t="shared" si="76"/>
        <v>1085.71</v>
      </c>
      <c r="Z495" s="21">
        <f>ROUND(0.3*T495*Table1[[#This Row],[E&amp;D Rate per unit]]*Table1[[#This Row],[Quantity]],2)</f>
        <v>0</v>
      </c>
      <c r="AA495" s="21">
        <f t="shared" ref="AA495" si="77">ROUND(X495+Z495+Y495,2)</f>
        <v>1085.71</v>
      </c>
      <c r="AB495" s="21">
        <v>200</v>
      </c>
      <c r="AC495" s="21">
        <f>Table1[[#This Row],[Total Amount]]-Table1[[#This Row],[Previous Amount]]</f>
        <v>885.71</v>
      </c>
      <c r="AD495" s="16"/>
    </row>
    <row r="496" spans="1:30" ht="30" customHeight="1" x14ac:dyDescent="0.3">
      <c r="A496" s="92" t="s">
        <v>630</v>
      </c>
      <c r="B496" s="92" t="s">
        <v>96</v>
      </c>
      <c r="C496" s="16"/>
      <c r="D496" s="16"/>
      <c r="E496" s="16"/>
      <c r="F496" s="17" t="s">
        <v>100</v>
      </c>
      <c r="G496" s="17" t="s">
        <v>101</v>
      </c>
      <c r="H496" s="16" t="s">
        <v>101</v>
      </c>
      <c r="I496" s="16">
        <v>1</v>
      </c>
      <c r="J496" s="16"/>
      <c r="K496" s="16"/>
      <c r="L496" s="16"/>
      <c r="M496" s="16"/>
      <c r="N496" s="93" t="s">
        <v>56</v>
      </c>
      <c r="O496" s="16">
        <f t="shared" si="75"/>
        <v>1</v>
      </c>
      <c r="P496" s="18">
        <v>44916</v>
      </c>
      <c r="Q496" s="18"/>
      <c r="R496" s="19">
        <v>0</v>
      </c>
      <c r="S496" s="19">
        <v>1</v>
      </c>
      <c r="T496" s="19">
        <v>0</v>
      </c>
      <c r="U496" s="20">
        <f>IF(ISBLANK(Table1[[#This Row],[OHC Date]]),$B$7-Table1[[#This Row],[HOC Date]]+1,Table1[[#This Row],[OHC Date]]-Table1[[#This Row],[HOC Date]]+1)/7</f>
        <v>5.1428571428571432</v>
      </c>
      <c r="V496" s="21">
        <v>0</v>
      </c>
      <c r="W496" s="21">
        <v>200</v>
      </c>
      <c r="X496" s="21">
        <f>ROUND(0.7*Table1[[#This Row],[E&amp;D Rate per unit]]*R496*Table1[[#This Row],[Quantity]],2)</f>
        <v>0</v>
      </c>
      <c r="Y496" s="21">
        <f t="shared" si="76"/>
        <v>1028.57</v>
      </c>
      <c r="Z496" s="21">
        <f>ROUND(0.3*T496*Table1[[#This Row],[E&amp;D Rate per unit]]*Table1[[#This Row],[Quantity]],2)</f>
        <v>0</v>
      </c>
      <c r="AA496" s="21">
        <f t="shared" ref="AA496" si="78">ROUND(X496+Z496+Y496,2)</f>
        <v>1028.57</v>
      </c>
      <c r="AB496" s="21">
        <v>142.86000000000001</v>
      </c>
      <c r="AC496" s="21">
        <f>Table1[[#This Row],[Total Amount]]-Table1[[#This Row],[Previous Amount]]</f>
        <v>885.70999999999992</v>
      </c>
      <c r="AD496" s="16"/>
    </row>
    <row r="497" spans="1:30" ht="30" customHeight="1" x14ac:dyDescent="0.3">
      <c r="A497" s="92" t="s">
        <v>630</v>
      </c>
      <c r="B497" s="92" t="s">
        <v>96</v>
      </c>
      <c r="C497" s="136"/>
      <c r="D497" s="136"/>
      <c r="E497" s="136"/>
      <c r="F497" s="17" t="s">
        <v>100</v>
      </c>
      <c r="G497" s="17" t="s">
        <v>101</v>
      </c>
      <c r="H497" s="16" t="s">
        <v>101</v>
      </c>
      <c r="I497" s="136">
        <v>1</v>
      </c>
      <c r="J497" s="136"/>
      <c r="K497" s="136"/>
      <c r="L497" s="136"/>
      <c r="M497" s="136"/>
      <c r="N497" s="138" t="s">
        <v>56</v>
      </c>
      <c r="O497" s="138">
        <f t="shared" si="75"/>
        <v>1</v>
      </c>
      <c r="P497" s="18">
        <v>44917</v>
      </c>
      <c r="Q497" s="139"/>
      <c r="R497" s="19">
        <v>0</v>
      </c>
      <c r="S497" s="19">
        <v>1</v>
      </c>
      <c r="T497" s="19">
        <v>0</v>
      </c>
      <c r="U497" s="20">
        <f>IF(ISBLANK(Table1[[#This Row],[OHC Date]]),$B$7-Table1[[#This Row],[HOC Date]]+1,Table1[[#This Row],[OHC Date]]-Table1[[#This Row],[HOC Date]]+1)/7</f>
        <v>5</v>
      </c>
      <c r="V497" s="21">
        <v>0</v>
      </c>
      <c r="W497" s="21">
        <v>200</v>
      </c>
      <c r="X497" s="21">
        <f>ROUND(0.7*Table1[[#This Row],[E&amp;D Rate per unit]]*R497*Table1[[#This Row],[Quantity]],2)</f>
        <v>0</v>
      </c>
      <c r="Y497" s="21">
        <f t="shared" si="76"/>
        <v>1000</v>
      </c>
      <c r="Z497" s="21">
        <f>ROUND(0.3*T497*Table1[[#This Row],[E&amp;D Rate per unit]]*Table1[[#This Row],[Quantity]],2)</f>
        <v>0</v>
      </c>
      <c r="AA497" s="21">
        <f t="shared" ref="AA497" si="79">ROUND(X497+Z497+Y497,2)</f>
        <v>1000</v>
      </c>
      <c r="AB497" s="21">
        <v>114.29</v>
      </c>
      <c r="AC497" s="21">
        <f>Table1[[#This Row],[Total Amount]]-Table1[[#This Row],[Previous Amount]]</f>
        <v>885.71</v>
      </c>
      <c r="AD497" s="16"/>
    </row>
    <row r="498" spans="1:30" ht="30" customHeight="1" x14ac:dyDescent="0.3">
      <c r="A498" s="92" t="s">
        <v>89</v>
      </c>
      <c r="B498" s="92" t="s">
        <v>97</v>
      </c>
      <c r="C498" s="16">
        <v>153</v>
      </c>
      <c r="D498" s="187">
        <v>79175</v>
      </c>
      <c r="E498" s="16"/>
      <c r="F498" s="17" t="s">
        <v>673</v>
      </c>
      <c r="G498" s="17" t="s">
        <v>200</v>
      </c>
      <c r="H498" s="16" t="s">
        <v>220</v>
      </c>
      <c r="I498" s="16">
        <v>1</v>
      </c>
      <c r="J498" s="187">
        <v>1.8</v>
      </c>
      <c r="K498" s="187">
        <v>1.3</v>
      </c>
      <c r="L498" s="187">
        <v>4</v>
      </c>
      <c r="M498" s="16">
        <v>1</v>
      </c>
      <c r="N498" s="93" t="s">
        <v>221</v>
      </c>
      <c r="O498" s="93">
        <f t="shared" si="75"/>
        <v>4</v>
      </c>
      <c r="P498" s="188">
        <v>44921</v>
      </c>
      <c r="Q498" s="18"/>
      <c r="R498" s="140">
        <v>1</v>
      </c>
      <c r="S498" s="140">
        <v>1</v>
      </c>
      <c r="T498" s="140">
        <v>0</v>
      </c>
      <c r="U498" s="20">
        <f>IF(ISBLANK(Table1[[#This Row],[OHC Date]]),$B$7-Table1[[#This Row],[HOC Date]]+1,Table1[[#This Row],[OHC Date]]-Table1[[#This Row],[HOC Date]]+1)/7</f>
        <v>4.4285714285714288</v>
      </c>
      <c r="V498" s="142">
        <v>63.34</v>
      </c>
      <c r="W498" s="142">
        <v>7.28</v>
      </c>
      <c r="X498" s="21">
        <f>ROUND(0.7*Table1[[#This Row],[E&amp;D Rate per unit]]*R498*Table1[[#This Row],[Quantity]],2)</f>
        <v>177.35</v>
      </c>
      <c r="Y498" s="21">
        <f t="shared" ref="Y498:Y529" si="80">ROUND(O498*U498*W498*S498,2)</f>
        <v>128.96</v>
      </c>
      <c r="Z498" s="21">
        <f>ROUND(0.3*T498*Table1[[#This Row],[E&amp;D Rate per unit]]*Table1[[#This Row],[Quantity]],2)</f>
        <v>0</v>
      </c>
      <c r="AA498" s="21">
        <f t="shared" ref="AA498:AA529" si="81">ROUND(X498+Z498+Y498,2)</f>
        <v>306.31</v>
      </c>
      <c r="AB498" s="129"/>
      <c r="AC498" s="129">
        <f>Table1[[#This Row],[Total Amount]]-Table1[[#This Row],[Previous Amount]]</f>
        <v>306.31</v>
      </c>
      <c r="AD498" s="153"/>
    </row>
    <row r="499" spans="1:30" ht="30" customHeight="1" x14ac:dyDescent="0.3">
      <c r="A499" s="145" t="s">
        <v>550</v>
      </c>
      <c r="B499" s="92" t="s">
        <v>97</v>
      </c>
      <c r="C499" s="16" t="s">
        <v>674</v>
      </c>
      <c r="D499" s="187">
        <v>79176</v>
      </c>
      <c r="E499" s="187">
        <v>80599</v>
      </c>
      <c r="F499" s="17" t="s">
        <v>552</v>
      </c>
      <c r="G499" s="17" t="s">
        <v>276</v>
      </c>
      <c r="H499" s="151" t="s">
        <v>553</v>
      </c>
      <c r="I499" s="16">
        <v>1</v>
      </c>
      <c r="J499" s="187">
        <v>4.3</v>
      </c>
      <c r="K499" s="187">
        <v>1</v>
      </c>
      <c r="L499" s="187">
        <v>1</v>
      </c>
      <c r="M499" s="16">
        <v>1</v>
      </c>
      <c r="N499" s="93" t="s">
        <v>56</v>
      </c>
      <c r="O499" s="93">
        <f t="shared" si="75"/>
        <v>1</v>
      </c>
      <c r="P499" s="188">
        <v>44921</v>
      </c>
      <c r="Q499" s="188">
        <v>44924</v>
      </c>
      <c r="R499" s="140">
        <v>1</v>
      </c>
      <c r="S499" s="140">
        <v>1</v>
      </c>
      <c r="T499" s="140">
        <v>1</v>
      </c>
      <c r="U499" s="20">
        <f>IF(ISBLANK(Table1[[#This Row],[OHC Date]]),$B$7-Table1[[#This Row],[HOC Date]]+1,Table1[[#This Row],[OHC Date]]-Table1[[#This Row],[HOC Date]]+1)/7</f>
        <v>0.5714285714285714</v>
      </c>
      <c r="V499" s="142">
        <v>1772.5845217391307</v>
      </c>
      <c r="W499" s="142">
        <v>52.192000000000007</v>
      </c>
      <c r="X499" s="21">
        <f>ROUND(0.7*Table1[[#This Row],[E&amp;D Rate per unit]]*R499*Table1[[#This Row],[Quantity]],2)</f>
        <v>1240.81</v>
      </c>
      <c r="Y499" s="21">
        <f t="shared" si="80"/>
        <v>29.82</v>
      </c>
      <c r="Z499" s="21">
        <f>ROUND(0.3*T499*Table1[[#This Row],[E&amp;D Rate per unit]]*Table1[[#This Row],[Quantity]],2)</f>
        <v>531.78</v>
      </c>
      <c r="AA499" s="21">
        <f t="shared" si="81"/>
        <v>1802.41</v>
      </c>
      <c r="AB499" s="129"/>
      <c r="AC499" s="129">
        <f>Table1[[#This Row],[Total Amount]]-Table1[[#This Row],[Previous Amount]]</f>
        <v>1802.41</v>
      </c>
      <c r="AD499" s="132" t="s">
        <v>557</v>
      </c>
    </row>
    <row r="500" spans="1:30" ht="30" customHeight="1" x14ac:dyDescent="0.3">
      <c r="A500" s="145" t="s">
        <v>550</v>
      </c>
      <c r="B500" s="92" t="s">
        <v>97</v>
      </c>
      <c r="C500" s="16" t="s">
        <v>675</v>
      </c>
      <c r="D500" s="187">
        <v>79177</v>
      </c>
      <c r="E500" s="187">
        <v>80600</v>
      </c>
      <c r="F500" s="17" t="s">
        <v>552</v>
      </c>
      <c r="G500" s="17" t="s">
        <v>276</v>
      </c>
      <c r="H500" s="148" t="s">
        <v>553</v>
      </c>
      <c r="I500" s="16">
        <v>1</v>
      </c>
      <c r="J500" s="187">
        <v>4.3</v>
      </c>
      <c r="K500" s="187">
        <v>1</v>
      </c>
      <c r="L500" s="187">
        <v>1</v>
      </c>
      <c r="M500" s="16">
        <v>1</v>
      </c>
      <c r="N500" s="93" t="s">
        <v>56</v>
      </c>
      <c r="O500" s="93">
        <f t="shared" si="75"/>
        <v>1</v>
      </c>
      <c r="P500" s="188">
        <v>44921</v>
      </c>
      <c r="Q500" s="188">
        <v>44924</v>
      </c>
      <c r="R500" s="140">
        <v>1</v>
      </c>
      <c r="S500" s="140">
        <v>1</v>
      </c>
      <c r="T500" s="140">
        <v>1</v>
      </c>
      <c r="U500" s="20">
        <f>IF(ISBLANK(Table1[[#This Row],[OHC Date]]),$B$7-Table1[[#This Row],[HOC Date]]+1,Table1[[#This Row],[OHC Date]]-Table1[[#This Row],[HOC Date]]+1)/7</f>
        <v>0.5714285714285714</v>
      </c>
      <c r="V500" s="142">
        <v>1772.5845217391307</v>
      </c>
      <c r="W500" s="142">
        <v>52.192000000000007</v>
      </c>
      <c r="X500" s="21">
        <f>ROUND(0.7*Table1[[#This Row],[E&amp;D Rate per unit]]*R500*Table1[[#This Row],[Quantity]],2)</f>
        <v>1240.81</v>
      </c>
      <c r="Y500" s="21">
        <f t="shared" si="80"/>
        <v>29.82</v>
      </c>
      <c r="Z500" s="21">
        <f>ROUND(0.3*T500*Table1[[#This Row],[E&amp;D Rate per unit]]*Table1[[#This Row],[Quantity]],2)</f>
        <v>531.78</v>
      </c>
      <c r="AA500" s="21">
        <f t="shared" si="81"/>
        <v>1802.41</v>
      </c>
      <c r="AB500" s="129"/>
      <c r="AC500" s="129">
        <f>Table1[[#This Row],[Total Amount]]-Table1[[#This Row],[Previous Amount]]</f>
        <v>1802.41</v>
      </c>
      <c r="AD500" s="132" t="s">
        <v>557</v>
      </c>
    </row>
    <row r="501" spans="1:30" ht="30" customHeight="1" x14ac:dyDescent="0.3">
      <c r="A501" s="92" t="s">
        <v>89</v>
      </c>
      <c r="B501" s="92" t="s">
        <v>97</v>
      </c>
      <c r="C501" s="16" t="s">
        <v>676</v>
      </c>
      <c r="D501" s="187">
        <v>79178</v>
      </c>
      <c r="E501" s="187">
        <v>80855</v>
      </c>
      <c r="F501" s="17" t="s">
        <v>677</v>
      </c>
      <c r="G501" s="17" t="s">
        <v>226</v>
      </c>
      <c r="H501" s="102" t="s">
        <v>205</v>
      </c>
      <c r="I501" s="16">
        <v>1</v>
      </c>
      <c r="J501" s="187">
        <v>25.1</v>
      </c>
      <c r="K501" s="187">
        <v>1.3</v>
      </c>
      <c r="L501" s="187">
        <v>3</v>
      </c>
      <c r="M501" s="16">
        <v>1</v>
      </c>
      <c r="N501" s="93" t="s">
        <v>206</v>
      </c>
      <c r="O501" s="93">
        <f t="shared" si="75"/>
        <v>75.3</v>
      </c>
      <c r="P501" s="188">
        <v>44921</v>
      </c>
      <c r="Q501" s="188">
        <v>44928</v>
      </c>
      <c r="R501" s="140">
        <v>1</v>
      </c>
      <c r="S501" s="140">
        <v>1</v>
      </c>
      <c r="T501" s="140">
        <v>1</v>
      </c>
      <c r="U501" s="20">
        <f>IF(ISBLANK(Table1[[#This Row],[OHC Date]]),$B$7-Table1[[#This Row],[HOC Date]]+1,Table1[[#This Row],[OHC Date]]-Table1[[#This Row],[HOC Date]]+1)/7</f>
        <v>1.1428571428571428</v>
      </c>
      <c r="V501" s="142">
        <v>12.01</v>
      </c>
      <c r="W501" s="142">
        <v>0.49</v>
      </c>
      <c r="X501" s="21">
        <f>ROUND(0.7*Table1[[#This Row],[E&amp;D Rate per unit]]*R501*Table1[[#This Row],[Quantity]],2)</f>
        <v>633.04999999999995</v>
      </c>
      <c r="Y501" s="21">
        <f t="shared" si="80"/>
        <v>42.17</v>
      </c>
      <c r="Z501" s="21">
        <f>ROUND(0.3*T501*Table1[[#This Row],[E&amp;D Rate per unit]]*Table1[[#This Row],[Quantity]],2)</f>
        <v>271.31</v>
      </c>
      <c r="AA501" s="21">
        <f t="shared" si="81"/>
        <v>946.53</v>
      </c>
      <c r="AB501" s="129"/>
      <c r="AC501" s="129">
        <f>Table1[[#This Row],[Total Amount]]-Table1[[#This Row],[Previous Amount]]</f>
        <v>946.53</v>
      </c>
      <c r="AD501" s="153"/>
    </row>
    <row r="502" spans="1:30" ht="30" customHeight="1" x14ac:dyDescent="0.3">
      <c r="A502" s="92" t="s">
        <v>89</v>
      </c>
      <c r="B502" s="92" t="s">
        <v>97</v>
      </c>
      <c r="C502" s="16" t="s">
        <v>676</v>
      </c>
      <c r="D502" s="187">
        <v>79178</v>
      </c>
      <c r="E502" s="187">
        <v>80856</v>
      </c>
      <c r="F502" s="17" t="s">
        <v>677</v>
      </c>
      <c r="G502" s="17" t="s">
        <v>226</v>
      </c>
      <c r="H502" s="16" t="s">
        <v>176</v>
      </c>
      <c r="I502" s="16">
        <v>1</v>
      </c>
      <c r="J502" s="187">
        <v>6</v>
      </c>
      <c r="K502" s="187">
        <v>1</v>
      </c>
      <c r="L502" s="187">
        <v>1</v>
      </c>
      <c r="M502" s="16">
        <v>1</v>
      </c>
      <c r="N502" s="93" t="s">
        <v>160</v>
      </c>
      <c r="O502" s="93">
        <f t="shared" si="75"/>
        <v>6</v>
      </c>
      <c r="P502" s="188">
        <v>44921</v>
      </c>
      <c r="Q502" s="188">
        <v>44928</v>
      </c>
      <c r="R502" s="140">
        <v>1</v>
      </c>
      <c r="S502" s="140">
        <v>1</v>
      </c>
      <c r="T502" s="140">
        <v>1</v>
      </c>
      <c r="U502" s="20">
        <f>IF(ISBLANK(Table1[[#This Row],[OHC Date]]),$B$7-Table1[[#This Row],[HOC Date]]+1,Table1[[#This Row],[OHC Date]]-Table1[[#This Row],[HOC Date]]+1)/7</f>
        <v>1.1428571428571428</v>
      </c>
      <c r="V502" s="142">
        <v>6.63</v>
      </c>
      <c r="W502" s="142">
        <v>0.7</v>
      </c>
      <c r="X502" s="21">
        <f>ROUND(0.7*Table1[[#This Row],[E&amp;D Rate per unit]]*R502*Table1[[#This Row],[Quantity]],2)</f>
        <v>27.85</v>
      </c>
      <c r="Y502" s="21">
        <f t="shared" si="80"/>
        <v>4.8</v>
      </c>
      <c r="Z502" s="21">
        <f>ROUND(0.3*T502*Table1[[#This Row],[E&amp;D Rate per unit]]*Table1[[#This Row],[Quantity]],2)</f>
        <v>11.93</v>
      </c>
      <c r="AA502" s="21">
        <f t="shared" si="81"/>
        <v>44.58</v>
      </c>
      <c r="AB502" s="129"/>
      <c r="AC502" s="129">
        <f>Table1[[#This Row],[Total Amount]]-Table1[[#This Row],[Previous Amount]]</f>
        <v>44.58</v>
      </c>
      <c r="AD502" s="153"/>
    </row>
    <row r="503" spans="1:30" ht="30" customHeight="1" x14ac:dyDescent="0.3">
      <c r="A503" s="92" t="s">
        <v>89</v>
      </c>
      <c r="B503" s="92" t="s">
        <v>97</v>
      </c>
      <c r="C503" s="16" t="s">
        <v>678</v>
      </c>
      <c r="D503" s="187">
        <v>79179</v>
      </c>
      <c r="E503" s="187">
        <v>80856</v>
      </c>
      <c r="F503" s="17" t="s">
        <v>677</v>
      </c>
      <c r="G503" s="17" t="s">
        <v>226</v>
      </c>
      <c r="H503" s="16" t="s">
        <v>126</v>
      </c>
      <c r="I503" s="16">
        <v>1</v>
      </c>
      <c r="J503" s="187">
        <v>8</v>
      </c>
      <c r="K503" s="187">
        <v>0.5</v>
      </c>
      <c r="L503" s="187">
        <v>1</v>
      </c>
      <c r="M503" s="16">
        <v>1</v>
      </c>
      <c r="N503" s="93" t="s">
        <v>160</v>
      </c>
      <c r="O503" s="93">
        <f t="shared" si="75"/>
        <v>4</v>
      </c>
      <c r="P503" s="188">
        <v>44921</v>
      </c>
      <c r="Q503" s="188">
        <v>44928</v>
      </c>
      <c r="R503" s="140">
        <v>1</v>
      </c>
      <c r="S503" s="140">
        <v>1</v>
      </c>
      <c r="T503" s="140">
        <v>1</v>
      </c>
      <c r="U503" s="20">
        <f>IF(ISBLANK(Table1[[#This Row],[OHC Date]]),$B$7-Table1[[#This Row],[HOC Date]]+1,Table1[[#This Row],[OHC Date]]-Table1[[#This Row],[HOC Date]]+1)/7</f>
        <v>1.1428571428571428</v>
      </c>
      <c r="V503" s="142">
        <v>32.75</v>
      </c>
      <c r="W503" s="142">
        <v>1.05</v>
      </c>
      <c r="X503" s="21">
        <f>ROUND(0.7*Table1[[#This Row],[E&amp;D Rate per unit]]*R503*Table1[[#This Row],[Quantity]],2)</f>
        <v>91.7</v>
      </c>
      <c r="Y503" s="21">
        <f t="shared" si="80"/>
        <v>4.8</v>
      </c>
      <c r="Z503" s="21">
        <f>ROUND(0.3*T503*Table1[[#This Row],[E&amp;D Rate per unit]]*Table1[[#This Row],[Quantity]],2)</f>
        <v>39.299999999999997</v>
      </c>
      <c r="AA503" s="21">
        <f t="shared" si="81"/>
        <v>135.80000000000001</v>
      </c>
      <c r="AB503" s="129"/>
      <c r="AC503" s="129">
        <f>Table1[[#This Row],[Total Amount]]-Table1[[#This Row],[Previous Amount]]</f>
        <v>135.80000000000001</v>
      </c>
      <c r="AD503" s="153"/>
    </row>
    <row r="504" spans="1:30" ht="30" customHeight="1" x14ac:dyDescent="0.3">
      <c r="A504" s="92" t="s">
        <v>89</v>
      </c>
      <c r="B504" s="92" t="s">
        <v>97</v>
      </c>
      <c r="C504" s="16" t="s">
        <v>679</v>
      </c>
      <c r="D504" s="187">
        <v>79180</v>
      </c>
      <c r="E504" s="187">
        <v>80883</v>
      </c>
      <c r="F504" s="17" t="s">
        <v>680</v>
      </c>
      <c r="G504" s="17" t="s">
        <v>200</v>
      </c>
      <c r="H504" s="16" t="s">
        <v>176</v>
      </c>
      <c r="I504" s="16">
        <v>1</v>
      </c>
      <c r="J504" s="187">
        <v>2.5</v>
      </c>
      <c r="K504" s="187">
        <v>1.8</v>
      </c>
      <c r="L504" s="187">
        <v>1</v>
      </c>
      <c r="M504" s="16">
        <v>1</v>
      </c>
      <c r="N504" s="93" t="s">
        <v>160</v>
      </c>
      <c r="O504" s="93">
        <f t="shared" si="75"/>
        <v>4.5</v>
      </c>
      <c r="P504" s="188">
        <v>44921</v>
      </c>
      <c r="Q504" s="188">
        <v>44936</v>
      </c>
      <c r="R504" s="140">
        <v>1</v>
      </c>
      <c r="S504" s="140">
        <v>1</v>
      </c>
      <c r="T504" s="140">
        <v>1</v>
      </c>
      <c r="U504" s="20">
        <f>IF(ISBLANK(Table1[[#This Row],[OHC Date]]),$B$7-Table1[[#This Row],[HOC Date]]+1,Table1[[#This Row],[OHC Date]]-Table1[[#This Row],[HOC Date]]+1)/7</f>
        <v>2.2857142857142856</v>
      </c>
      <c r="V504" s="142">
        <v>6.63</v>
      </c>
      <c r="W504" s="142">
        <v>0.7</v>
      </c>
      <c r="X504" s="21">
        <f>ROUND(0.7*Table1[[#This Row],[E&amp;D Rate per unit]]*R504*Table1[[#This Row],[Quantity]],2)</f>
        <v>20.88</v>
      </c>
      <c r="Y504" s="21">
        <f t="shared" si="80"/>
        <v>7.2</v>
      </c>
      <c r="Z504" s="21">
        <f>ROUND(0.3*T504*Table1[[#This Row],[E&amp;D Rate per unit]]*Table1[[#This Row],[Quantity]],2)</f>
        <v>8.9499999999999993</v>
      </c>
      <c r="AA504" s="21">
        <f t="shared" si="81"/>
        <v>37.03</v>
      </c>
      <c r="AB504" s="129"/>
      <c r="AC504" s="129">
        <f>Table1[[#This Row],[Total Amount]]-Table1[[#This Row],[Previous Amount]]</f>
        <v>37.03</v>
      </c>
      <c r="AD504" s="153"/>
    </row>
    <row r="505" spans="1:30" ht="30" customHeight="1" x14ac:dyDescent="0.3">
      <c r="A505" s="92" t="s">
        <v>89</v>
      </c>
      <c r="B505" s="92" t="s">
        <v>97</v>
      </c>
      <c r="C505" s="16">
        <v>157</v>
      </c>
      <c r="D505" s="187">
        <v>79181</v>
      </c>
      <c r="E505" s="187">
        <v>80878</v>
      </c>
      <c r="F505" s="17" t="s">
        <v>673</v>
      </c>
      <c r="G505" s="17" t="s">
        <v>200</v>
      </c>
      <c r="H505" s="102" t="s">
        <v>118</v>
      </c>
      <c r="I505" s="16">
        <v>1</v>
      </c>
      <c r="J505" s="187">
        <v>11.8</v>
      </c>
      <c r="K505" s="187">
        <v>1.8</v>
      </c>
      <c r="L505" s="187">
        <v>4</v>
      </c>
      <c r="M505" s="16">
        <v>1</v>
      </c>
      <c r="N505" s="93" t="s">
        <v>206</v>
      </c>
      <c r="O505" s="93">
        <f t="shared" si="75"/>
        <v>47.2</v>
      </c>
      <c r="P505" s="188">
        <v>44922</v>
      </c>
      <c r="Q505" s="188">
        <v>44935</v>
      </c>
      <c r="R505" s="140">
        <v>1</v>
      </c>
      <c r="S505" s="140">
        <v>1</v>
      </c>
      <c r="T505" s="140">
        <v>1</v>
      </c>
      <c r="U505" s="20">
        <f>IF(ISBLANK(Table1[[#This Row],[OHC Date]]),$B$7-Table1[[#This Row],[HOC Date]]+1,Table1[[#This Row],[OHC Date]]-Table1[[#This Row],[HOC Date]]+1)/7</f>
        <v>2</v>
      </c>
      <c r="V505" s="142">
        <v>16.760000000000002</v>
      </c>
      <c r="W505" s="142">
        <v>0.77</v>
      </c>
      <c r="X505" s="21">
        <f>ROUND(0.7*Table1[[#This Row],[E&amp;D Rate per unit]]*R505*Table1[[#This Row],[Quantity]],2)</f>
        <v>553.75</v>
      </c>
      <c r="Y505" s="21">
        <f t="shared" si="80"/>
        <v>72.69</v>
      </c>
      <c r="Z505" s="21">
        <f>ROUND(0.3*T505*Table1[[#This Row],[E&amp;D Rate per unit]]*Table1[[#This Row],[Quantity]],2)</f>
        <v>237.32</v>
      </c>
      <c r="AA505" s="21">
        <f t="shared" si="81"/>
        <v>863.76</v>
      </c>
      <c r="AB505" s="129"/>
      <c r="AC505" s="129">
        <f>Table1[[#This Row],[Total Amount]]-Table1[[#This Row],[Previous Amount]]</f>
        <v>863.76</v>
      </c>
      <c r="AD505" s="153"/>
    </row>
    <row r="506" spans="1:30" ht="30" customHeight="1" x14ac:dyDescent="0.3">
      <c r="A506" s="92" t="s">
        <v>89</v>
      </c>
      <c r="B506" s="92" t="s">
        <v>97</v>
      </c>
      <c r="C506" s="16" t="s">
        <v>681</v>
      </c>
      <c r="D506" s="187">
        <v>79181</v>
      </c>
      <c r="E506" s="187">
        <v>80878</v>
      </c>
      <c r="F506" s="17" t="s">
        <v>673</v>
      </c>
      <c r="G506" s="17" t="s">
        <v>200</v>
      </c>
      <c r="H506" s="16" t="s">
        <v>126</v>
      </c>
      <c r="I506" s="16">
        <v>1</v>
      </c>
      <c r="J506" s="187">
        <v>11.8</v>
      </c>
      <c r="K506" s="187">
        <v>0.5</v>
      </c>
      <c r="L506" s="187">
        <v>1</v>
      </c>
      <c r="M506" s="16">
        <v>1</v>
      </c>
      <c r="N506" s="93" t="s">
        <v>160</v>
      </c>
      <c r="O506" s="93">
        <f t="shared" si="75"/>
        <v>5.9</v>
      </c>
      <c r="P506" s="188">
        <v>44922</v>
      </c>
      <c r="Q506" s="188">
        <v>44935</v>
      </c>
      <c r="R506" s="140">
        <v>1</v>
      </c>
      <c r="S506" s="140">
        <v>1</v>
      </c>
      <c r="T506" s="140">
        <v>1</v>
      </c>
      <c r="U506" s="20">
        <f>IF(ISBLANK(Table1[[#This Row],[OHC Date]]),$B$7-Table1[[#This Row],[HOC Date]]+1,Table1[[#This Row],[OHC Date]]-Table1[[#This Row],[HOC Date]]+1)/7</f>
        <v>2</v>
      </c>
      <c r="V506" s="142">
        <v>32.75</v>
      </c>
      <c r="W506" s="142">
        <v>1.05</v>
      </c>
      <c r="X506" s="21">
        <f>ROUND(0.7*Table1[[#This Row],[E&amp;D Rate per unit]]*R506*Table1[[#This Row],[Quantity]],2)</f>
        <v>135.26</v>
      </c>
      <c r="Y506" s="21">
        <f t="shared" si="80"/>
        <v>12.39</v>
      </c>
      <c r="Z506" s="21">
        <f>ROUND(0.3*T506*Table1[[#This Row],[E&amp;D Rate per unit]]*Table1[[#This Row],[Quantity]],2)</f>
        <v>57.97</v>
      </c>
      <c r="AA506" s="21">
        <f t="shared" si="81"/>
        <v>205.62</v>
      </c>
      <c r="AB506" s="129"/>
      <c r="AC506" s="129">
        <f>Table1[[#This Row],[Total Amount]]-Table1[[#This Row],[Previous Amount]]</f>
        <v>205.62</v>
      </c>
      <c r="AD506" s="153"/>
    </row>
    <row r="507" spans="1:30" ht="30" customHeight="1" x14ac:dyDescent="0.3">
      <c r="A507" s="92" t="s">
        <v>89</v>
      </c>
      <c r="B507" s="92" t="s">
        <v>97</v>
      </c>
      <c r="C507" s="16" t="s">
        <v>682</v>
      </c>
      <c r="D507" s="187">
        <v>79182</v>
      </c>
      <c r="E507" s="16"/>
      <c r="F507" s="17" t="s">
        <v>673</v>
      </c>
      <c r="G507" s="17" t="s">
        <v>159</v>
      </c>
      <c r="H507" s="16" t="s">
        <v>683</v>
      </c>
      <c r="I507" s="187">
        <v>5</v>
      </c>
      <c r="J507" s="187">
        <v>2</v>
      </c>
      <c r="K507" s="187">
        <v>1.5</v>
      </c>
      <c r="L507" s="187">
        <v>1</v>
      </c>
      <c r="M507" s="16">
        <v>5</v>
      </c>
      <c r="N507" s="93" t="s">
        <v>160</v>
      </c>
      <c r="O507" s="93">
        <f t="shared" si="75"/>
        <v>15</v>
      </c>
      <c r="P507" s="188">
        <v>44922</v>
      </c>
      <c r="Q507" s="18"/>
      <c r="R507" s="140">
        <v>1</v>
      </c>
      <c r="S507" s="140">
        <v>1</v>
      </c>
      <c r="T507" s="140">
        <v>0</v>
      </c>
      <c r="U507" s="20">
        <f>IF(ISBLANK(Table1[[#This Row],[OHC Date]]),$B$7-Table1[[#This Row],[HOC Date]]+1,Table1[[#This Row],[OHC Date]]-Table1[[#This Row],[HOC Date]]+1)/7</f>
        <v>4.2857142857142856</v>
      </c>
      <c r="V507" s="21">
        <v>36.520000000000003</v>
      </c>
      <c r="W507" s="21">
        <v>2.94</v>
      </c>
      <c r="X507" s="21">
        <f>ROUND(0.7*Table1[[#This Row],[E&amp;D Rate per unit]]*R507*Table1[[#This Row],[Quantity]],2)</f>
        <v>383.46</v>
      </c>
      <c r="Y507" s="21">
        <f t="shared" si="80"/>
        <v>189</v>
      </c>
      <c r="Z507" s="21">
        <f>ROUND(0.3*T507*Table1[[#This Row],[E&amp;D Rate per unit]]*Table1[[#This Row],[Quantity]],2)</f>
        <v>0</v>
      </c>
      <c r="AA507" s="21">
        <f t="shared" si="81"/>
        <v>572.46</v>
      </c>
      <c r="AB507" s="129"/>
      <c r="AC507" s="129">
        <f>Table1[[#This Row],[Total Amount]]-Table1[[#This Row],[Previous Amount]]</f>
        <v>572.46</v>
      </c>
      <c r="AD507" s="153"/>
    </row>
    <row r="508" spans="1:30" ht="30" customHeight="1" x14ac:dyDescent="0.3">
      <c r="A508" s="145" t="s">
        <v>550</v>
      </c>
      <c r="B508" s="92" t="s">
        <v>97</v>
      </c>
      <c r="C508" s="16" t="s">
        <v>684</v>
      </c>
      <c r="D508" s="187">
        <v>79183</v>
      </c>
      <c r="E508" s="187">
        <v>80857</v>
      </c>
      <c r="F508" s="17" t="s">
        <v>552</v>
      </c>
      <c r="G508" s="17" t="s">
        <v>274</v>
      </c>
      <c r="H508" s="148" t="s">
        <v>553</v>
      </c>
      <c r="I508" s="16">
        <v>1</v>
      </c>
      <c r="J508" s="187">
        <v>4.3</v>
      </c>
      <c r="K508" s="187">
        <v>1</v>
      </c>
      <c r="L508" s="187">
        <v>1</v>
      </c>
      <c r="M508" s="16">
        <v>1</v>
      </c>
      <c r="N508" s="93" t="s">
        <v>56</v>
      </c>
      <c r="O508" s="93">
        <f t="shared" si="75"/>
        <v>1</v>
      </c>
      <c r="P508" s="188">
        <v>44923</v>
      </c>
      <c r="Q508" s="188">
        <v>44925</v>
      </c>
      <c r="R508" s="140">
        <v>1</v>
      </c>
      <c r="S508" s="140">
        <v>1</v>
      </c>
      <c r="T508" s="140">
        <v>1</v>
      </c>
      <c r="U508" s="20">
        <f>IF(ISBLANK(Table1[[#This Row],[OHC Date]]),$B$7-Table1[[#This Row],[HOC Date]]+1,Table1[[#This Row],[OHC Date]]-Table1[[#This Row],[HOC Date]]+1)/7</f>
        <v>0.42857142857142855</v>
      </c>
      <c r="V508" s="142">
        <v>1772.5845217391307</v>
      </c>
      <c r="W508" s="142">
        <v>52.192000000000007</v>
      </c>
      <c r="X508" s="21">
        <f>ROUND(0.7*Table1[[#This Row],[E&amp;D Rate per unit]]*R508*Table1[[#This Row],[Quantity]],2)</f>
        <v>1240.81</v>
      </c>
      <c r="Y508" s="21">
        <f t="shared" si="80"/>
        <v>22.37</v>
      </c>
      <c r="Z508" s="21">
        <f>ROUND(0.3*T508*Table1[[#This Row],[E&amp;D Rate per unit]]*Table1[[#This Row],[Quantity]],2)</f>
        <v>531.78</v>
      </c>
      <c r="AA508" s="21">
        <f t="shared" si="81"/>
        <v>1794.96</v>
      </c>
      <c r="AB508" s="129"/>
      <c r="AC508" s="129">
        <f>Table1[[#This Row],[Total Amount]]-Table1[[#This Row],[Previous Amount]]</f>
        <v>1794.96</v>
      </c>
      <c r="AD508" s="132" t="s">
        <v>557</v>
      </c>
    </row>
    <row r="509" spans="1:30" ht="30" customHeight="1" x14ac:dyDescent="0.3">
      <c r="A509" s="145" t="s">
        <v>550</v>
      </c>
      <c r="B509" s="92" t="s">
        <v>97</v>
      </c>
      <c r="C509" s="16" t="s">
        <v>685</v>
      </c>
      <c r="D509" s="187">
        <v>79184</v>
      </c>
      <c r="E509" s="187">
        <v>80859</v>
      </c>
      <c r="F509" s="17" t="s">
        <v>552</v>
      </c>
      <c r="G509" s="17" t="s">
        <v>274</v>
      </c>
      <c r="H509" s="151" t="s">
        <v>553</v>
      </c>
      <c r="I509" s="16">
        <v>1</v>
      </c>
      <c r="J509" s="187">
        <v>4.3</v>
      </c>
      <c r="K509" s="187">
        <v>1</v>
      </c>
      <c r="L509" s="187">
        <v>1</v>
      </c>
      <c r="M509" s="16">
        <v>1</v>
      </c>
      <c r="N509" s="93" t="s">
        <v>56</v>
      </c>
      <c r="O509" s="93">
        <f t="shared" si="75"/>
        <v>1</v>
      </c>
      <c r="P509" s="188">
        <v>44923</v>
      </c>
      <c r="Q509" s="188">
        <v>44928</v>
      </c>
      <c r="R509" s="140">
        <v>1</v>
      </c>
      <c r="S509" s="140">
        <v>1</v>
      </c>
      <c r="T509" s="140">
        <v>1</v>
      </c>
      <c r="U509" s="20">
        <f>IF(ISBLANK(Table1[[#This Row],[OHC Date]]),$B$7-Table1[[#This Row],[HOC Date]]+1,Table1[[#This Row],[OHC Date]]-Table1[[#This Row],[HOC Date]]+1)/7</f>
        <v>0.8571428571428571</v>
      </c>
      <c r="V509" s="142">
        <v>1772.5845217391307</v>
      </c>
      <c r="W509" s="142">
        <v>52.192000000000007</v>
      </c>
      <c r="X509" s="21">
        <f>ROUND(0.7*Table1[[#This Row],[E&amp;D Rate per unit]]*R509*Table1[[#This Row],[Quantity]],2)</f>
        <v>1240.81</v>
      </c>
      <c r="Y509" s="21">
        <f t="shared" si="80"/>
        <v>44.74</v>
      </c>
      <c r="Z509" s="21">
        <f>ROUND(0.3*T509*Table1[[#This Row],[E&amp;D Rate per unit]]*Table1[[#This Row],[Quantity]],2)</f>
        <v>531.78</v>
      </c>
      <c r="AA509" s="21">
        <f t="shared" si="81"/>
        <v>1817.33</v>
      </c>
      <c r="AB509" s="129"/>
      <c r="AC509" s="129">
        <f>Table1[[#This Row],[Total Amount]]-Table1[[#This Row],[Previous Amount]]</f>
        <v>1817.33</v>
      </c>
      <c r="AD509" s="132" t="s">
        <v>557</v>
      </c>
    </row>
    <row r="510" spans="1:30" ht="30" customHeight="1" x14ac:dyDescent="0.3">
      <c r="A510" s="145" t="s">
        <v>550</v>
      </c>
      <c r="B510" s="92" t="s">
        <v>97</v>
      </c>
      <c r="C510" s="16" t="s">
        <v>686</v>
      </c>
      <c r="D510" s="187">
        <v>79185</v>
      </c>
      <c r="E510" s="187">
        <v>80858</v>
      </c>
      <c r="F510" s="17" t="s">
        <v>552</v>
      </c>
      <c r="G510" s="17" t="s">
        <v>431</v>
      </c>
      <c r="H510" s="148" t="s">
        <v>553</v>
      </c>
      <c r="I510" s="16">
        <v>1</v>
      </c>
      <c r="J510" s="187">
        <v>4.3</v>
      </c>
      <c r="K510" s="187">
        <v>1</v>
      </c>
      <c r="L510" s="187">
        <v>1</v>
      </c>
      <c r="M510" s="16">
        <v>1</v>
      </c>
      <c r="N510" s="93" t="s">
        <v>56</v>
      </c>
      <c r="O510" s="93">
        <f t="shared" si="75"/>
        <v>1</v>
      </c>
      <c r="P510" s="188">
        <v>44923</v>
      </c>
      <c r="Q510" s="188">
        <v>44926</v>
      </c>
      <c r="R510" s="140">
        <v>1</v>
      </c>
      <c r="S510" s="140">
        <v>1</v>
      </c>
      <c r="T510" s="140">
        <v>1</v>
      </c>
      <c r="U510" s="20">
        <f>IF(ISBLANK(Table1[[#This Row],[OHC Date]]),$B$7-Table1[[#This Row],[HOC Date]]+1,Table1[[#This Row],[OHC Date]]-Table1[[#This Row],[HOC Date]]+1)/7</f>
        <v>0.5714285714285714</v>
      </c>
      <c r="V510" s="142">
        <v>1772.5845217391307</v>
      </c>
      <c r="W510" s="142">
        <v>52.192000000000007</v>
      </c>
      <c r="X510" s="21">
        <f>ROUND(0.7*Table1[[#This Row],[E&amp;D Rate per unit]]*R510*Table1[[#This Row],[Quantity]],2)</f>
        <v>1240.81</v>
      </c>
      <c r="Y510" s="21">
        <f t="shared" si="80"/>
        <v>29.82</v>
      </c>
      <c r="Z510" s="21">
        <f>ROUND(0.3*T510*Table1[[#This Row],[E&amp;D Rate per unit]]*Table1[[#This Row],[Quantity]],2)</f>
        <v>531.78</v>
      </c>
      <c r="AA510" s="21">
        <f t="shared" si="81"/>
        <v>1802.41</v>
      </c>
      <c r="AB510" s="129"/>
      <c r="AC510" s="129">
        <f>Table1[[#This Row],[Total Amount]]-Table1[[#This Row],[Previous Amount]]</f>
        <v>1802.41</v>
      </c>
      <c r="AD510" s="132" t="s">
        <v>557</v>
      </c>
    </row>
    <row r="511" spans="1:30" ht="30" customHeight="1" x14ac:dyDescent="0.3">
      <c r="A511" s="92" t="s">
        <v>89</v>
      </c>
      <c r="B511" s="92" t="s">
        <v>97</v>
      </c>
      <c r="C511" s="16">
        <v>161</v>
      </c>
      <c r="D511" s="187">
        <v>79186</v>
      </c>
      <c r="E511" s="16"/>
      <c r="F511" s="17" t="s">
        <v>673</v>
      </c>
      <c r="G511" s="17" t="s">
        <v>200</v>
      </c>
      <c r="H511" s="151" t="s">
        <v>220</v>
      </c>
      <c r="I511" s="16">
        <v>1</v>
      </c>
      <c r="J511" s="187">
        <v>2.5</v>
      </c>
      <c r="K511" s="187">
        <v>1.3</v>
      </c>
      <c r="L511" s="187">
        <v>2</v>
      </c>
      <c r="M511" s="16">
        <v>1</v>
      </c>
      <c r="N511" s="93" t="s">
        <v>221</v>
      </c>
      <c r="O511" s="93">
        <f t="shared" si="75"/>
        <v>2</v>
      </c>
      <c r="P511" s="188">
        <v>44923</v>
      </c>
      <c r="Q511" s="18"/>
      <c r="R511" s="140">
        <v>1</v>
      </c>
      <c r="S511" s="140">
        <v>1</v>
      </c>
      <c r="T511" s="140">
        <v>0</v>
      </c>
      <c r="U511" s="20">
        <f>IF(ISBLANK(Table1[[#This Row],[OHC Date]]),$B$7-Table1[[#This Row],[HOC Date]]+1,Table1[[#This Row],[OHC Date]]-Table1[[#This Row],[HOC Date]]+1)/7</f>
        <v>4.1428571428571432</v>
      </c>
      <c r="V511" s="142">
        <v>63.34</v>
      </c>
      <c r="W511" s="142">
        <v>7.28</v>
      </c>
      <c r="X511" s="21">
        <f>ROUND(0.7*Table1[[#This Row],[E&amp;D Rate per unit]]*R511*Table1[[#This Row],[Quantity]],2)</f>
        <v>88.68</v>
      </c>
      <c r="Y511" s="21">
        <f t="shared" si="80"/>
        <v>60.32</v>
      </c>
      <c r="Z511" s="21">
        <f>ROUND(0.3*T511*Table1[[#This Row],[E&amp;D Rate per unit]]*Table1[[#This Row],[Quantity]],2)</f>
        <v>0</v>
      </c>
      <c r="AA511" s="21">
        <f t="shared" si="81"/>
        <v>149</v>
      </c>
      <c r="AB511" s="129"/>
      <c r="AC511" s="129">
        <f>Table1[[#This Row],[Total Amount]]-Table1[[#This Row],[Previous Amount]]</f>
        <v>149</v>
      </c>
      <c r="AD511" s="153"/>
    </row>
    <row r="512" spans="1:30" ht="30" customHeight="1" x14ac:dyDescent="0.3">
      <c r="A512" s="92" t="s">
        <v>89</v>
      </c>
      <c r="B512" s="92" t="s">
        <v>97</v>
      </c>
      <c r="C512" s="16" t="s">
        <v>687</v>
      </c>
      <c r="D512" s="187">
        <v>79187</v>
      </c>
      <c r="E512" s="16"/>
      <c r="F512" s="17" t="s">
        <v>673</v>
      </c>
      <c r="G512" s="17" t="s">
        <v>200</v>
      </c>
      <c r="H512" s="148" t="s">
        <v>220</v>
      </c>
      <c r="I512" s="16">
        <v>1</v>
      </c>
      <c r="J512" s="187">
        <v>1.5</v>
      </c>
      <c r="K512" s="187">
        <v>0.9</v>
      </c>
      <c r="L512" s="187">
        <v>2</v>
      </c>
      <c r="M512" s="16">
        <v>1</v>
      </c>
      <c r="N512" s="93" t="s">
        <v>221</v>
      </c>
      <c r="O512" s="93">
        <f t="shared" si="75"/>
        <v>2</v>
      </c>
      <c r="P512" s="188">
        <v>44923</v>
      </c>
      <c r="Q512" s="18"/>
      <c r="R512" s="140">
        <v>1</v>
      </c>
      <c r="S512" s="140">
        <v>1</v>
      </c>
      <c r="T512" s="140">
        <v>0</v>
      </c>
      <c r="U512" s="20">
        <f>IF(ISBLANK(Table1[[#This Row],[OHC Date]]),$B$7-Table1[[#This Row],[HOC Date]]+1,Table1[[#This Row],[OHC Date]]-Table1[[#This Row],[HOC Date]]+1)/7</f>
        <v>4.1428571428571432</v>
      </c>
      <c r="V512" s="142">
        <v>63.34</v>
      </c>
      <c r="W512" s="142">
        <v>7.28</v>
      </c>
      <c r="X512" s="21">
        <f>ROUND(0.7*Table1[[#This Row],[E&amp;D Rate per unit]]*R512*Table1[[#This Row],[Quantity]],2)</f>
        <v>88.68</v>
      </c>
      <c r="Y512" s="21">
        <f t="shared" si="80"/>
        <v>60.32</v>
      </c>
      <c r="Z512" s="21">
        <f>ROUND(0.3*T512*Table1[[#This Row],[E&amp;D Rate per unit]]*Table1[[#This Row],[Quantity]],2)</f>
        <v>0</v>
      </c>
      <c r="AA512" s="21">
        <f t="shared" si="81"/>
        <v>149</v>
      </c>
      <c r="AB512" s="129"/>
      <c r="AC512" s="129">
        <f>Table1[[#This Row],[Total Amount]]-Table1[[#This Row],[Previous Amount]]</f>
        <v>149</v>
      </c>
      <c r="AD512" s="153"/>
    </row>
    <row r="513" spans="1:30" ht="30" customHeight="1" x14ac:dyDescent="0.3">
      <c r="A513" s="92" t="s">
        <v>89</v>
      </c>
      <c r="B513" s="92" t="s">
        <v>97</v>
      </c>
      <c r="C513" s="16" t="s">
        <v>688</v>
      </c>
      <c r="D513" s="187">
        <v>79187</v>
      </c>
      <c r="E513" s="16"/>
      <c r="F513" s="17" t="s">
        <v>673</v>
      </c>
      <c r="G513" s="17" t="s">
        <v>200</v>
      </c>
      <c r="H513" s="102" t="s">
        <v>127</v>
      </c>
      <c r="I513" s="16">
        <v>1</v>
      </c>
      <c r="J513" s="187">
        <v>1</v>
      </c>
      <c r="K513" s="187">
        <v>0.75</v>
      </c>
      <c r="L513" s="187">
        <v>1</v>
      </c>
      <c r="M513" s="16">
        <v>1</v>
      </c>
      <c r="N513" s="93" t="s">
        <v>160</v>
      </c>
      <c r="O513" s="93">
        <f t="shared" si="75"/>
        <v>0.75</v>
      </c>
      <c r="P513" s="188">
        <v>44923</v>
      </c>
      <c r="Q513" s="18"/>
      <c r="R513" s="140">
        <v>1</v>
      </c>
      <c r="S513" s="140">
        <v>1</v>
      </c>
      <c r="T513" s="140">
        <v>0</v>
      </c>
      <c r="U513" s="20">
        <f>IF(ISBLANK(Table1[[#This Row],[OHC Date]]),$B$7-Table1[[#This Row],[HOC Date]]+1,Table1[[#This Row],[OHC Date]]-Table1[[#This Row],[HOC Date]]+1)/7</f>
        <v>4.1428571428571432</v>
      </c>
      <c r="V513" s="142">
        <v>36.520000000000003</v>
      </c>
      <c r="W513" s="142">
        <v>2.94</v>
      </c>
      <c r="X513" s="21">
        <f>ROUND(0.7*Table1[[#This Row],[E&amp;D Rate per unit]]*R513*Table1[[#This Row],[Quantity]],2)</f>
        <v>19.170000000000002</v>
      </c>
      <c r="Y513" s="21">
        <f t="shared" si="80"/>
        <v>9.14</v>
      </c>
      <c r="Z513" s="21">
        <f>ROUND(0.3*T513*Table1[[#This Row],[E&amp;D Rate per unit]]*Table1[[#This Row],[Quantity]],2)</f>
        <v>0</v>
      </c>
      <c r="AA513" s="21">
        <f t="shared" si="81"/>
        <v>28.31</v>
      </c>
      <c r="AB513" s="129"/>
      <c r="AC513" s="129">
        <f>Table1[[#This Row],[Total Amount]]-Table1[[#This Row],[Previous Amount]]</f>
        <v>28.31</v>
      </c>
      <c r="AD513" s="153"/>
    </row>
    <row r="514" spans="1:30" ht="30" customHeight="1" x14ac:dyDescent="0.3">
      <c r="A514" s="92" t="s">
        <v>89</v>
      </c>
      <c r="B514" s="92" t="s">
        <v>97</v>
      </c>
      <c r="C514" s="16">
        <v>162</v>
      </c>
      <c r="D514" s="187">
        <v>79188</v>
      </c>
      <c r="E514" s="16"/>
      <c r="F514" s="17" t="s">
        <v>689</v>
      </c>
      <c r="G514" s="17" t="s">
        <v>200</v>
      </c>
      <c r="H514" s="102" t="s">
        <v>205</v>
      </c>
      <c r="I514" s="16">
        <v>1</v>
      </c>
      <c r="J514" s="187">
        <v>4.3</v>
      </c>
      <c r="K514" s="187">
        <v>1.3</v>
      </c>
      <c r="L514" s="187">
        <v>4</v>
      </c>
      <c r="M514" s="16">
        <v>1</v>
      </c>
      <c r="N514" s="93" t="s">
        <v>206</v>
      </c>
      <c r="O514" s="93">
        <f t="shared" si="75"/>
        <v>17.2</v>
      </c>
      <c r="P514" s="188">
        <v>44923</v>
      </c>
      <c r="Q514" s="18"/>
      <c r="R514" s="140">
        <v>1</v>
      </c>
      <c r="S514" s="140">
        <v>1</v>
      </c>
      <c r="T514" s="140">
        <v>0</v>
      </c>
      <c r="U514" s="20">
        <f>IF(ISBLANK(Table1[[#This Row],[OHC Date]]),$B$7-Table1[[#This Row],[HOC Date]]+1,Table1[[#This Row],[OHC Date]]-Table1[[#This Row],[HOC Date]]+1)/7</f>
        <v>4.1428571428571432</v>
      </c>
      <c r="V514" s="142">
        <v>12.01</v>
      </c>
      <c r="W514" s="142">
        <v>0.49</v>
      </c>
      <c r="X514" s="21">
        <f>ROUND(0.7*Table1[[#This Row],[E&amp;D Rate per unit]]*R514*Table1[[#This Row],[Quantity]],2)</f>
        <v>144.6</v>
      </c>
      <c r="Y514" s="21">
        <f t="shared" si="80"/>
        <v>34.92</v>
      </c>
      <c r="Z514" s="21">
        <f>ROUND(0.3*T514*Table1[[#This Row],[E&amp;D Rate per unit]]*Table1[[#This Row],[Quantity]],2)</f>
        <v>0</v>
      </c>
      <c r="AA514" s="21">
        <f t="shared" si="81"/>
        <v>179.52</v>
      </c>
      <c r="AB514" s="129"/>
      <c r="AC514" s="129">
        <f>Table1[[#This Row],[Total Amount]]-Table1[[#This Row],[Previous Amount]]</f>
        <v>179.52</v>
      </c>
      <c r="AD514" s="153"/>
    </row>
    <row r="515" spans="1:30" ht="30" customHeight="1" x14ac:dyDescent="0.3">
      <c r="A515" s="92" t="s">
        <v>89</v>
      </c>
      <c r="B515" s="92" t="s">
        <v>97</v>
      </c>
      <c r="C515" s="16" t="s">
        <v>690</v>
      </c>
      <c r="D515" s="187">
        <v>79188</v>
      </c>
      <c r="E515" s="187">
        <v>80868</v>
      </c>
      <c r="F515" s="17" t="s">
        <v>689</v>
      </c>
      <c r="G515" s="17" t="s">
        <v>200</v>
      </c>
      <c r="H515" s="16" t="s">
        <v>126</v>
      </c>
      <c r="I515" s="16">
        <v>1</v>
      </c>
      <c r="J515" s="187">
        <v>2.6</v>
      </c>
      <c r="K515" s="187">
        <v>0.5</v>
      </c>
      <c r="L515" s="187">
        <v>1</v>
      </c>
      <c r="M515" s="16">
        <v>1</v>
      </c>
      <c r="N515" s="93" t="s">
        <v>160</v>
      </c>
      <c r="O515" s="93">
        <f t="shared" si="75"/>
        <v>1.3</v>
      </c>
      <c r="P515" s="188">
        <v>44923</v>
      </c>
      <c r="Q515" s="188">
        <v>44930</v>
      </c>
      <c r="R515" s="140">
        <v>1</v>
      </c>
      <c r="S515" s="140">
        <v>1</v>
      </c>
      <c r="T515" s="140">
        <v>1</v>
      </c>
      <c r="U515" s="20">
        <f>IF(ISBLANK(Table1[[#This Row],[OHC Date]]),$B$7-Table1[[#This Row],[HOC Date]]+1,Table1[[#This Row],[OHC Date]]-Table1[[#This Row],[HOC Date]]+1)/7</f>
        <v>1.1428571428571428</v>
      </c>
      <c r="V515" s="142">
        <v>32.75</v>
      </c>
      <c r="W515" s="142">
        <v>1.05</v>
      </c>
      <c r="X515" s="21">
        <f>ROUND(0.7*Table1[[#This Row],[E&amp;D Rate per unit]]*R515*Table1[[#This Row],[Quantity]],2)</f>
        <v>29.8</v>
      </c>
      <c r="Y515" s="21">
        <f t="shared" si="80"/>
        <v>1.56</v>
      </c>
      <c r="Z515" s="21">
        <f>ROUND(0.3*T515*Table1[[#This Row],[E&amp;D Rate per unit]]*Table1[[#This Row],[Quantity]],2)</f>
        <v>12.77</v>
      </c>
      <c r="AA515" s="21">
        <f t="shared" si="81"/>
        <v>44.13</v>
      </c>
      <c r="AB515" s="129"/>
      <c r="AC515" s="129">
        <f>Table1[[#This Row],[Total Amount]]-Table1[[#This Row],[Previous Amount]]</f>
        <v>44.13</v>
      </c>
      <c r="AD515" s="153"/>
    </row>
    <row r="516" spans="1:30" ht="30" customHeight="1" x14ac:dyDescent="0.3">
      <c r="A516" s="92" t="s">
        <v>89</v>
      </c>
      <c r="B516" s="92" t="s">
        <v>97</v>
      </c>
      <c r="C516" s="16">
        <v>163</v>
      </c>
      <c r="D516" s="187">
        <v>79189</v>
      </c>
      <c r="E516" s="16"/>
      <c r="F516" s="17" t="s">
        <v>691</v>
      </c>
      <c r="G516" s="17" t="s">
        <v>200</v>
      </c>
      <c r="H516" s="16" t="s">
        <v>119</v>
      </c>
      <c r="I516" s="16">
        <v>1</v>
      </c>
      <c r="J516" s="187">
        <v>11.1</v>
      </c>
      <c r="K516" s="187">
        <v>7.5</v>
      </c>
      <c r="L516" s="187">
        <v>4</v>
      </c>
      <c r="M516" s="16">
        <v>1</v>
      </c>
      <c r="N516" s="93" t="s">
        <v>224</v>
      </c>
      <c r="O516" s="93">
        <f t="shared" si="75"/>
        <v>333</v>
      </c>
      <c r="P516" s="188">
        <v>44923</v>
      </c>
      <c r="Q516" s="18"/>
      <c r="R516" s="140">
        <v>1</v>
      </c>
      <c r="S516" s="140">
        <v>1</v>
      </c>
      <c r="T516" s="140">
        <v>0</v>
      </c>
      <c r="U516" s="20">
        <f>IF(ISBLANK(Table1[[#This Row],[OHC Date]]),$B$7-Table1[[#This Row],[HOC Date]]+1,Table1[[#This Row],[OHC Date]]-Table1[[#This Row],[HOC Date]]+1)/7</f>
        <v>4.1428571428571432</v>
      </c>
      <c r="V516" s="142">
        <v>7.08</v>
      </c>
      <c r="W516" s="142">
        <v>0.49</v>
      </c>
      <c r="X516" s="21">
        <f>ROUND(0.7*Table1[[#This Row],[E&amp;D Rate per unit]]*R516*Table1[[#This Row],[Quantity]],2)</f>
        <v>1650.35</v>
      </c>
      <c r="Y516" s="21">
        <f t="shared" si="80"/>
        <v>675.99</v>
      </c>
      <c r="Z516" s="21">
        <f>ROUND(0.3*T516*Table1[[#This Row],[E&amp;D Rate per unit]]*Table1[[#This Row],[Quantity]],2)</f>
        <v>0</v>
      </c>
      <c r="AA516" s="21">
        <f t="shared" si="81"/>
        <v>2326.34</v>
      </c>
      <c r="AB516" s="129"/>
      <c r="AC516" s="129">
        <f>Table1[[#This Row],[Total Amount]]-Table1[[#This Row],[Previous Amount]]</f>
        <v>2326.34</v>
      </c>
      <c r="AD516" s="153"/>
    </row>
    <row r="517" spans="1:30" ht="30" customHeight="1" x14ac:dyDescent="0.3">
      <c r="A517" s="145" t="s">
        <v>550</v>
      </c>
      <c r="B517" s="92" t="s">
        <v>97</v>
      </c>
      <c r="C517" s="16" t="s">
        <v>692</v>
      </c>
      <c r="D517" s="187">
        <v>79190</v>
      </c>
      <c r="E517" s="187">
        <v>80860</v>
      </c>
      <c r="F517" s="17" t="s">
        <v>552</v>
      </c>
      <c r="G517" s="17" t="s">
        <v>428</v>
      </c>
      <c r="H517" s="151" t="s">
        <v>553</v>
      </c>
      <c r="I517" s="16">
        <v>1</v>
      </c>
      <c r="J517" s="187">
        <v>4.3</v>
      </c>
      <c r="K517" s="187">
        <v>1</v>
      </c>
      <c r="L517" s="187">
        <v>1</v>
      </c>
      <c r="M517" s="16">
        <v>1</v>
      </c>
      <c r="N517" s="93" t="s">
        <v>56</v>
      </c>
      <c r="O517" s="93">
        <f t="shared" si="75"/>
        <v>1</v>
      </c>
      <c r="P517" s="188">
        <v>44924</v>
      </c>
      <c r="Q517" s="188">
        <v>44929</v>
      </c>
      <c r="R517" s="140">
        <v>1</v>
      </c>
      <c r="S517" s="140">
        <v>1</v>
      </c>
      <c r="T517" s="140">
        <v>1</v>
      </c>
      <c r="U517" s="20">
        <f>IF(ISBLANK(Table1[[#This Row],[OHC Date]]),$B$7-Table1[[#This Row],[HOC Date]]+1,Table1[[#This Row],[OHC Date]]-Table1[[#This Row],[HOC Date]]+1)/7</f>
        <v>0.8571428571428571</v>
      </c>
      <c r="V517" s="142">
        <v>1772.5845217391307</v>
      </c>
      <c r="W517" s="142">
        <v>52.192000000000007</v>
      </c>
      <c r="X517" s="21">
        <f>ROUND(0.7*Table1[[#This Row],[E&amp;D Rate per unit]]*R517*Table1[[#This Row],[Quantity]],2)</f>
        <v>1240.81</v>
      </c>
      <c r="Y517" s="21">
        <f t="shared" si="80"/>
        <v>44.74</v>
      </c>
      <c r="Z517" s="21">
        <f>ROUND(0.3*T517*Table1[[#This Row],[E&amp;D Rate per unit]]*Table1[[#This Row],[Quantity]],2)</f>
        <v>531.78</v>
      </c>
      <c r="AA517" s="21">
        <f t="shared" si="81"/>
        <v>1817.33</v>
      </c>
      <c r="AB517" s="129"/>
      <c r="AC517" s="129">
        <f>Table1[[#This Row],[Total Amount]]-Table1[[#This Row],[Previous Amount]]</f>
        <v>1817.33</v>
      </c>
      <c r="AD517" s="132" t="s">
        <v>557</v>
      </c>
    </row>
    <row r="518" spans="1:30" ht="30" customHeight="1" x14ac:dyDescent="0.3">
      <c r="A518" s="92" t="s">
        <v>89</v>
      </c>
      <c r="B518" s="92" t="s">
        <v>97</v>
      </c>
      <c r="C518" s="16">
        <v>165</v>
      </c>
      <c r="D518" s="187">
        <v>79191</v>
      </c>
      <c r="E518" s="187">
        <v>80864</v>
      </c>
      <c r="F518" s="17" t="s">
        <v>693</v>
      </c>
      <c r="G518" s="17" t="s">
        <v>200</v>
      </c>
      <c r="H518" s="148" t="s">
        <v>220</v>
      </c>
      <c r="I518" s="16">
        <v>1</v>
      </c>
      <c r="J518" s="187">
        <v>1.8</v>
      </c>
      <c r="K518" s="187">
        <v>1.8</v>
      </c>
      <c r="L518" s="187">
        <v>3.5</v>
      </c>
      <c r="M518" s="16">
        <v>1</v>
      </c>
      <c r="N518" s="93" t="s">
        <v>221</v>
      </c>
      <c r="O518" s="93">
        <f t="shared" si="75"/>
        <v>3.5</v>
      </c>
      <c r="P518" s="188">
        <v>44924</v>
      </c>
      <c r="Q518" s="188">
        <v>44925</v>
      </c>
      <c r="R518" s="140">
        <v>1</v>
      </c>
      <c r="S518" s="140">
        <v>1</v>
      </c>
      <c r="T518" s="140">
        <v>1</v>
      </c>
      <c r="U518" s="20">
        <f>IF(ISBLANK(Table1[[#This Row],[OHC Date]]),$B$7-Table1[[#This Row],[HOC Date]]+1,Table1[[#This Row],[OHC Date]]-Table1[[#This Row],[HOC Date]]+1)/7</f>
        <v>0.2857142857142857</v>
      </c>
      <c r="V518" s="142">
        <v>63.34</v>
      </c>
      <c r="W518" s="142">
        <v>7.28</v>
      </c>
      <c r="X518" s="21">
        <f>ROUND(0.7*Table1[[#This Row],[E&amp;D Rate per unit]]*R518*Table1[[#This Row],[Quantity]],2)</f>
        <v>155.18</v>
      </c>
      <c r="Y518" s="21">
        <f t="shared" si="80"/>
        <v>7.28</v>
      </c>
      <c r="Z518" s="21">
        <f>ROUND(0.3*T518*Table1[[#This Row],[E&amp;D Rate per unit]]*Table1[[#This Row],[Quantity]],2)</f>
        <v>66.510000000000005</v>
      </c>
      <c r="AA518" s="21">
        <f t="shared" si="81"/>
        <v>228.97</v>
      </c>
      <c r="AB518" s="129"/>
      <c r="AC518" s="129">
        <f>Table1[[#This Row],[Total Amount]]-Table1[[#This Row],[Previous Amount]]</f>
        <v>228.97</v>
      </c>
      <c r="AD518" s="153"/>
    </row>
    <row r="519" spans="1:30" ht="30" customHeight="1" x14ac:dyDescent="0.3">
      <c r="A519" s="92" t="s">
        <v>89</v>
      </c>
      <c r="B519" s="92" t="s">
        <v>97</v>
      </c>
      <c r="C519" s="16">
        <v>166</v>
      </c>
      <c r="D519" s="187">
        <v>79192</v>
      </c>
      <c r="E519" s="187">
        <v>80886</v>
      </c>
      <c r="F519" s="17" t="s">
        <v>694</v>
      </c>
      <c r="G519" s="17" t="s">
        <v>200</v>
      </c>
      <c r="H519" s="16" t="s">
        <v>119</v>
      </c>
      <c r="I519" s="16">
        <v>1</v>
      </c>
      <c r="J519" s="187">
        <v>30</v>
      </c>
      <c r="K519" s="187">
        <v>5</v>
      </c>
      <c r="L519" s="187">
        <v>2</v>
      </c>
      <c r="M519" s="16">
        <v>1</v>
      </c>
      <c r="N519" s="93" t="s">
        <v>224</v>
      </c>
      <c r="O519" s="93">
        <f t="shared" si="75"/>
        <v>300</v>
      </c>
      <c r="P519" s="188">
        <v>44924</v>
      </c>
      <c r="Q519" s="188">
        <v>44940</v>
      </c>
      <c r="R519" s="140">
        <v>1</v>
      </c>
      <c r="S519" s="140">
        <v>1</v>
      </c>
      <c r="T519" s="140">
        <v>1</v>
      </c>
      <c r="U519" s="20">
        <f>IF(ISBLANK(Table1[[#This Row],[OHC Date]]),$B$7-Table1[[#This Row],[HOC Date]]+1,Table1[[#This Row],[OHC Date]]-Table1[[#This Row],[HOC Date]]+1)/7</f>
        <v>2.4285714285714284</v>
      </c>
      <c r="V519" s="142">
        <v>7.08</v>
      </c>
      <c r="W519" s="142">
        <v>0.49</v>
      </c>
      <c r="X519" s="21">
        <f>ROUND(0.7*Table1[[#This Row],[E&amp;D Rate per unit]]*R519*Table1[[#This Row],[Quantity]],2)</f>
        <v>1486.8</v>
      </c>
      <c r="Y519" s="21">
        <f t="shared" si="80"/>
        <v>357</v>
      </c>
      <c r="Z519" s="21">
        <f>ROUND(0.3*T519*Table1[[#This Row],[E&amp;D Rate per unit]]*Table1[[#This Row],[Quantity]],2)</f>
        <v>637.20000000000005</v>
      </c>
      <c r="AA519" s="21">
        <f t="shared" si="81"/>
        <v>2481</v>
      </c>
      <c r="AB519" s="129"/>
      <c r="AC519" s="129">
        <f>Table1[[#This Row],[Total Amount]]-Table1[[#This Row],[Previous Amount]]</f>
        <v>2481</v>
      </c>
      <c r="AD519" s="153"/>
    </row>
    <row r="520" spans="1:30" ht="30" customHeight="1" x14ac:dyDescent="0.3">
      <c r="A520" s="145" t="s">
        <v>550</v>
      </c>
      <c r="B520" s="92" t="s">
        <v>97</v>
      </c>
      <c r="C520" s="16" t="s">
        <v>695</v>
      </c>
      <c r="D520" s="187">
        <v>79193</v>
      </c>
      <c r="E520" s="187">
        <v>80861</v>
      </c>
      <c r="F520" s="17" t="s">
        <v>552</v>
      </c>
      <c r="G520" s="17" t="s">
        <v>428</v>
      </c>
      <c r="H520" s="148" t="s">
        <v>553</v>
      </c>
      <c r="I520" s="16">
        <v>1</v>
      </c>
      <c r="J520" s="187">
        <v>4.3</v>
      </c>
      <c r="K520" s="187">
        <v>1</v>
      </c>
      <c r="L520" s="187">
        <v>1</v>
      </c>
      <c r="M520" s="16">
        <v>1</v>
      </c>
      <c r="N520" s="93" t="s">
        <v>56</v>
      </c>
      <c r="O520" s="93">
        <f t="shared" si="75"/>
        <v>1</v>
      </c>
      <c r="P520" s="188">
        <v>44924</v>
      </c>
      <c r="Q520" s="188">
        <v>44929</v>
      </c>
      <c r="R520" s="140">
        <v>1</v>
      </c>
      <c r="S520" s="140">
        <v>1</v>
      </c>
      <c r="T520" s="140">
        <v>1</v>
      </c>
      <c r="U520" s="20">
        <f>IF(ISBLANK(Table1[[#This Row],[OHC Date]]),$B$7-Table1[[#This Row],[HOC Date]]+1,Table1[[#This Row],[OHC Date]]-Table1[[#This Row],[HOC Date]]+1)/7</f>
        <v>0.8571428571428571</v>
      </c>
      <c r="V520" s="142">
        <v>1772.5845217391307</v>
      </c>
      <c r="W520" s="142">
        <v>52.192000000000007</v>
      </c>
      <c r="X520" s="21">
        <f>ROUND(0.7*Table1[[#This Row],[E&amp;D Rate per unit]]*R520*Table1[[#This Row],[Quantity]],2)</f>
        <v>1240.81</v>
      </c>
      <c r="Y520" s="21">
        <f t="shared" si="80"/>
        <v>44.74</v>
      </c>
      <c r="Z520" s="21">
        <f>ROUND(0.3*T520*Table1[[#This Row],[E&amp;D Rate per unit]]*Table1[[#This Row],[Quantity]],2)</f>
        <v>531.78</v>
      </c>
      <c r="AA520" s="21">
        <f t="shared" si="81"/>
        <v>1817.33</v>
      </c>
      <c r="AB520" s="129"/>
      <c r="AC520" s="129">
        <f>Table1[[#This Row],[Total Amount]]-Table1[[#This Row],[Previous Amount]]</f>
        <v>1817.33</v>
      </c>
      <c r="AD520" s="132" t="s">
        <v>557</v>
      </c>
    </row>
    <row r="521" spans="1:30" ht="30" customHeight="1" x14ac:dyDescent="0.3">
      <c r="A521" s="145" t="s">
        <v>550</v>
      </c>
      <c r="B521" s="92" t="s">
        <v>97</v>
      </c>
      <c r="C521" s="16" t="s">
        <v>696</v>
      </c>
      <c r="D521" s="187">
        <v>79194</v>
      </c>
      <c r="E521" s="187">
        <v>80862</v>
      </c>
      <c r="F521" s="17" t="s">
        <v>552</v>
      </c>
      <c r="G521" s="17" t="s">
        <v>278</v>
      </c>
      <c r="H521" s="151" t="s">
        <v>553</v>
      </c>
      <c r="I521" s="16">
        <v>1</v>
      </c>
      <c r="J521" s="187">
        <v>4.3</v>
      </c>
      <c r="K521" s="187">
        <v>1</v>
      </c>
      <c r="L521" s="187">
        <v>1</v>
      </c>
      <c r="M521" s="16">
        <v>1</v>
      </c>
      <c r="N521" s="93" t="s">
        <v>56</v>
      </c>
      <c r="O521" s="93">
        <f t="shared" si="75"/>
        <v>1</v>
      </c>
      <c r="P521" s="188">
        <v>44925</v>
      </c>
      <c r="Q521" s="188">
        <v>44930</v>
      </c>
      <c r="R521" s="140">
        <v>1</v>
      </c>
      <c r="S521" s="140">
        <v>1</v>
      </c>
      <c r="T521" s="140">
        <v>1</v>
      </c>
      <c r="U521" s="20">
        <f>IF(ISBLANK(Table1[[#This Row],[OHC Date]]),$B$7-Table1[[#This Row],[HOC Date]]+1,Table1[[#This Row],[OHC Date]]-Table1[[#This Row],[HOC Date]]+1)/7</f>
        <v>0.8571428571428571</v>
      </c>
      <c r="V521" s="142">
        <v>1772.5845217391307</v>
      </c>
      <c r="W521" s="142">
        <v>52.192000000000007</v>
      </c>
      <c r="X521" s="21">
        <f>ROUND(0.7*Table1[[#This Row],[E&amp;D Rate per unit]]*R521*Table1[[#This Row],[Quantity]],2)</f>
        <v>1240.81</v>
      </c>
      <c r="Y521" s="21">
        <f t="shared" si="80"/>
        <v>44.74</v>
      </c>
      <c r="Z521" s="21">
        <f>ROUND(0.3*T521*Table1[[#This Row],[E&amp;D Rate per unit]]*Table1[[#This Row],[Quantity]],2)</f>
        <v>531.78</v>
      </c>
      <c r="AA521" s="21">
        <f t="shared" si="81"/>
        <v>1817.33</v>
      </c>
      <c r="AB521" s="129"/>
      <c r="AC521" s="129">
        <f>Table1[[#This Row],[Total Amount]]-Table1[[#This Row],[Previous Amount]]</f>
        <v>1817.33</v>
      </c>
      <c r="AD521" s="132" t="s">
        <v>557</v>
      </c>
    </row>
    <row r="522" spans="1:30" ht="30" customHeight="1" x14ac:dyDescent="0.3">
      <c r="A522" s="145" t="s">
        <v>550</v>
      </c>
      <c r="B522" s="92" t="s">
        <v>97</v>
      </c>
      <c r="C522" s="16" t="s">
        <v>697</v>
      </c>
      <c r="D522" s="187">
        <v>79195</v>
      </c>
      <c r="E522" s="187">
        <v>80863</v>
      </c>
      <c r="F522" s="17" t="s">
        <v>552</v>
      </c>
      <c r="G522" s="17" t="s">
        <v>278</v>
      </c>
      <c r="H522" s="148" t="s">
        <v>553</v>
      </c>
      <c r="I522" s="16">
        <v>1</v>
      </c>
      <c r="J522" s="187">
        <v>4.3</v>
      </c>
      <c r="K522" s="187">
        <v>1</v>
      </c>
      <c r="L522" s="187">
        <v>1</v>
      </c>
      <c r="M522" s="16">
        <v>1</v>
      </c>
      <c r="N522" s="93" t="s">
        <v>56</v>
      </c>
      <c r="O522" s="93">
        <f t="shared" si="75"/>
        <v>1</v>
      </c>
      <c r="P522" s="188">
        <v>44925</v>
      </c>
      <c r="Q522" s="188">
        <v>44930</v>
      </c>
      <c r="R522" s="140">
        <v>1</v>
      </c>
      <c r="S522" s="140">
        <v>1</v>
      </c>
      <c r="T522" s="140">
        <v>1</v>
      </c>
      <c r="U522" s="20">
        <f>IF(ISBLANK(Table1[[#This Row],[OHC Date]]),$B$7-Table1[[#This Row],[HOC Date]]+1,Table1[[#This Row],[OHC Date]]-Table1[[#This Row],[HOC Date]]+1)/7</f>
        <v>0.8571428571428571</v>
      </c>
      <c r="V522" s="142">
        <v>1772.5845217391307</v>
      </c>
      <c r="W522" s="142">
        <v>52.192000000000007</v>
      </c>
      <c r="X522" s="21">
        <f>ROUND(0.7*Table1[[#This Row],[E&amp;D Rate per unit]]*R522*Table1[[#This Row],[Quantity]],2)</f>
        <v>1240.81</v>
      </c>
      <c r="Y522" s="21">
        <f t="shared" si="80"/>
        <v>44.74</v>
      </c>
      <c r="Z522" s="21">
        <f>ROUND(0.3*T522*Table1[[#This Row],[E&amp;D Rate per unit]]*Table1[[#This Row],[Quantity]],2)</f>
        <v>531.78</v>
      </c>
      <c r="AA522" s="21">
        <f t="shared" si="81"/>
        <v>1817.33</v>
      </c>
      <c r="AB522" s="129"/>
      <c r="AC522" s="129">
        <f>Table1[[#This Row],[Total Amount]]-Table1[[#This Row],[Previous Amount]]</f>
        <v>1817.33</v>
      </c>
      <c r="AD522" s="132" t="s">
        <v>557</v>
      </c>
    </row>
    <row r="523" spans="1:30" ht="30" customHeight="1" x14ac:dyDescent="0.3">
      <c r="A523" s="92" t="s">
        <v>89</v>
      </c>
      <c r="B523" s="92" t="s">
        <v>97</v>
      </c>
      <c r="C523" s="16" t="s">
        <v>698</v>
      </c>
      <c r="D523" s="187">
        <v>79196</v>
      </c>
      <c r="E523" s="16"/>
      <c r="F523" s="17" t="s">
        <v>315</v>
      </c>
      <c r="G523" s="17" t="s">
        <v>528</v>
      </c>
      <c r="H523" s="151" t="s">
        <v>176</v>
      </c>
      <c r="I523" s="16">
        <v>1</v>
      </c>
      <c r="J523" s="187">
        <v>8.8000000000000007</v>
      </c>
      <c r="K523" s="187">
        <v>0.75</v>
      </c>
      <c r="L523" s="187">
        <v>1</v>
      </c>
      <c r="M523" s="16">
        <v>1</v>
      </c>
      <c r="N523" s="93" t="s">
        <v>160</v>
      </c>
      <c r="O523" s="93">
        <f t="shared" si="75"/>
        <v>6.6</v>
      </c>
      <c r="P523" s="188">
        <v>44925</v>
      </c>
      <c r="Q523" s="18"/>
      <c r="R523" s="140">
        <v>1</v>
      </c>
      <c r="S523" s="140">
        <v>1</v>
      </c>
      <c r="T523" s="140">
        <v>0</v>
      </c>
      <c r="U523" s="20">
        <f>IF(ISBLANK(Table1[[#This Row],[OHC Date]]),$B$7-Table1[[#This Row],[HOC Date]]+1,Table1[[#This Row],[OHC Date]]-Table1[[#This Row],[HOC Date]]+1)/7</f>
        <v>3.8571428571428572</v>
      </c>
      <c r="V523" s="142">
        <v>6.63</v>
      </c>
      <c r="W523" s="142">
        <v>0.7</v>
      </c>
      <c r="X523" s="21">
        <f>ROUND(0.7*Table1[[#This Row],[E&amp;D Rate per unit]]*R523*Table1[[#This Row],[Quantity]],2)</f>
        <v>30.63</v>
      </c>
      <c r="Y523" s="21">
        <f t="shared" si="80"/>
        <v>17.82</v>
      </c>
      <c r="Z523" s="21">
        <f>ROUND(0.3*T523*Table1[[#This Row],[E&amp;D Rate per unit]]*Table1[[#This Row],[Quantity]],2)</f>
        <v>0</v>
      </c>
      <c r="AA523" s="21">
        <f t="shared" si="81"/>
        <v>48.45</v>
      </c>
      <c r="AB523" s="129"/>
      <c r="AC523" s="129">
        <f>Table1[[#This Row],[Total Amount]]-Table1[[#This Row],[Previous Amount]]</f>
        <v>48.45</v>
      </c>
      <c r="AD523" s="153"/>
    </row>
    <row r="524" spans="1:30" ht="30" customHeight="1" x14ac:dyDescent="0.3">
      <c r="A524" s="92" t="s">
        <v>89</v>
      </c>
      <c r="B524" s="92" t="s">
        <v>97</v>
      </c>
      <c r="C524" s="16">
        <v>170</v>
      </c>
      <c r="D524" s="187">
        <v>79197</v>
      </c>
      <c r="E524" s="187">
        <v>80869</v>
      </c>
      <c r="F524" s="17" t="s">
        <v>689</v>
      </c>
      <c r="G524" s="17" t="s">
        <v>200</v>
      </c>
      <c r="H524" s="148" t="s">
        <v>220</v>
      </c>
      <c r="I524" s="16">
        <v>1</v>
      </c>
      <c r="J524" s="187">
        <v>1.8</v>
      </c>
      <c r="K524" s="187">
        <v>1.8</v>
      </c>
      <c r="L524" s="187">
        <v>3.5</v>
      </c>
      <c r="M524" s="16">
        <v>1</v>
      </c>
      <c r="N524" s="93" t="s">
        <v>221</v>
      </c>
      <c r="O524" s="93">
        <f t="shared" si="75"/>
        <v>3.5</v>
      </c>
      <c r="P524" s="188">
        <v>44926</v>
      </c>
      <c r="Q524" s="188">
        <v>44930</v>
      </c>
      <c r="R524" s="140">
        <v>1</v>
      </c>
      <c r="S524" s="140">
        <v>1</v>
      </c>
      <c r="T524" s="140">
        <v>1</v>
      </c>
      <c r="U524" s="20">
        <f>IF(ISBLANK(Table1[[#This Row],[OHC Date]]),$B$7-Table1[[#This Row],[HOC Date]]+1,Table1[[#This Row],[OHC Date]]-Table1[[#This Row],[HOC Date]]+1)/7</f>
        <v>0.7142857142857143</v>
      </c>
      <c r="V524" s="142">
        <v>63.34</v>
      </c>
      <c r="W524" s="142">
        <v>7.28</v>
      </c>
      <c r="X524" s="21">
        <f>ROUND(0.7*Table1[[#This Row],[E&amp;D Rate per unit]]*R524*Table1[[#This Row],[Quantity]],2)</f>
        <v>155.18</v>
      </c>
      <c r="Y524" s="21">
        <f t="shared" si="80"/>
        <v>18.2</v>
      </c>
      <c r="Z524" s="21">
        <f>ROUND(0.3*T524*Table1[[#This Row],[E&amp;D Rate per unit]]*Table1[[#This Row],[Quantity]],2)</f>
        <v>66.510000000000005</v>
      </c>
      <c r="AA524" s="21">
        <f t="shared" si="81"/>
        <v>239.89</v>
      </c>
      <c r="AB524" s="129"/>
      <c r="AC524" s="129">
        <f>Table1[[#This Row],[Total Amount]]-Table1[[#This Row],[Previous Amount]]</f>
        <v>239.89</v>
      </c>
      <c r="AD524" s="153"/>
    </row>
    <row r="525" spans="1:30" ht="30" customHeight="1" x14ac:dyDescent="0.3">
      <c r="A525" s="145" t="s">
        <v>550</v>
      </c>
      <c r="B525" s="92" t="s">
        <v>97</v>
      </c>
      <c r="C525" s="16" t="s">
        <v>699</v>
      </c>
      <c r="D525" s="187">
        <v>79198</v>
      </c>
      <c r="E525" s="187">
        <v>80870</v>
      </c>
      <c r="F525" s="17" t="s">
        <v>552</v>
      </c>
      <c r="G525" s="17" t="s">
        <v>251</v>
      </c>
      <c r="H525" s="151" t="s">
        <v>553</v>
      </c>
      <c r="I525" s="16">
        <v>1</v>
      </c>
      <c r="J525" s="187">
        <v>4.3</v>
      </c>
      <c r="K525" s="187">
        <v>1</v>
      </c>
      <c r="L525" s="187">
        <v>1</v>
      </c>
      <c r="M525" s="16">
        <v>1</v>
      </c>
      <c r="N525" s="93" t="s">
        <v>56</v>
      </c>
      <c r="O525" s="93">
        <f t="shared" si="75"/>
        <v>1</v>
      </c>
      <c r="P525" s="188">
        <v>44928</v>
      </c>
      <c r="Q525" s="188">
        <v>44931</v>
      </c>
      <c r="R525" s="140">
        <v>1</v>
      </c>
      <c r="S525" s="140">
        <v>1</v>
      </c>
      <c r="T525" s="140">
        <v>1</v>
      </c>
      <c r="U525" s="20">
        <f>IF(ISBLANK(Table1[[#This Row],[OHC Date]]),$B$7-Table1[[#This Row],[HOC Date]]+1,Table1[[#This Row],[OHC Date]]-Table1[[#This Row],[HOC Date]]+1)/7</f>
        <v>0.5714285714285714</v>
      </c>
      <c r="V525" s="142">
        <v>1772.5845217391307</v>
      </c>
      <c r="W525" s="142">
        <v>52.192000000000007</v>
      </c>
      <c r="X525" s="21">
        <f>ROUND(0.7*Table1[[#This Row],[E&amp;D Rate per unit]]*R525*Table1[[#This Row],[Quantity]],2)</f>
        <v>1240.81</v>
      </c>
      <c r="Y525" s="21">
        <f t="shared" si="80"/>
        <v>29.82</v>
      </c>
      <c r="Z525" s="21">
        <f>ROUND(0.3*T525*Table1[[#This Row],[E&amp;D Rate per unit]]*Table1[[#This Row],[Quantity]],2)</f>
        <v>531.78</v>
      </c>
      <c r="AA525" s="21">
        <f t="shared" si="81"/>
        <v>1802.41</v>
      </c>
      <c r="AB525" s="129"/>
      <c r="AC525" s="129">
        <f>Table1[[#This Row],[Total Amount]]-Table1[[#This Row],[Previous Amount]]</f>
        <v>1802.41</v>
      </c>
      <c r="AD525" s="132" t="s">
        <v>557</v>
      </c>
    </row>
    <row r="526" spans="1:30" ht="30" customHeight="1" x14ac:dyDescent="0.3">
      <c r="A526" s="92" t="s">
        <v>89</v>
      </c>
      <c r="B526" s="92" t="s">
        <v>97</v>
      </c>
      <c r="C526" s="16">
        <v>172</v>
      </c>
      <c r="D526" s="187">
        <v>79200</v>
      </c>
      <c r="E526" s="16"/>
      <c r="F526" s="17" t="s">
        <v>700</v>
      </c>
      <c r="G526" s="17" t="s">
        <v>200</v>
      </c>
      <c r="H526" s="102" t="s">
        <v>205</v>
      </c>
      <c r="I526" s="16">
        <v>1</v>
      </c>
      <c r="J526" s="187">
        <v>5</v>
      </c>
      <c r="K526" s="187">
        <v>1.3</v>
      </c>
      <c r="L526" s="187">
        <v>4.5</v>
      </c>
      <c r="M526" s="16">
        <v>1</v>
      </c>
      <c r="N526" s="93" t="s">
        <v>206</v>
      </c>
      <c r="O526" s="93">
        <f t="shared" si="75"/>
        <v>22.5</v>
      </c>
      <c r="P526" s="188">
        <v>44929</v>
      </c>
      <c r="Q526" s="18"/>
      <c r="R526" s="140">
        <v>1</v>
      </c>
      <c r="S526" s="140">
        <v>1</v>
      </c>
      <c r="T526" s="140">
        <v>0</v>
      </c>
      <c r="U526" s="20">
        <f>IF(ISBLANK(Table1[[#This Row],[OHC Date]]),$B$7-Table1[[#This Row],[HOC Date]]+1,Table1[[#This Row],[OHC Date]]-Table1[[#This Row],[HOC Date]]+1)/7</f>
        <v>3.2857142857142856</v>
      </c>
      <c r="V526" s="142">
        <v>12.01</v>
      </c>
      <c r="W526" s="142">
        <v>0.49</v>
      </c>
      <c r="X526" s="21">
        <f>ROUND(0.7*Table1[[#This Row],[E&amp;D Rate per unit]]*R526*Table1[[#This Row],[Quantity]],2)</f>
        <v>189.16</v>
      </c>
      <c r="Y526" s="21">
        <f t="shared" si="80"/>
        <v>36.229999999999997</v>
      </c>
      <c r="Z526" s="21">
        <f>ROUND(0.3*T526*Table1[[#This Row],[E&amp;D Rate per unit]]*Table1[[#This Row],[Quantity]],2)</f>
        <v>0</v>
      </c>
      <c r="AA526" s="21">
        <f t="shared" si="81"/>
        <v>225.39</v>
      </c>
      <c r="AB526" s="129"/>
      <c r="AC526" s="129">
        <f>Table1[[#This Row],[Total Amount]]-Table1[[#This Row],[Previous Amount]]</f>
        <v>225.39</v>
      </c>
      <c r="AD526" s="153"/>
    </row>
    <row r="527" spans="1:30" ht="30" customHeight="1" x14ac:dyDescent="0.3">
      <c r="A527" s="92" t="s">
        <v>89</v>
      </c>
      <c r="B527" s="92" t="s">
        <v>97</v>
      </c>
      <c r="C527" s="16" t="s">
        <v>701</v>
      </c>
      <c r="D527" s="187">
        <v>79200</v>
      </c>
      <c r="E527" s="16"/>
      <c r="F527" s="17" t="s">
        <v>700</v>
      </c>
      <c r="G527" s="17" t="s">
        <v>200</v>
      </c>
      <c r="H527" s="102" t="s">
        <v>205</v>
      </c>
      <c r="I527" s="16">
        <v>1</v>
      </c>
      <c r="J527" s="187">
        <v>6.3</v>
      </c>
      <c r="K527" s="187">
        <v>1.3</v>
      </c>
      <c r="L527" s="187">
        <v>2.5</v>
      </c>
      <c r="M527" s="16">
        <v>1</v>
      </c>
      <c r="N527" s="93" t="s">
        <v>206</v>
      </c>
      <c r="O527" s="93">
        <f t="shared" si="75"/>
        <v>15.75</v>
      </c>
      <c r="P527" s="188">
        <v>44929</v>
      </c>
      <c r="Q527" s="18"/>
      <c r="R527" s="140">
        <v>1</v>
      </c>
      <c r="S527" s="140">
        <v>1</v>
      </c>
      <c r="T527" s="140">
        <v>0</v>
      </c>
      <c r="U527" s="20">
        <f>IF(ISBLANK(Table1[[#This Row],[OHC Date]]),$B$7-Table1[[#This Row],[HOC Date]]+1,Table1[[#This Row],[OHC Date]]-Table1[[#This Row],[HOC Date]]+1)/7</f>
        <v>3.2857142857142856</v>
      </c>
      <c r="V527" s="142">
        <v>12.01</v>
      </c>
      <c r="W527" s="142">
        <v>0.49</v>
      </c>
      <c r="X527" s="21">
        <f>ROUND(0.7*Table1[[#This Row],[E&amp;D Rate per unit]]*R527*Table1[[#This Row],[Quantity]],2)</f>
        <v>132.41</v>
      </c>
      <c r="Y527" s="21">
        <f t="shared" si="80"/>
        <v>25.36</v>
      </c>
      <c r="Z527" s="21">
        <f>ROUND(0.3*T527*Table1[[#This Row],[E&amp;D Rate per unit]]*Table1[[#This Row],[Quantity]],2)</f>
        <v>0</v>
      </c>
      <c r="AA527" s="21">
        <f t="shared" si="81"/>
        <v>157.77000000000001</v>
      </c>
      <c r="AB527" s="129"/>
      <c r="AC527" s="129">
        <f>Table1[[#This Row],[Total Amount]]-Table1[[#This Row],[Previous Amount]]</f>
        <v>157.77000000000001</v>
      </c>
      <c r="AD527" s="153"/>
    </row>
    <row r="528" spans="1:30" ht="30" customHeight="1" x14ac:dyDescent="0.3">
      <c r="A528" s="92" t="s">
        <v>89</v>
      </c>
      <c r="B528" s="92" t="s">
        <v>97</v>
      </c>
      <c r="C528" s="16" t="s">
        <v>702</v>
      </c>
      <c r="D528" s="187">
        <v>79200</v>
      </c>
      <c r="E528" s="16"/>
      <c r="F528" s="17" t="s">
        <v>700</v>
      </c>
      <c r="G528" s="17" t="s">
        <v>200</v>
      </c>
      <c r="H528" s="102" t="s">
        <v>205</v>
      </c>
      <c r="I528" s="16">
        <v>1</v>
      </c>
      <c r="J528" s="187">
        <v>8</v>
      </c>
      <c r="K528" s="187">
        <v>1.3</v>
      </c>
      <c r="L528" s="187">
        <v>2</v>
      </c>
      <c r="M528" s="16">
        <v>1</v>
      </c>
      <c r="N528" s="93" t="s">
        <v>206</v>
      </c>
      <c r="O528" s="93">
        <f t="shared" si="75"/>
        <v>16</v>
      </c>
      <c r="P528" s="188">
        <v>44929</v>
      </c>
      <c r="Q528" s="18"/>
      <c r="R528" s="140">
        <v>1</v>
      </c>
      <c r="S528" s="140">
        <v>1</v>
      </c>
      <c r="T528" s="140">
        <v>0</v>
      </c>
      <c r="U528" s="20">
        <f>IF(ISBLANK(Table1[[#This Row],[OHC Date]]),$B$7-Table1[[#This Row],[HOC Date]]+1,Table1[[#This Row],[OHC Date]]-Table1[[#This Row],[HOC Date]]+1)/7</f>
        <v>3.2857142857142856</v>
      </c>
      <c r="V528" s="142">
        <v>12.01</v>
      </c>
      <c r="W528" s="142">
        <v>0.49</v>
      </c>
      <c r="X528" s="21">
        <f>ROUND(0.7*Table1[[#This Row],[E&amp;D Rate per unit]]*R528*Table1[[#This Row],[Quantity]],2)</f>
        <v>134.51</v>
      </c>
      <c r="Y528" s="21">
        <f t="shared" si="80"/>
        <v>25.76</v>
      </c>
      <c r="Z528" s="21">
        <f>ROUND(0.3*T528*Table1[[#This Row],[E&amp;D Rate per unit]]*Table1[[#This Row],[Quantity]],2)</f>
        <v>0</v>
      </c>
      <c r="AA528" s="21">
        <f t="shared" si="81"/>
        <v>160.27000000000001</v>
      </c>
      <c r="AB528" s="129"/>
      <c r="AC528" s="129">
        <f>Table1[[#This Row],[Total Amount]]-Table1[[#This Row],[Previous Amount]]</f>
        <v>160.27000000000001</v>
      </c>
      <c r="AD528" s="153"/>
    </row>
    <row r="529" spans="1:30" ht="30" customHeight="1" x14ac:dyDescent="0.3">
      <c r="A529" s="92" t="s">
        <v>89</v>
      </c>
      <c r="B529" s="92" t="s">
        <v>97</v>
      </c>
      <c r="C529" s="16">
        <v>173</v>
      </c>
      <c r="D529" s="187">
        <v>75751</v>
      </c>
      <c r="E529" s="16"/>
      <c r="F529" s="17" t="s">
        <v>700</v>
      </c>
      <c r="G529" s="17" t="s">
        <v>200</v>
      </c>
      <c r="H529" s="102" t="s">
        <v>205</v>
      </c>
      <c r="I529" s="16">
        <v>1</v>
      </c>
      <c r="J529" s="187">
        <v>6.3</v>
      </c>
      <c r="K529" s="187">
        <v>1.3</v>
      </c>
      <c r="L529" s="187">
        <v>4.5</v>
      </c>
      <c r="M529" s="16">
        <v>1</v>
      </c>
      <c r="N529" s="93" t="s">
        <v>206</v>
      </c>
      <c r="O529" s="93">
        <f t="shared" si="75"/>
        <v>28.35</v>
      </c>
      <c r="P529" s="188">
        <v>44929</v>
      </c>
      <c r="Q529" s="18"/>
      <c r="R529" s="140">
        <v>1</v>
      </c>
      <c r="S529" s="140">
        <v>1</v>
      </c>
      <c r="T529" s="140">
        <v>0</v>
      </c>
      <c r="U529" s="20">
        <f>IF(ISBLANK(Table1[[#This Row],[OHC Date]]),$B$7-Table1[[#This Row],[HOC Date]]+1,Table1[[#This Row],[OHC Date]]-Table1[[#This Row],[HOC Date]]+1)/7</f>
        <v>3.2857142857142856</v>
      </c>
      <c r="V529" s="142">
        <v>12.01</v>
      </c>
      <c r="W529" s="142">
        <v>0.49</v>
      </c>
      <c r="X529" s="21">
        <f>ROUND(0.7*Table1[[#This Row],[E&amp;D Rate per unit]]*R529*Table1[[#This Row],[Quantity]],2)</f>
        <v>238.34</v>
      </c>
      <c r="Y529" s="21">
        <f t="shared" si="80"/>
        <v>45.64</v>
      </c>
      <c r="Z529" s="21">
        <f>ROUND(0.3*T529*Table1[[#This Row],[E&amp;D Rate per unit]]*Table1[[#This Row],[Quantity]],2)</f>
        <v>0</v>
      </c>
      <c r="AA529" s="21">
        <f t="shared" si="81"/>
        <v>283.98</v>
      </c>
      <c r="AB529" s="129"/>
      <c r="AC529" s="129">
        <f>Table1[[#This Row],[Total Amount]]-Table1[[#This Row],[Previous Amount]]</f>
        <v>283.98</v>
      </c>
      <c r="AD529" s="153"/>
    </row>
    <row r="530" spans="1:30" ht="30" customHeight="1" x14ac:dyDescent="0.3">
      <c r="A530" s="92" t="s">
        <v>89</v>
      </c>
      <c r="B530" s="92" t="s">
        <v>97</v>
      </c>
      <c r="C530" s="16" t="s">
        <v>703</v>
      </c>
      <c r="D530" s="187">
        <v>75751</v>
      </c>
      <c r="E530" s="16"/>
      <c r="F530" s="17" t="s">
        <v>700</v>
      </c>
      <c r="G530" s="17" t="s">
        <v>200</v>
      </c>
      <c r="H530" s="102" t="s">
        <v>205</v>
      </c>
      <c r="I530" s="16">
        <v>1</v>
      </c>
      <c r="J530" s="187">
        <v>5</v>
      </c>
      <c r="K530" s="187">
        <v>1.3</v>
      </c>
      <c r="L530" s="187">
        <v>2.5</v>
      </c>
      <c r="M530" s="16">
        <v>1</v>
      </c>
      <c r="N530" s="93" t="s">
        <v>206</v>
      </c>
      <c r="O530" s="93">
        <f t="shared" si="75"/>
        <v>12.5</v>
      </c>
      <c r="P530" s="188">
        <v>44929</v>
      </c>
      <c r="Q530" s="18"/>
      <c r="R530" s="140">
        <v>1</v>
      </c>
      <c r="S530" s="140">
        <v>1</v>
      </c>
      <c r="T530" s="140">
        <v>0</v>
      </c>
      <c r="U530" s="20">
        <f>IF(ISBLANK(Table1[[#This Row],[OHC Date]]),$B$7-Table1[[#This Row],[HOC Date]]+1,Table1[[#This Row],[OHC Date]]-Table1[[#This Row],[HOC Date]]+1)/7</f>
        <v>3.2857142857142856</v>
      </c>
      <c r="V530" s="142">
        <v>12.01</v>
      </c>
      <c r="W530" s="142">
        <v>0.49</v>
      </c>
      <c r="X530" s="21">
        <f>ROUND(0.7*Table1[[#This Row],[E&amp;D Rate per unit]]*R530*Table1[[#This Row],[Quantity]],2)</f>
        <v>105.09</v>
      </c>
      <c r="Y530" s="21">
        <f t="shared" ref="Y530:Y558" si="82">ROUND(O530*U530*W530*S530,2)</f>
        <v>20.13</v>
      </c>
      <c r="Z530" s="21">
        <f>ROUND(0.3*T530*Table1[[#This Row],[E&amp;D Rate per unit]]*Table1[[#This Row],[Quantity]],2)</f>
        <v>0</v>
      </c>
      <c r="AA530" s="21">
        <f t="shared" ref="AA530:AA558" si="83">ROUND(X530+Z530+Y530,2)</f>
        <v>125.22</v>
      </c>
      <c r="AB530" s="129"/>
      <c r="AC530" s="129">
        <f>Table1[[#This Row],[Total Amount]]-Table1[[#This Row],[Previous Amount]]</f>
        <v>125.22</v>
      </c>
      <c r="AD530" s="153"/>
    </row>
    <row r="531" spans="1:30" ht="30" customHeight="1" x14ac:dyDescent="0.3">
      <c r="A531" s="92" t="s">
        <v>89</v>
      </c>
      <c r="B531" s="92" t="s">
        <v>97</v>
      </c>
      <c r="C531" s="16" t="s">
        <v>704</v>
      </c>
      <c r="D531" s="187">
        <v>75751</v>
      </c>
      <c r="E531" s="16"/>
      <c r="F531" s="17" t="s">
        <v>700</v>
      </c>
      <c r="G531" s="17" t="s">
        <v>200</v>
      </c>
      <c r="H531" s="102" t="s">
        <v>205</v>
      </c>
      <c r="I531" s="16">
        <v>1</v>
      </c>
      <c r="J531" s="187">
        <v>3.5</v>
      </c>
      <c r="K531" s="187">
        <v>1</v>
      </c>
      <c r="L531" s="187">
        <v>1.5</v>
      </c>
      <c r="M531" s="16">
        <v>1</v>
      </c>
      <c r="N531" s="93" t="s">
        <v>206</v>
      </c>
      <c r="O531" s="93">
        <f t="shared" si="75"/>
        <v>5.25</v>
      </c>
      <c r="P531" s="188">
        <v>44929</v>
      </c>
      <c r="Q531" s="18"/>
      <c r="R531" s="140">
        <v>1</v>
      </c>
      <c r="S531" s="140">
        <v>1</v>
      </c>
      <c r="T531" s="140">
        <v>0</v>
      </c>
      <c r="U531" s="20">
        <f>IF(ISBLANK(Table1[[#This Row],[OHC Date]]),$B$7-Table1[[#This Row],[HOC Date]]+1,Table1[[#This Row],[OHC Date]]-Table1[[#This Row],[HOC Date]]+1)/7</f>
        <v>3.2857142857142856</v>
      </c>
      <c r="V531" s="142">
        <v>12.01</v>
      </c>
      <c r="W531" s="142">
        <v>0.49</v>
      </c>
      <c r="X531" s="21">
        <f>ROUND(0.7*Table1[[#This Row],[E&amp;D Rate per unit]]*R531*Table1[[#This Row],[Quantity]],2)</f>
        <v>44.14</v>
      </c>
      <c r="Y531" s="21">
        <f t="shared" si="82"/>
        <v>8.4499999999999993</v>
      </c>
      <c r="Z531" s="21">
        <f>ROUND(0.3*T531*Table1[[#This Row],[E&amp;D Rate per unit]]*Table1[[#This Row],[Quantity]],2)</f>
        <v>0</v>
      </c>
      <c r="AA531" s="21">
        <f t="shared" si="83"/>
        <v>52.59</v>
      </c>
      <c r="AB531" s="129"/>
      <c r="AC531" s="129">
        <f>Table1[[#This Row],[Total Amount]]-Table1[[#This Row],[Previous Amount]]</f>
        <v>52.59</v>
      </c>
      <c r="AD531" s="153"/>
    </row>
    <row r="532" spans="1:30" ht="30" customHeight="1" x14ac:dyDescent="0.3">
      <c r="A532" s="92" t="s">
        <v>89</v>
      </c>
      <c r="B532" s="92" t="s">
        <v>97</v>
      </c>
      <c r="C532" s="16" t="s">
        <v>705</v>
      </c>
      <c r="D532" s="187">
        <v>75752</v>
      </c>
      <c r="E532" s="187">
        <v>80888</v>
      </c>
      <c r="F532" s="17" t="s">
        <v>706</v>
      </c>
      <c r="G532" s="17" t="s">
        <v>200</v>
      </c>
      <c r="H532" s="16" t="s">
        <v>126</v>
      </c>
      <c r="I532" s="16">
        <v>1</v>
      </c>
      <c r="J532" s="187">
        <v>1.8</v>
      </c>
      <c r="K532" s="187">
        <v>0.5</v>
      </c>
      <c r="L532" s="187">
        <v>1</v>
      </c>
      <c r="M532" s="16">
        <v>1</v>
      </c>
      <c r="N532" s="93" t="s">
        <v>160</v>
      </c>
      <c r="O532" s="93">
        <f t="shared" si="75"/>
        <v>0.9</v>
      </c>
      <c r="P532" s="188">
        <v>44929</v>
      </c>
      <c r="Q532" s="188">
        <v>44942</v>
      </c>
      <c r="R532" s="140">
        <v>1</v>
      </c>
      <c r="S532" s="140">
        <v>1</v>
      </c>
      <c r="T532" s="140">
        <v>1</v>
      </c>
      <c r="U532" s="20">
        <f>IF(ISBLANK(Table1[[#This Row],[OHC Date]]),$B$7-Table1[[#This Row],[HOC Date]]+1,Table1[[#This Row],[OHC Date]]-Table1[[#This Row],[HOC Date]]+1)/7</f>
        <v>2</v>
      </c>
      <c r="V532" s="142">
        <v>32.75</v>
      </c>
      <c r="W532" s="142">
        <v>1.05</v>
      </c>
      <c r="X532" s="21">
        <f>ROUND(0.7*Table1[[#This Row],[E&amp;D Rate per unit]]*R532*Table1[[#This Row],[Quantity]],2)</f>
        <v>20.63</v>
      </c>
      <c r="Y532" s="21">
        <f t="shared" si="82"/>
        <v>1.89</v>
      </c>
      <c r="Z532" s="21">
        <f>ROUND(0.3*T532*Table1[[#This Row],[E&amp;D Rate per unit]]*Table1[[#This Row],[Quantity]],2)</f>
        <v>8.84</v>
      </c>
      <c r="AA532" s="21">
        <f t="shared" si="83"/>
        <v>31.36</v>
      </c>
      <c r="AB532" s="129"/>
      <c r="AC532" s="129">
        <f>Table1[[#This Row],[Total Amount]]-Table1[[#This Row],[Previous Amount]]</f>
        <v>31.36</v>
      </c>
      <c r="AD532" s="153"/>
    </row>
    <row r="533" spans="1:30" ht="30" customHeight="1" x14ac:dyDescent="0.3">
      <c r="A533" s="92" t="s">
        <v>89</v>
      </c>
      <c r="B533" s="92" t="s">
        <v>97</v>
      </c>
      <c r="C533" s="16">
        <v>174</v>
      </c>
      <c r="D533" s="187">
        <v>75753</v>
      </c>
      <c r="E533" s="187">
        <v>80879</v>
      </c>
      <c r="F533" s="17" t="s">
        <v>680</v>
      </c>
      <c r="G533" s="17" t="s">
        <v>226</v>
      </c>
      <c r="H533" s="102" t="s">
        <v>205</v>
      </c>
      <c r="I533" s="16">
        <v>1</v>
      </c>
      <c r="J533" s="187">
        <v>30</v>
      </c>
      <c r="K533" s="187">
        <v>1.3</v>
      </c>
      <c r="L533" s="187">
        <v>3</v>
      </c>
      <c r="M533" s="16">
        <v>1</v>
      </c>
      <c r="N533" s="93" t="s">
        <v>206</v>
      </c>
      <c r="O533" s="93">
        <f t="shared" si="75"/>
        <v>90</v>
      </c>
      <c r="P533" s="188">
        <v>44929</v>
      </c>
      <c r="Q533" s="188">
        <v>44932</v>
      </c>
      <c r="R533" s="140">
        <v>1</v>
      </c>
      <c r="S533" s="140">
        <v>1</v>
      </c>
      <c r="T533" s="140">
        <v>1</v>
      </c>
      <c r="U533" s="20">
        <f>IF(ISBLANK(Table1[[#This Row],[OHC Date]]),$B$7-Table1[[#This Row],[HOC Date]]+1,Table1[[#This Row],[OHC Date]]-Table1[[#This Row],[HOC Date]]+1)/7</f>
        <v>0.5714285714285714</v>
      </c>
      <c r="V533" s="142">
        <v>12.01</v>
      </c>
      <c r="W533" s="142">
        <v>0.49</v>
      </c>
      <c r="X533" s="21">
        <f>ROUND(0.7*Table1[[#This Row],[E&amp;D Rate per unit]]*R533*Table1[[#This Row],[Quantity]],2)</f>
        <v>756.63</v>
      </c>
      <c r="Y533" s="21">
        <f t="shared" si="82"/>
        <v>25.2</v>
      </c>
      <c r="Z533" s="21">
        <f>ROUND(0.3*T533*Table1[[#This Row],[E&amp;D Rate per unit]]*Table1[[#This Row],[Quantity]],2)</f>
        <v>324.27</v>
      </c>
      <c r="AA533" s="21">
        <f t="shared" si="83"/>
        <v>1106.0999999999999</v>
      </c>
      <c r="AB533" s="129"/>
      <c r="AC533" s="129">
        <f>Table1[[#This Row],[Total Amount]]-Table1[[#This Row],[Previous Amount]]</f>
        <v>1106.0999999999999</v>
      </c>
      <c r="AD533" s="153"/>
    </row>
    <row r="534" spans="1:30" ht="30" customHeight="1" x14ac:dyDescent="0.3">
      <c r="A534" s="92" t="s">
        <v>89</v>
      </c>
      <c r="B534" s="92" t="s">
        <v>97</v>
      </c>
      <c r="C534" s="16" t="s">
        <v>707</v>
      </c>
      <c r="D534" s="187">
        <v>75753</v>
      </c>
      <c r="E534" s="187">
        <v>80879</v>
      </c>
      <c r="F534" s="17" t="s">
        <v>680</v>
      </c>
      <c r="G534" s="17" t="s">
        <v>226</v>
      </c>
      <c r="H534" s="16" t="s">
        <v>126</v>
      </c>
      <c r="I534" s="16">
        <v>1</v>
      </c>
      <c r="J534" s="187">
        <v>16</v>
      </c>
      <c r="K534" s="187">
        <v>0.5</v>
      </c>
      <c r="L534" s="187">
        <v>1</v>
      </c>
      <c r="M534" s="16">
        <v>1</v>
      </c>
      <c r="N534" s="93" t="s">
        <v>160</v>
      </c>
      <c r="O534" s="93">
        <f t="shared" si="75"/>
        <v>8</v>
      </c>
      <c r="P534" s="188">
        <v>44929</v>
      </c>
      <c r="Q534" s="188">
        <v>44932</v>
      </c>
      <c r="R534" s="140">
        <v>1</v>
      </c>
      <c r="S534" s="140">
        <v>1</v>
      </c>
      <c r="T534" s="140">
        <v>1</v>
      </c>
      <c r="U534" s="20">
        <f>IF(ISBLANK(Table1[[#This Row],[OHC Date]]),$B$7-Table1[[#This Row],[HOC Date]]+1,Table1[[#This Row],[OHC Date]]-Table1[[#This Row],[HOC Date]]+1)/7</f>
        <v>0.5714285714285714</v>
      </c>
      <c r="V534" s="142">
        <v>32.75</v>
      </c>
      <c r="W534" s="142">
        <v>1.05</v>
      </c>
      <c r="X534" s="21">
        <f>ROUND(0.7*Table1[[#This Row],[E&amp;D Rate per unit]]*R534*Table1[[#This Row],[Quantity]],2)</f>
        <v>183.4</v>
      </c>
      <c r="Y534" s="21">
        <f t="shared" si="82"/>
        <v>4.8</v>
      </c>
      <c r="Z534" s="21">
        <f>ROUND(0.3*T534*Table1[[#This Row],[E&amp;D Rate per unit]]*Table1[[#This Row],[Quantity]],2)</f>
        <v>78.599999999999994</v>
      </c>
      <c r="AA534" s="21">
        <f t="shared" si="83"/>
        <v>266.8</v>
      </c>
      <c r="AB534" s="129"/>
      <c r="AC534" s="129">
        <f>Table1[[#This Row],[Total Amount]]-Table1[[#This Row],[Previous Amount]]</f>
        <v>266.8</v>
      </c>
      <c r="AD534" s="153"/>
    </row>
    <row r="535" spans="1:30" ht="30" customHeight="1" x14ac:dyDescent="0.3">
      <c r="A535" s="92" t="s">
        <v>89</v>
      </c>
      <c r="B535" s="92" t="s">
        <v>97</v>
      </c>
      <c r="C535" s="16" t="s">
        <v>708</v>
      </c>
      <c r="D535" s="187">
        <v>75754</v>
      </c>
      <c r="E535" s="16"/>
      <c r="F535" s="17" t="s">
        <v>709</v>
      </c>
      <c r="G535" s="17" t="s">
        <v>200</v>
      </c>
      <c r="H535" s="16" t="s">
        <v>119</v>
      </c>
      <c r="I535" s="16">
        <v>1</v>
      </c>
      <c r="J535" s="187">
        <v>15.5</v>
      </c>
      <c r="K535" s="187">
        <v>3.1</v>
      </c>
      <c r="L535" s="187">
        <v>4</v>
      </c>
      <c r="M535" s="16">
        <v>1</v>
      </c>
      <c r="N535" s="93" t="s">
        <v>224</v>
      </c>
      <c r="O535" s="93">
        <f t="shared" si="75"/>
        <v>192.2</v>
      </c>
      <c r="P535" s="188">
        <v>44929</v>
      </c>
      <c r="Q535" s="18"/>
      <c r="R535" s="140">
        <v>1</v>
      </c>
      <c r="S535" s="140">
        <v>1</v>
      </c>
      <c r="T535" s="140">
        <v>0</v>
      </c>
      <c r="U535" s="20">
        <f>IF(ISBLANK(Table1[[#This Row],[OHC Date]]),$B$7-Table1[[#This Row],[HOC Date]]+1,Table1[[#This Row],[OHC Date]]-Table1[[#This Row],[HOC Date]]+1)/7</f>
        <v>3.2857142857142856</v>
      </c>
      <c r="V535" s="142">
        <v>7.08</v>
      </c>
      <c r="W535" s="142">
        <v>0.49</v>
      </c>
      <c r="X535" s="21">
        <f>ROUND(0.7*Table1[[#This Row],[E&amp;D Rate per unit]]*R535*Table1[[#This Row],[Quantity]],2)</f>
        <v>952.54</v>
      </c>
      <c r="Y535" s="21">
        <f t="shared" si="82"/>
        <v>309.44</v>
      </c>
      <c r="Z535" s="21">
        <f>ROUND(0.3*T535*Table1[[#This Row],[E&amp;D Rate per unit]]*Table1[[#This Row],[Quantity]],2)</f>
        <v>0</v>
      </c>
      <c r="AA535" s="21">
        <f t="shared" si="83"/>
        <v>1261.98</v>
      </c>
      <c r="AB535" s="129"/>
      <c r="AC535" s="129">
        <f>Table1[[#This Row],[Total Amount]]-Table1[[#This Row],[Previous Amount]]</f>
        <v>1261.98</v>
      </c>
      <c r="AD535" s="153"/>
    </row>
    <row r="536" spans="1:30" ht="30" customHeight="1" x14ac:dyDescent="0.3">
      <c r="A536" s="92" t="s">
        <v>89</v>
      </c>
      <c r="B536" s="92" t="s">
        <v>97</v>
      </c>
      <c r="C536" s="16" t="s">
        <v>710</v>
      </c>
      <c r="D536" s="187">
        <v>75755</v>
      </c>
      <c r="E536" s="16"/>
      <c r="F536" s="17" t="s">
        <v>709</v>
      </c>
      <c r="G536" s="17" t="s">
        <v>200</v>
      </c>
      <c r="H536" s="16" t="s">
        <v>119</v>
      </c>
      <c r="I536" s="16">
        <v>1</v>
      </c>
      <c r="J536" s="187">
        <v>12.2</v>
      </c>
      <c r="K536" s="187">
        <v>7</v>
      </c>
      <c r="L536" s="187">
        <v>4</v>
      </c>
      <c r="M536" s="16">
        <v>1</v>
      </c>
      <c r="N536" s="93" t="s">
        <v>224</v>
      </c>
      <c r="O536" s="93">
        <f t="shared" si="75"/>
        <v>341.6</v>
      </c>
      <c r="P536" s="188">
        <v>44929</v>
      </c>
      <c r="Q536" s="18"/>
      <c r="R536" s="140">
        <v>1</v>
      </c>
      <c r="S536" s="140">
        <v>1</v>
      </c>
      <c r="T536" s="140">
        <v>0</v>
      </c>
      <c r="U536" s="20">
        <f>IF(ISBLANK(Table1[[#This Row],[OHC Date]]),$B$7-Table1[[#This Row],[HOC Date]]+1,Table1[[#This Row],[OHC Date]]-Table1[[#This Row],[HOC Date]]+1)/7</f>
        <v>3.2857142857142856</v>
      </c>
      <c r="V536" s="142">
        <v>7.08</v>
      </c>
      <c r="W536" s="142">
        <v>0.49</v>
      </c>
      <c r="X536" s="21">
        <f>ROUND(0.7*Table1[[#This Row],[E&amp;D Rate per unit]]*R536*Table1[[#This Row],[Quantity]],2)</f>
        <v>1692.97</v>
      </c>
      <c r="Y536" s="21">
        <f t="shared" si="82"/>
        <v>549.98</v>
      </c>
      <c r="Z536" s="21">
        <f>ROUND(0.3*T536*Table1[[#This Row],[E&amp;D Rate per unit]]*Table1[[#This Row],[Quantity]],2)</f>
        <v>0</v>
      </c>
      <c r="AA536" s="21">
        <f t="shared" si="83"/>
        <v>2242.9499999999998</v>
      </c>
      <c r="AB536" s="129"/>
      <c r="AC536" s="129">
        <f>Table1[[#This Row],[Total Amount]]-Table1[[#This Row],[Previous Amount]]</f>
        <v>2242.9499999999998</v>
      </c>
      <c r="AD536" s="153"/>
    </row>
    <row r="537" spans="1:30" ht="30" customHeight="1" x14ac:dyDescent="0.3">
      <c r="A537" s="145" t="s">
        <v>550</v>
      </c>
      <c r="B537" s="92" t="s">
        <v>97</v>
      </c>
      <c r="C537" s="16" t="s">
        <v>711</v>
      </c>
      <c r="D537" s="187">
        <v>75756</v>
      </c>
      <c r="E537" s="187">
        <v>80880</v>
      </c>
      <c r="F537" s="17" t="s">
        <v>552</v>
      </c>
      <c r="G537" s="17" t="s">
        <v>251</v>
      </c>
      <c r="H537" s="151" t="s">
        <v>553</v>
      </c>
      <c r="I537" s="16">
        <v>1</v>
      </c>
      <c r="J537" s="187">
        <v>4.3</v>
      </c>
      <c r="K537" s="187">
        <v>1</v>
      </c>
      <c r="L537" s="187">
        <v>1</v>
      </c>
      <c r="M537" s="16">
        <v>1</v>
      </c>
      <c r="N537" s="93" t="s">
        <v>56</v>
      </c>
      <c r="O537" s="93">
        <f t="shared" si="75"/>
        <v>1</v>
      </c>
      <c r="P537" s="188">
        <v>44929</v>
      </c>
      <c r="Q537" s="188">
        <v>44933</v>
      </c>
      <c r="R537" s="140">
        <v>1</v>
      </c>
      <c r="S537" s="140">
        <v>1</v>
      </c>
      <c r="T537" s="140">
        <v>1</v>
      </c>
      <c r="U537" s="20">
        <f>IF(ISBLANK(Table1[[#This Row],[OHC Date]]),$B$7-Table1[[#This Row],[HOC Date]]+1,Table1[[#This Row],[OHC Date]]-Table1[[#This Row],[HOC Date]]+1)/7</f>
        <v>0.7142857142857143</v>
      </c>
      <c r="V537" s="142">
        <v>1772.5845217391307</v>
      </c>
      <c r="W537" s="142">
        <v>52.192000000000007</v>
      </c>
      <c r="X537" s="21">
        <f>ROUND(0.7*Table1[[#This Row],[E&amp;D Rate per unit]]*R537*Table1[[#This Row],[Quantity]],2)</f>
        <v>1240.81</v>
      </c>
      <c r="Y537" s="21">
        <f t="shared" si="82"/>
        <v>37.28</v>
      </c>
      <c r="Z537" s="21">
        <f>ROUND(0.3*T537*Table1[[#This Row],[E&amp;D Rate per unit]]*Table1[[#This Row],[Quantity]],2)</f>
        <v>531.78</v>
      </c>
      <c r="AA537" s="21">
        <f t="shared" si="83"/>
        <v>1809.87</v>
      </c>
      <c r="AB537" s="129"/>
      <c r="AC537" s="129">
        <f>Table1[[#This Row],[Total Amount]]-Table1[[#This Row],[Previous Amount]]</f>
        <v>1809.87</v>
      </c>
      <c r="AD537" s="132" t="s">
        <v>557</v>
      </c>
    </row>
    <row r="538" spans="1:30" ht="30" customHeight="1" x14ac:dyDescent="0.3">
      <c r="A538" s="145" t="s">
        <v>550</v>
      </c>
      <c r="B538" s="92" t="s">
        <v>97</v>
      </c>
      <c r="C538" s="16" t="s">
        <v>712</v>
      </c>
      <c r="D538" s="187">
        <v>75757</v>
      </c>
      <c r="E538" s="16"/>
      <c r="F538" s="17" t="s">
        <v>552</v>
      </c>
      <c r="G538" s="17" t="s">
        <v>713</v>
      </c>
      <c r="H538" s="148" t="s">
        <v>553</v>
      </c>
      <c r="I538" s="16">
        <v>1</v>
      </c>
      <c r="J538" s="187">
        <v>4.3</v>
      </c>
      <c r="K538" s="187">
        <v>1</v>
      </c>
      <c r="L538" s="187">
        <v>1</v>
      </c>
      <c r="M538" s="16">
        <v>1</v>
      </c>
      <c r="N538" s="93" t="s">
        <v>56</v>
      </c>
      <c r="O538" s="93">
        <f t="shared" si="75"/>
        <v>1</v>
      </c>
      <c r="P538" s="188">
        <v>44930</v>
      </c>
      <c r="Q538" s="18"/>
      <c r="R538" s="140">
        <v>1</v>
      </c>
      <c r="S538" s="140">
        <v>1</v>
      </c>
      <c r="T538" s="140">
        <v>0</v>
      </c>
      <c r="U538" s="20">
        <f>IF(ISBLANK(Table1[[#This Row],[OHC Date]]),$B$7-Table1[[#This Row],[HOC Date]]+1,Table1[[#This Row],[OHC Date]]-Table1[[#This Row],[HOC Date]]+1)/7</f>
        <v>3.1428571428571428</v>
      </c>
      <c r="V538" s="142">
        <v>1772.5845217391307</v>
      </c>
      <c r="W538" s="142">
        <v>52.192000000000007</v>
      </c>
      <c r="X538" s="21">
        <f>ROUND(0.7*Table1[[#This Row],[E&amp;D Rate per unit]]*R538*Table1[[#This Row],[Quantity]],2)</f>
        <v>1240.81</v>
      </c>
      <c r="Y538" s="21">
        <f t="shared" si="82"/>
        <v>164.03</v>
      </c>
      <c r="Z538" s="21">
        <f>ROUND(0.3*T538*Table1[[#This Row],[E&amp;D Rate per unit]]*Table1[[#This Row],[Quantity]],2)</f>
        <v>0</v>
      </c>
      <c r="AA538" s="21">
        <f t="shared" si="83"/>
        <v>1404.84</v>
      </c>
      <c r="AB538" s="129"/>
      <c r="AC538" s="129">
        <f>Table1[[#This Row],[Total Amount]]-Table1[[#This Row],[Previous Amount]]</f>
        <v>1404.84</v>
      </c>
      <c r="AD538" s="132" t="s">
        <v>557</v>
      </c>
    </row>
    <row r="539" spans="1:30" ht="30" customHeight="1" x14ac:dyDescent="0.3">
      <c r="A539" s="92" t="s">
        <v>89</v>
      </c>
      <c r="B539" s="92" t="s">
        <v>97</v>
      </c>
      <c r="C539" s="16">
        <v>177</v>
      </c>
      <c r="D539" s="187">
        <v>75758</v>
      </c>
      <c r="E539" s="187">
        <v>80881</v>
      </c>
      <c r="F539" s="17" t="s">
        <v>714</v>
      </c>
      <c r="G539" s="17" t="s">
        <v>200</v>
      </c>
      <c r="H539" s="102" t="s">
        <v>118</v>
      </c>
      <c r="I539" s="16">
        <v>1</v>
      </c>
      <c r="J539" s="187">
        <v>7</v>
      </c>
      <c r="K539" s="187">
        <v>1.8</v>
      </c>
      <c r="L539" s="187">
        <v>4</v>
      </c>
      <c r="M539" s="16">
        <v>1</v>
      </c>
      <c r="N539" s="93" t="s">
        <v>206</v>
      </c>
      <c r="O539" s="93">
        <f t="shared" si="75"/>
        <v>28</v>
      </c>
      <c r="P539" s="188">
        <v>44930</v>
      </c>
      <c r="Q539" s="188">
        <v>44935</v>
      </c>
      <c r="R539" s="140">
        <v>1</v>
      </c>
      <c r="S539" s="140">
        <v>1</v>
      </c>
      <c r="T539" s="140">
        <v>1</v>
      </c>
      <c r="U539" s="20">
        <f>IF(ISBLANK(Table1[[#This Row],[OHC Date]]),$B$7-Table1[[#This Row],[HOC Date]]+1,Table1[[#This Row],[OHC Date]]-Table1[[#This Row],[HOC Date]]+1)/7</f>
        <v>0.8571428571428571</v>
      </c>
      <c r="V539" s="142">
        <v>16.760000000000002</v>
      </c>
      <c r="W539" s="142">
        <v>0.77</v>
      </c>
      <c r="X539" s="21">
        <f>ROUND(0.7*Table1[[#This Row],[E&amp;D Rate per unit]]*R539*Table1[[#This Row],[Quantity]],2)</f>
        <v>328.5</v>
      </c>
      <c r="Y539" s="21">
        <f t="shared" si="82"/>
        <v>18.48</v>
      </c>
      <c r="Z539" s="21">
        <f>ROUND(0.3*T539*Table1[[#This Row],[E&amp;D Rate per unit]]*Table1[[#This Row],[Quantity]],2)</f>
        <v>140.78</v>
      </c>
      <c r="AA539" s="21">
        <f t="shared" si="83"/>
        <v>487.76</v>
      </c>
      <c r="AB539" s="129"/>
      <c r="AC539" s="129">
        <f>Table1[[#This Row],[Total Amount]]-Table1[[#This Row],[Previous Amount]]</f>
        <v>487.76</v>
      </c>
      <c r="AD539" s="153"/>
    </row>
    <row r="540" spans="1:30" ht="30" customHeight="1" x14ac:dyDescent="0.3">
      <c r="A540" s="92" t="s">
        <v>89</v>
      </c>
      <c r="B540" s="92" t="s">
        <v>97</v>
      </c>
      <c r="C540" s="16" t="s">
        <v>715</v>
      </c>
      <c r="D540" s="187">
        <v>75758</v>
      </c>
      <c r="E540" s="187">
        <v>80881</v>
      </c>
      <c r="F540" s="17" t="s">
        <v>714</v>
      </c>
      <c r="G540" s="17" t="s">
        <v>200</v>
      </c>
      <c r="H540" s="102" t="s">
        <v>127</v>
      </c>
      <c r="I540" s="16">
        <v>1</v>
      </c>
      <c r="J540" s="187">
        <v>2</v>
      </c>
      <c r="K540" s="187">
        <v>1.5</v>
      </c>
      <c r="L540" s="187">
        <v>1</v>
      </c>
      <c r="M540" s="16">
        <v>1</v>
      </c>
      <c r="N540" s="93" t="s">
        <v>160</v>
      </c>
      <c r="O540" s="93">
        <f t="shared" si="75"/>
        <v>3</v>
      </c>
      <c r="P540" s="188">
        <v>44930</v>
      </c>
      <c r="Q540" s="188">
        <v>44935</v>
      </c>
      <c r="R540" s="140">
        <v>1</v>
      </c>
      <c r="S540" s="140">
        <v>1</v>
      </c>
      <c r="T540" s="140">
        <v>1</v>
      </c>
      <c r="U540" s="20">
        <f>IF(ISBLANK(Table1[[#This Row],[OHC Date]]),$B$7-Table1[[#This Row],[HOC Date]]+1,Table1[[#This Row],[OHC Date]]-Table1[[#This Row],[HOC Date]]+1)/7</f>
        <v>0.8571428571428571</v>
      </c>
      <c r="V540" s="142">
        <v>36.520000000000003</v>
      </c>
      <c r="W540" s="142">
        <v>2.94</v>
      </c>
      <c r="X540" s="21">
        <f>ROUND(0.7*Table1[[#This Row],[E&amp;D Rate per unit]]*R540*Table1[[#This Row],[Quantity]],2)</f>
        <v>76.69</v>
      </c>
      <c r="Y540" s="21">
        <f t="shared" si="82"/>
        <v>7.56</v>
      </c>
      <c r="Z540" s="21">
        <f>ROUND(0.3*T540*Table1[[#This Row],[E&amp;D Rate per unit]]*Table1[[#This Row],[Quantity]],2)</f>
        <v>32.869999999999997</v>
      </c>
      <c r="AA540" s="21">
        <f t="shared" si="83"/>
        <v>117.12</v>
      </c>
      <c r="AB540" s="129"/>
      <c r="AC540" s="129">
        <f>Table1[[#This Row],[Total Amount]]-Table1[[#This Row],[Previous Amount]]</f>
        <v>117.12</v>
      </c>
      <c r="AD540" s="153"/>
    </row>
    <row r="541" spans="1:30" ht="30" customHeight="1" x14ac:dyDescent="0.3">
      <c r="A541" s="92" t="s">
        <v>89</v>
      </c>
      <c r="B541" s="92" t="s">
        <v>97</v>
      </c>
      <c r="C541" s="16">
        <v>178</v>
      </c>
      <c r="D541" s="187">
        <v>75759</v>
      </c>
      <c r="E541" s="16"/>
      <c r="F541" s="17" t="s">
        <v>716</v>
      </c>
      <c r="G541" s="17" t="s">
        <v>200</v>
      </c>
      <c r="H541" s="151" t="s">
        <v>220</v>
      </c>
      <c r="I541" s="16">
        <v>1</v>
      </c>
      <c r="J541" s="187">
        <v>1.8</v>
      </c>
      <c r="K541" s="187">
        <v>1.8</v>
      </c>
      <c r="L541" s="187">
        <v>12.5</v>
      </c>
      <c r="M541" s="16">
        <v>1</v>
      </c>
      <c r="N541" s="93" t="s">
        <v>221</v>
      </c>
      <c r="O541" s="93">
        <f t="shared" si="75"/>
        <v>12.5</v>
      </c>
      <c r="P541" s="188">
        <v>44930</v>
      </c>
      <c r="Q541" s="18"/>
      <c r="R541" s="140">
        <v>1</v>
      </c>
      <c r="S541" s="140">
        <v>1</v>
      </c>
      <c r="T541" s="140">
        <v>0</v>
      </c>
      <c r="U541" s="20">
        <f>IF(ISBLANK(Table1[[#This Row],[OHC Date]]),$B$7-Table1[[#This Row],[HOC Date]]+1,Table1[[#This Row],[OHC Date]]-Table1[[#This Row],[HOC Date]]+1)/7</f>
        <v>3.1428571428571428</v>
      </c>
      <c r="V541" s="142">
        <v>63.34</v>
      </c>
      <c r="W541" s="142">
        <v>7.28</v>
      </c>
      <c r="X541" s="21">
        <f>ROUND(0.7*Table1[[#This Row],[E&amp;D Rate per unit]]*R541*Table1[[#This Row],[Quantity]],2)</f>
        <v>554.23</v>
      </c>
      <c r="Y541" s="21">
        <f t="shared" si="82"/>
        <v>286</v>
      </c>
      <c r="Z541" s="21">
        <f>ROUND(0.3*T541*Table1[[#This Row],[E&amp;D Rate per unit]]*Table1[[#This Row],[Quantity]],2)</f>
        <v>0</v>
      </c>
      <c r="AA541" s="21">
        <f t="shared" si="83"/>
        <v>840.23</v>
      </c>
      <c r="AB541" s="129"/>
      <c r="AC541" s="129">
        <f>Table1[[#This Row],[Total Amount]]-Table1[[#This Row],[Previous Amount]]</f>
        <v>840.23</v>
      </c>
      <c r="AD541" s="153"/>
    </row>
    <row r="542" spans="1:30" ht="30" customHeight="1" x14ac:dyDescent="0.3">
      <c r="A542" s="92" t="s">
        <v>89</v>
      </c>
      <c r="B542" s="92" t="s">
        <v>97</v>
      </c>
      <c r="C542" s="16">
        <v>178</v>
      </c>
      <c r="D542" s="187">
        <v>75759</v>
      </c>
      <c r="E542" s="16"/>
      <c r="F542" s="17" t="s">
        <v>716</v>
      </c>
      <c r="G542" s="17" t="s">
        <v>200</v>
      </c>
      <c r="H542" s="148" t="s">
        <v>176</v>
      </c>
      <c r="I542" s="187">
        <v>4</v>
      </c>
      <c r="J542" s="187">
        <v>1.8</v>
      </c>
      <c r="K542" s="187">
        <v>1.8</v>
      </c>
      <c r="L542" s="187">
        <v>1</v>
      </c>
      <c r="M542" s="16">
        <v>4</v>
      </c>
      <c r="N542" s="93" t="s">
        <v>160</v>
      </c>
      <c r="O542" s="93">
        <f t="shared" si="75"/>
        <v>12.96</v>
      </c>
      <c r="P542" s="188">
        <v>44930</v>
      </c>
      <c r="Q542" s="18"/>
      <c r="R542" s="140">
        <v>1</v>
      </c>
      <c r="S542" s="140">
        <v>1</v>
      </c>
      <c r="T542" s="140">
        <v>0</v>
      </c>
      <c r="U542" s="20">
        <f>IF(ISBLANK(Table1[[#This Row],[OHC Date]]),$B$7-Table1[[#This Row],[HOC Date]]+1,Table1[[#This Row],[OHC Date]]-Table1[[#This Row],[HOC Date]]+1)/7</f>
        <v>3.1428571428571428</v>
      </c>
      <c r="V542" s="142">
        <v>6.63</v>
      </c>
      <c r="W542" s="142">
        <v>0.7</v>
      </c>
      <c r="X542" s="21">
        <f>ROUND(0.7*Table1[[#This Row],[E&amp;D Rate per unit]]*R542*Table1[[#This Row],[Quantity]],2)</f>
        <v>60.15</v>
      </c>
      <c r="Y542" s="21">
        <f t="shared" si="82"/>
        <v>28.51</v>
      </c>
      <c r="Z542" s="21">
        <f>ROUND(0.3*T542*Table1[[#This Row],[E&amp;D Rate per unit]]*Table1[[#This Row],[Quantity]],2)</f>
        <v>0</v>
      </c>
      <c r="AA542" s="21">
        <f t="shared" si="83"/>
        <v>88.66</v>
      </c>
      <c r="AB542" s="129"/>
      <c r="AC542" s="129">
        <f>Table1[[#This Row],[Total Amount]]-Table1[[#This Row],[Previous Amount]]</f>
        <v>88.66</v>
      </c>
      <c r="AD542" s="153"/>
    </row>
    <row r="543" spans="1:30" ht="30" customHeight="1" x14ac:dyDescent="0.3">
      <c r="A543" s="92" t="s">
        <v>89</v>
      </c>
      <c r="B543" s="92" t="s">
        <v>97</v>
      </c>
      <c r="C543" s="16" t="s">
        <v>717</v>
      </c>
      <c r="D543" s="187">
        <v>75759</v>
      </c>
      <c r="E543" s="16"/>
      <c r="F543" s="17" t="s">
        <v>716</v>
      </c>
      <c r="G543" s="17" t="s">
        <v>200</v>
      </c>
      <c r="H543" s="16" t="s">
        <v>126</v>
      </c>
      <c r="I543" s="16">
        <v>1</v>
      </c>
      <c r="J543" s="187">
        <v>4.0999999999999996</v>
      </c>
      <c r="K543" s="187">
        <v>0.5</v>
      </c>
      <c r="L543" s="187">
        <v>1</v>
      </c>
      <c r="M543" s="16">
        <v>1</v>
      </c>
      <c r="N543" s="93" t="s">
        <v>160</v>
      </c>
      <c r="O543" s="93">
        <f t="shared" si="75"/>
        <v>2.0499999999999998</v>
      </c>
      <c r="P543" s="188">
        <v>44930</v>
      </c>
      <c r="Q543" s="18"/>
      <c r="R543" s="140">
        <v>1</v>
      </c>
      <c r="S543" s="140">
        <v>1</v>
      </c>
      <c r="T543" s="140">
        <v>0</v>
      </c>
      <c r="U543" s="20">
        <f>IF(ISBLANK(Table1[[#This Row],[OHC Date]]),$B$7-Table1[[#This Row],[HOC Date]]+1,Table1[[#This Row],[OHC Date]]-Table1[[#This Row],[HOC Date]]+1)/7</f>
        <v>3.1428571428571428</v>
      </c>
      <c r="V543" s="142">
        <v>32.75</v>
      </c>
      <c r="W543" s="142">
        <v>1.05</v>
      </c>
      <c r="X543" s="21">
        <f>ROUND(0.7*Table1[[#This Row],[E&amp;D Rate per unit]]*R543*Table1[[#This Row],[Quantity]],2)</f>
        <v>47</v>
      </c>
      <c r="Y543" s="21">
        <f t="shared" si="82"/>
        <v>6.77</v>
      </c>
      <c r="Z543" s="21">
        <f>ROUND(0.3*T543*Table1[[#This Row],[E&amp;D Rate per unit]]*Table1[[#This Row],[Quantity]],2)</f>
        <v>0</v>
      </c>
      <c r="AA543" s="21">
        <f t="shared" si="83"/>
        <v>53.77</v>
      </c>
      <c r="AB543" s="129"/>
      <c r="AC543" s="129">
        <f>Table1[[#This Row],[Total Amount]]-Table1[[#This Row],[Previous Amount]]</f>
        <v>53.77</v>
      </c>
      <c r="AD543" s="153"/>
    </row>
    <row r="544" spans="1:30" ht="30" customHeight="1" x14ac:dyDescent="0.3">
      <c r="A544" s="92" t="s">
        <v>89</v>
      </c>
      <c r="B544" s="92" t="s">
        <v>97</v>
      </c>
      <c r="C544" s="16" t="s">
        <v>718</v>
      </c>
      <c r="D544" s="187">
        <v>75760</v>
      </c>
      <c r="E544" s="16"/>
      <c r="F544" s="17" t="s">
        <v>719</v>
      </c>
      <c r="G544" s="17" t="s">
        <v>200</v>
      </c>
      <c r="H544" s="102" t="s">
        <v>127</v>
      </c>
      <c r="I544" s="16">
        <v>1</v>
      </c>
      <c r="J544" s="187">
        <v>6.8</v>
      </c>
      <c r="K544" s="187">
        <v>1.2</v>
      </c>
      <c r="L544" s="187">
        <v>1</v>
      </c>
      <c r="M544" s="16">
        <v>1</v>
      </c>
      <c r="N544" s="93" t="s">
        <v>160</v>
      </c>
      <c r="O544" s="93">
        <f t="shared" si="75"/>
        <v>8.16</v>
      </c>
      <c r="P544" s="188">
        <v>44930</v>
      </c>
      <c r="Q544" s="18"/>
      <c r="R544" s="140">
        <v>1</v>
      </c>
      <c r="S544" s="140">
        <v>1</v>
      </c>
      <c r="T544" s="140">
        <v>0</v>
      </c>
      <c r="U544" s="20">
        <f>IF(ISBLANK(Table1[[#This Row],[OHC Date]]),$B$7-Table1[[#This Row],[HOC Date]]+1,Table1[[#This Row],[OHC Date]]-Table1[[#This Row],[HOC Date]]+1)/7</f>
        <v>3.1428571428571428</v>
      </c>
      <c r="V544" s="142">
        <v>36.520000000000003</v>
      </c>
      <c r="W544" s="142">
        <v>2.94</v>
      </c>
      <c r="X544" s="21">
        <f>ROUND(0.7*Table1[[#This Row],[E&amp;D Rate per unit]]*R544*Table1[[#This Row],[Quantity]],2)</f>
        <v>208.6</v>
      </c>
      <c r="Y544" s="21">
        <f t="shared" si="82"/>
        <v>75.400000000000006</v>
      </c>
      <c r="Z544" s="21">
        <f>ROUND(0.3*T544*Table1[[#This Row],[E&amp;D Rate per unit]]*Table1[[#This Row],[Quantity]],2)</f>
        <v>0</v>
      </c>
      <c r="AA544" s="21">
        <f t="shared" si="83"/>
        <v>284</v>
      </c>
      <c r="AB544" s="129"/>
      <c r="AC544" s="129">
        <f>Table1[[#This Row],[Total Amount]]-Table1[[#This Row],[Previous Amount]]</f>
        <v>284</v>
      </c>
      <c r="AD544" s="153"/>
    </row>
    <row r="545" spans="1:30" ht="30" customHeight="1" x14ac:dyDescent="0.3">
      <c r="A545" s="92" t="s">
        <v>89</v>
      </c>
      <c r="B545" s="92" t="s">
        <v>97</v>
      </c>
      <c r="C545" s="16" t="s">
        <v>720</v>
      </c>
      <c r="D545" s="187">
        <v>75761</v>
      </c>
      <c r="E545" s="16"/>
      <c r="F545" s="17" t="s">
        <v>719</v>
      </c>
      <c r="G545" s="17" t="s">
        <v>200</v>
      </c>
      <c r="H545" s="102" t="s">
        <v>127</v>
      </c>
      <c r="I545" s="16">
        <v>1</v>
      </c>
      <c r="J545" s="187">
        <v>4</v>
      </c>
      <c r="K545" s="187">
        <v>1.5</v>
      </c>
      <c r="L545" s="187">
        <v>1</v>
      </c>
      <c r="M545" s="16">
        <v>1</v>
      </c>
      <c r="N545" s="93" t="s">
        <v>160</v>
      </c>
      <c r="O545" s="93">
        <f t="shared" si="75"/>
        <v>6</v>
      </c>
      <c r="P545" s="188">
        <v>44930</v>
      </c>
      <c r="Q545" s="18"/>
      <c r="R545" s="140">
        <v>1</v>
      </c>
      <c r="S545" s="140">
        <v>1</v>
      </c>
      <c r="T545" s="140">
        <v>0</v>
      </c>
      <c r="U545" s="20">
        <f>IF(ISBLANK(Table1[[#This Row],[OHC Date]]),$B$7-Table1[[#This Row],[HOC Date]]+1,Table1[[#This Row],[OHC Date]]-Table1[[#This Row],[HOC Date]]+1)/7</f>
        <v>3.1428571428571428</v>
      </c>
      <c r="V545" s="142">
        <v>36.520000000000003</v>
      </c>
      <c r="W545" s="142">
        <v>2.94</v>
      </c>
      <c r="X545" s="21">
        <f>ROUND(0.7*Table1[[#This Row],[E&amp;D Rate per unit]]*R545*Table1[[#This Row],[Quantity]],2)</f>
        <v>153.38</v>
      </c>
      <c r="Y545" s="21">
        <f t="shared" si="82"/>
        <v>55.44</v>
      </c>
      <c r="Z545" s="21">
        <f>ROUND(0.3*T545*Table1[[#This Row],[E&amp;D Rate per unit]]*Table1[[#This Row],[Quantity]],2)</f>
        <v>0</v>
      </c>
      <c r="AA545" s="21">
        <f t="shared" si="83"/>
        <v>208.82</v>
      </c>
      <c r="AB545" s="129"/>
      <c r="AC545" s="129">
        <f>Table1[[#This Row],[Total Amount]]-Table1[[#This Row],[Previous Amount]]</f>
        <v>208.82</v>
      </c>
      <c r="AD545" s="153"/>
    </row>
    <row r="546" spans="1:30" ht="30" customHeight="1" x14ac:dyDescent="0.3">
      <c r="A546" s="92" t="s">
        <v>89</v>
      </c>
      <c r="B546" s="92" t="s">
        <v>97</v>
      </c>
      <c r="C546" s="16">
        <v>179</v>
      </c>
      <c r="D546" s="187">
        <v>75762</v>
      </c>
      <c r="E546" s="187">
        <v>80884</v>
      </c>
      <c r="F546" s="17" t="s">
        <v>716</v>
      </c>
      <c r="G546" s="17" t="s">
        <v>200</v>
      </c>
      <c r="H546" s="148" t="s">
        <v>220</v>
      </c>
      <c r="I546" s="16">
        <v>1</v>
      </c>
      <c r="J546" s="187">
        <v>2.5</v>
      </c>
      <c r="K546" s="187">
        <v>0.6</v>
      </c>
      <c r="L546" s="187">
        <v>2</v>
      </c>
      <c r="M546" s="16">
        <v>1</v>
      </c>
      <c r="N546" s="93" t="s">
        <v>221</v>
      </c>
      <c r="O546" s="93">
        <f t="shared" si="75"/>
        <v>2</v>
      </c>
      <c r="P546" s="188">
        <v>44931</v>
      </c>
      <c r="Q546" s="188">
        <v>44937</v>
      </c>
      <c r="R546" s="140">
        <v>1</v>
      </c>
      <c r="S546" s="140">
        <v>1</v>
      </c>
      <c r="T546" s="140">
        <v>1</v>
      </c>
      <c r="U546" s="20">
        <f>IF(ISBLANK(Table1[[#This Row],[OHC Date]]),$B$7-Table1[[#This Row],[HOC Date]]+1,Table1[[#This Row],[OHC Date]]-Table1[[#This Row],[HOC Date]]+1)/7</f>
        <v>1</v>
      </c>
      <c r="V546" s="142">
        <v>63.34</v>
      </c>
      <c r="W546" s="142">
        <v>7.28</v>
      </c>
      <c r="X546" s="21">
        <f>ROUND(0.7*Table1[[#This Row],[E&amp;D Rate per unit]]*R546*Table1[[#This Row],[Quantity]],2)</f>
        <v>88.68</v>
      </c>
      <c r="Y546" s="21">
        <f t="shared" si="82"/>
        <v>14.56</v>
      </c>
      <c r="Z546" s="21">
        <f>ROUND(0.3*T546*Table1[[#This Row],[E&amp;D Rate per unit]]*Table1[[#This Row],[Quantity]],2)</f>
        <v>38</v>
      </c>
      <c r="AA546" s="21">
        <f t="shared" si="83"/>
        <v>141.24</v>
      </c>
      <c r="AB546" s="129"/>
      <c r="AC546" s="129">
        <f>Table1[[#This Row],[Total Amount]]-Table1[[#This Row],[Previous Amount]]</f>
        <v>141.24</v>
      </c>
      <c r="AD546" s="153"/>
    </row>
    <row r="547" spans="1:30" ht="30" customHeight="1" x14ac:dyDescent="0.3">
      <c r="A547" s="92" t="s">
        <v>89</v>
      </c>
      <c r="B547" s="92" t="s">
        <v>97</v>
      </c>
      <c r="C547" s="16">
        <v>180</v>
      </c>
      <c r="D547" s="187">
        <v>75763</v>
      </c>
      <c r="E547" s="16"/>
      <c r="F547" s="17" t="s">
        <v>721</v>
      </c>
      <c r="G547" s="17" t="s">
        <v>200</v>
      </c>
      <c r="H547" s="102" t="s">
        <v>118</v>
      </c>
      <c r="I547" s="16">
        <v>1</v>
      </c>
      <c r="J547" s="187">
        <v>10</v>
      </c>
      <c r="K547" s="187">
        <v>2.5</v>
      </c>
      <c r="L547" s="187">
        <v>6.2</v>
      </c>
      <c r="M547" s="16">
        <v>1</v>
      </c>
      <c r="N547" s="93" t="s">
        <v>206</v>
      </c>
      <c r="O547" s="93">
        <f t="shared" si="75"/>
        <v>62</v>
      </c>
      <c r="P547" s="188">
        <v>44932</v>
      </c>
      <c r="Q547" s="18"/>
      <c r="R547" s="140">
        <v>1</v>
      </c>
      <c r="S547" s="140">
        <v>1</v>
      </c>
      <c r="T547" s="140">
        <v>0</v>
      </c>
      <c r="U547" s="20">
        <f>IF(ISBLANK(Table1[[#This Row],[OHC Date]]),$B$7-Table1[[#This Row],[HOC Date]]+1,Table1[[#This Row],[OHC Date]]-Table1[[#This Row],[HOC Date]]+1)/7</f>
        <v>2.8571428571428572</v>
      </c>
      <c r="V547" s="142">
        <v>16.760000000000002</v>
      </c>
      <c r="W547" s="142">
        <v>0.77</v>
      </c>
      <c r="X547" s="21">
        <f>ROUND(0.7*Table1[[#This Row],[E&amp;D Rate per unit]]*R547*Table1[[#This Row],[Quantity]],2)</f>
        <v>727.38</v>
      </c>
      <c r="Y547" s="21">
        <f t="shared" si="82"/>
        <v>136.4</v>
      </c>
      <c r="Z547" s="21">
        <f>ROUND(0.3*T547*Table1[[#This Row],[E&amp;D Rate per unit]]*Table1[[#This Row],[Quantity]],2)</f>
        <v>0</v>
      </c>
      <c r="AA547" s="21">
        <f t="shared" si="83"/>
        <v>863.78</v>
      </c>
      <c r="AB547" s="129"/>
      <c r="AC547" s="129">
        <f>Table1[[#This Row],[Total Amount]]-Table1[[#This Row],[Previous Amount]]</f>
        <v>863.78</v>
      </c>
      <c r="AD547" s="153"/>
    </row>
    <row r="548" spans="1:30" ht="30" customHeight="1" x14ac:dyDescent="0.3">
      <c r="A548" s="92" t="s">
        <v>89</v>
      </c>
      <c r="B548" s="92" t="s">
        <v>97</v>
      </c>
      <c r="C548" s="16">
        <v>181</v>
      </c>
      <c r="D548" s="187">
        <v>75764</v>
      </c>
      <c r="E548" s="16"/>
      <c r="F548" s="17" t="s">
        <v>722</v>
      </c>
      <c r="G548" s="17" t="s">
        <v>200</v>
      </c>
      <c r="H548" s="16" t="s">
        <v>220</v>
      </c>
      <c r="I548" s="16">
        <v>1</v>
      </c>
      <c r="J548" s="187">
        <v>2</v>
      </c>
      <c r="K548" s="187">
        <v>0.9</v>
      </c>
      <c r="L548" s="187">
        <v>2</v>
      </c>
      <c r="M548" s="16">
        <v>1</v>
      </c>
      <c r="N548" s="93" t="s">
        <v>221</v>
      </c>
      <c r="O548" s="93">
        <f t="shared" si="75"/>
        <v>2</v>
      </c>
      <c r="P548" s="188">
        <v>44933</v>
      </c>
      <c r="Q548" s="18"/>
      <c r="R548" s="140">
        <v>1</v>
      </c>
      <c r="S548" s="140">
        <v>1</v>
      </c>
      <c r="T548" s="140">
        <v>0</v>
      </c>
      <c r="U548" s="20">
        <f>IF(ISBLANK(Table1[[#This Row],[OHC Date]]),$B$7-Table1[[#This Row],[HOC Date]]+1,Table1[[#This Row],[OHC Date]]-Table1[[#This Row],[HOC Date]]+1)/7</f>
        <v>2.7142857142857144</v>
      </c>
      <c r="V548" s="142">
        <v>63.34</v>
      </c>
      <c r="W548" s="142">
        <v>7.28</v>
      </c>
      <c r="X548" s="21">
        <f>ROUND(0.7*Table1[[#This Row],[E&amp;D Rate per unit]]*R548*Table1[[#This Row],[Quantity]],2)</f>
        <v>88.68</v>
      </c>
      <c r="Y548" s="21">
        <f t="shared" si="82"/>
        <v>39.520000000000003</v>
      </c>
      <c r="Z548" s="21">
        <f>ROUND(0.3*T548*Table1[[#This Row],[E&amp;D Rate per unit]]*Table1[[#This Row],[Quantity]],2)</f>
        <v>0</v>
      </c>
      <c r="AA548" s="21">
        <f t="shared" si="83"/>
        <v>128.19999999999999</v>
      </c>
      <c r="AB548" s="129"/>
      <c r="AC548" s="129">
        <f>Table1[[#This Row],[Total Amount]]-Table1[[#This Row],[Previous Amount]]</f>
        <v>128.19999999999999</v>
      </c>
      <c r="AD548" s="153"/>
    </row>
    <row r="549" spans="1:30" ht="30" customHeight="1" x14ac:dyDescent="0.3">
      <c r="A549" s="92" t="s">
        <v>89</v>
      </c>
      <c r="B549" s="92" t="s">
        <v>97</v>
      </c>
      <c r="C549" s="16">
        <v>182</v>
      </c>
      <c r="D549" s="187">
        <v>75765</v>
      </c>
      <c r="E549" s="16"/>
      <c r="F549" s="17" t="s">
        <v>722</v>
      </c>
      <c r="G549" s="17" t="s">
        <v>200</v>
      </c>
      <c r="H549" s="16" t="s">
        <v>220</v>
      </c>
      <c r="I549" s="16">
        <v>1</v>
      </c>
      <c r="J549" s="187">
        <v>2</v>
      </c>
      <c r="K549" s="187">
        <v>1.5</v>
      </c>
      <c r="L549" s="187">
        <v>3.5</v>
      </c>
      <c r="M549" s="16">
        <v>1</v>
      </c>
      <c r="N549" s="93" t="s">
        <v>221</v>
      </c>
      <c r="O549" s="93">
        <f t="shared" si="75"/>
        <v>3.5</v>
      </c>
      <c r="P549" s="188">
        <v>44933</v>
      </c>
      <c r="Q549" s="18"/>
      <c r="R549" s="140">
        <v>1</v>
      </c>
      <c r="S549" s="140">
        <v>1</v>
      </c>
      <c r="T549" s="140">
        <v>0</v>
      </c>
      <c r="U549" s="20">
        <f>IF(ISBLANK(Table1[[#This Row],[OHC Date]]),$B$7-Table1[[#This Row],[HOC Date]]+1,Table1[[#This Row],[OHC Date]]-Table1[[#This Row],[HOC Date]]+1)/7</f>
        <v>2.7142857142857144</v>
      </c>
      <c r="V549" s="142">
        <v>63.34</v>
      </c>
      <c r="W549" s="142">
        <v>7.28</v>
      </c>
      <c r="X549" s="21">
        <f>ROUND(0.7*Table1[[#This Row],[E&amp;D Rate per unit]]*R549*Table1[[#This Row],[Quantity]],2)</f>
        <v>155.18</v>
      </c>
      <c r="Y549" s="21">
        <f t="shared" si="82"/>
        <v>69.16</v>
      </c>
      <c r="Z549" s="21">
        <f>ROUND(0.3*T549*Table1[[#This Row],[E&amp;D Rate per unit]]*Table1[[#This Row],[Quantity]],2)</f>
        <v>0</v>
      </c>
      <c r="AA549" s="21">
        <f t="shared" si="83"/>
        <v>224.34</v>
      </c>
      <c r="AB549" s="129"/>
      <c r="AC549" s="129">
        <f>Table1[[#This Row],[Total Amount]]-Table1[[#This Row],[Previous Amount]]</f>
        <v>224.34</v>
      </c>
      <c r="AD549" s="153"/>
    </row>
    <row r="550" spans="1:30" ht="30" customHeight="1" x14ac:dyDescent="0.3">
      <c r="A550" s="92" t="s">
        <v>89</v>
      </c>
      <c r="B550" s="92" t="s">
        <v>97</v>
      </c>
      <c r="C550" s="16">
        <v>182</v>
      </c>
      <c r="D550" s="187">
        <v>75765</v>
      </c>
      <c r="E550" s="16"/>
      <c r="F550" s="17" t="s">
        <v>722</v>
      </c>
      <c r="G550" s="17" t="s">
        <v>200</v>
      </c>
      <c r="H550" s="16" t="s">
        <v>176</v>
      </c>
      <c r="I550" s="16">
        <v>1</v>
      </c>
      <c r="J550" s="187">
        <v>2</v>
      </c>
      <c r="K550" s="187">
        <v>1.5</v>
      </c>
      <c r="L550" s="187"/>
      <c r="M550" s="16">
        <v>1</v>
      </c>
      <c r="N550" s="93" t="s">
        <v>160</v>
      </c>
      <c r="O550" s="93">
        <f t="shared" si="75"/>
        <v>3</v>
      </c>
      <c r="P550" s="188">
        <v>44933</v>
      </c>
      <c r="Q550" s="18"/>
      <c r="R550" s="140">
        <v>1</v>
      </c>
      <c r="S550" s="140">
        <v>1</v>
      </c>
      <c r="T550" s="140">
        <v>0</v>
      </c>
      <c r="U550" s="20">
        <f>IF(ISBLANK(Table1[[#This Row],[OHC Date]]),$B$7-Table1[[#This Row],[HOC Date]]+1,Table1[[#This Row],[OHC Date]]-Table1[[#This Row],[HOC Date]]+1)/7</f>
        <v>2.7142857142857144</v>
      </c>
      <c r="V550" s="142">
        <v>6.63</v>
      </c>
      <c r="W550" s="142">
        <v>0.7</v>
      </c>
      <c r="X550" s="21">
        <f>ROUND(0.7*Table1[[#This Row],[E&amp;D Rate per unit]]*R550*Table1[[#This Row],[Quantity]],2)</f>
        <v>13.92</v>
      </c>
      <c r="Y550" s="21">
        <f t="shared" si="82"/>
        <v>5.7</v>
      </c>
      <c r="Z550" s="21">
        <f>ROUND(0.3*T550*Table1[[#This Row],[E&amp;D Rate per unit]]*Table1[[#This Row],[Quantity]],2)</f>
        <v>0</v>
      </c>
      <c r="AA550" s="21">
        <f t="shared" si="83"/>
        <v>19.62</v>
      </c>
      <c r="AB550" s="129"/>
      <c r="AC550" s="129">
        <f>Table1[[#This Row],[Total Amount]]-Table1[[#This Row],[Previous Amount]]</f>
        <v>19.62</v>
      </c>
      <c r="AD550" s="153"/>
    </row>
    <row r="551" spans="1:30" ht="30" customHeight="1" x14ac:dyDescent="0.3">
      <c r="A551" s="92" t="s">
        <v>89</v>
      </c>
      <c r="B551" s="92" t="s">
        <v>97</v>
      </c>
      <c r="C551" s="16" t="s">
        <v>723</v>
      </c>
      <c r="D551" s="187">
        <v>75766</v>
      </c>
      <c r="E551" s="16"/>
      <c r="F551" s="17" t="s">
        <v>721</v>
      </c>
      <c r="G551" s="17" t="s">
        <v>200</v>
      </c>
      <c r="H551" s="102" t="s">
        <v>118</v>
      </c>
      <c r="I551" s="16">
        <v>1</v>
      </c>
      <c r="J551" s="187">
        <v>15</v>
      </c>
      <c r="K551" s="187">
        <v>2.5</v>
      </c>
      <c r="L551" s="187">
        <v>6.2</v>
      </c>
      <c r="M551" s="16">
        <v>1</v>
      </c>
      <c r="N551" s="93" t="s">
        <v>160</v>
      </c>
      <c r="O551" s="93">
        <f t="shared" si="75"/>
        <v>37.5</v>
      </c>
      <c r="P551" s="188">
        <v>44933</v>
      </c>
      <c r="Q551" s="18"/>
      <c r="R551" s="140">
        <v>1</v>
      </c>
      <c r="S551" s="140">
        <v>1</v>
      </c>
      <c r="T551" s="140">
        <v>0</v>
      </c>
      <c r="U551" s="20">
        <f>IF(ISBLANK(Table1[[#This Row],[OHC Date]]),$B$7-Table1[[#This Row],[HOC Date]]+1,Table1[[#This Row],[OHC Date]]-Table1[[#This Row],[HOC Date]]+1)/7</f>
        <v>2.7142857142857144</v>
      </c>
      <c r="V551" s="142">
        <v>16.760000000000002</v>
      </c>
      <c r="W551" s="142">
        <v>0.77</v>
      </c>
      <c r="X551" s="21">
        <f>ROUND(0.7*Table1[[#This Row],[E&amp;D Rate per unit]]*R551*Table1[[#This Row],[Quantity]],2)</f>
        <v>439.95</v>
      </c>
      <c r="Y551" s="21">
        <f t="shared" si="82"/>
        <v>78.38</v>
      </c>
      <c r="Z551" s="21">
        <f>ROUND(0.3*T551*Table1[[#This Row],[E&amp;D Rate per unit]]*Table1[[#This Row],[Quantity]],2)</f>
        <v>0</v>
      </c>
      <c r="AA551" s="21">
        <f t="shared" si="83"/>
        <v>518.33000000000004</v>
      </c>
      <c r="AB551" s="129"/>
      <c r="AC551" s="129">
        <f>Table1[[#This Row],[Total Amount]]-Table1[[#This Row],[Previous Amount]]</f>
        <v>518.33000000000004</v>
      </c>
      <c r="AD551" s="153"/>
    </row>
    <row r="552" spans="1:30" ht="30" customHeight="1" x14ac:dyDescent="0.3">
      <c r="A552" s="92" t="s">
        <v>89</v>
      </c>
      <c r="B552" s="92" t="s">
        <v>97</v>
      </c>
      <c r="C552" s="16" t="s">
        <v>724</v>
      </c>
      <c r="D552" s="187">
        <v>75767</v>
      </c>
      <c r="E552" s="16"/>
      <c r="F552" s="17" t="s">
        <v>700</v>
      </c>
      <c r="G552" s="17" t="s">
        <v>190</v>
      </c>
      <c r="H552" s="102" t="s">
        <v>127</v>
      </c>
      <c r="I552" s="16">
        <v>1</v>
      </c>
      <c r="J552" s="187">
        <v>12.6</v>
      </c>
      <c r="K552" s="187">
        <v>0.75</v>
      </c>
      <c r="L552" s="187">
        <v>1</v>
      </c>
      <c r="M552" s="16">
        <v>1</v>
      </c>
      <c r="N552" s="93" t="s">
        <v>160</v>
      </c>
      <c r="O552" s="93">
        <f t="shared" si="75"/>
        <v>9.4499999999999993</v>
      </c>
      <c r="P552" s="188">
        <v>44933</v>
      </c>
      <c r="Q552" s="18"/>
      <c r="R552" s="140">
        <v>1</v>
      </c>
      <c r="S552" s="140">
        <v>1</v>
      </c>
      <c r="T552" s="140">
        <v>0</v>
      </c>
      <c r="U552" s="20">
        <f>IF(ISBLANK(Table1[[#This Row],[OHC Date]]),$B$7-Table1[[#This Row],[HOC Date]]+1,Table1[[#This Row],[OHC Date]]-Table1[[#This Row],[HOC Date]]+1)/7</f>
        <v>2.7142857142857144</v>
      </c>
      <c r="V552" s="142">
        <v>36.520000000000003</v>
      </c>
      <c r="W552" s="142">
        <v>2.94</v>
      </c>
      <c r="X552" s="21">
        <f>ROUND(0.7*Table1[[#This Row],[E&amp;D Rate per unit]]*R552*Table1[[#This Row],[Quantity]],2)</f>
        <v>241.58</v>
      </c>
      <c r="Y552" s="21">
        <f t="shared" si="82"/>
        <v>75.41</v>
      </c>
      <c r="Z552" s="21">
        <f>ROUND(0.3*T552*Table1[[#This Row],[E&amp;D Rate per unit]]*Table1[[#This Row],[Quantity]],2)</f>
        <v>0</v>
      </c>
      <c r="AA552" s="21">
        <f t="shared" si="83"/>
        <v>316.99</v>
      </c>
      <c r="AB552" s="129"/>
      <c r="AC552" s="129">
        <f>Table1[[#This Row],[Total Amount]]-Table1[[#This Row],[Previous Amount]]</f>
        <v>316.99</v>
      </c>
      <c r="AD552" s="153"/>
    </row>
    <row r="553" spans="1:30" ht="30" customHeight="1" x14ac:dyDescent="0.3">
      <c r="A553" s="92" t="s">
        <v>89</v>
      </c>
      <c r="B553" s="92" t="s">
        <v>97</v>
      </c>
      <c r="C553" s="16">
        <v>183</v>
      </c>
      <c r="D553" s="187">
        <v>75768</v>
      </c>
      <c r="E553" s="16"/>
      <c r="F553" s="17" t="s">
        <v>725</v>
      </c>
      <c r="G553" s="17" t="s">
        <v>226</v>
      </c>
      <c r="H553" s="151" t="s">
        <v>220</v>
      </c>
      <c r="I553" s="16">
        <v>1</v>
      </c>
      <c r="J553" s="187">
        <v>2.5</v>
      </c>
      <c r="K553" s="187">
        <v>2.5</v>
      </c>
      <c r="L553" s="187">
        <v>2.5</v>
      </c>
      <c r="M553" s="16">
        <v>1</v>
      </c>
      <c r="N553" s="93" t="s">
        <v>221</v>
      </c>
      <c r="O553" s="93">
        <f t="shared" si="75"/>
        <v>2.5</v>
      </c>
      <c r="P553" s="188">
        <v>44936</v>
      </c>
      <c r="Q553" s="18"/>
      <c r="R553" s="140">
        <v>1</v>
      </c>
      <c r="S553" s="140">
        <v>1</v>
      </c>
      <c r="T553" s="140">
        <v>0</v>
      </c>
      <c r="U553" s="20">
        <f>IF(ISBLANK(Table1[[#This Row],[OHC Date]]),$B$7-Table1[[#This Row],[HOC Date]]+1,Table1[[#This Row],[OHC Date]]-Table1[[#This Row],[HOC Date]]+1)/7</f>
        <v>2.2857142857142856</v>
      </c>
      <c r="V553" s="142">
        <v>63.34</v>
      </c>
      <c r="W553" s="142">
        <v>7.28</v>
      </c>
      <c r="X553" s="21">
        <f>ROUND(0.7*Table1[[#This Row],[E&amp;D Rate per unit]]*R553*Table1[[#This Row],[Quantity]],2)</f>
        <v>110.85</v>
      </c>
      <c r="Y553" s="21">
        <f t="shared" si="82"/>
        <v>41.6</v>
      </c>
      <c r="Z553" s="21">
        <f>ROUND(0.3*T553*Table1[[#This Row],[E&amp;D Rate per unit]]*Table1[[#This Row],[Quantity]],2)</f>
        <v>0</v>
      </c>
      <c r="AA553" s="21">
        <f t="shared" si="83"/>
        <v>152.44999999999999</v>
      </c>
      <c r="AB553" s="129"/>
      <c r="AC553" s="129">
        <f>Table1[[#This Row],[Total Amount]]-Table1[[#This Row],[Previous Amount]]</f>
        <v>152.44999999999999</v>
      </c>
      <c r="AD553" s="153"/>
    </row>
    <row r="554" spans="1:30" ht="30" customHeight="1" x14ac:dyDescent="0.3">
      <c r="A554" s="92" t="s">
        <v>89</v>
      </c>
      <c r="B554" s="92" t="s">
        <v>97</v>
      </c>
      <c r="C554" s="16">
        <v>184</v>
      </c>
      <c r="D554" s="187">
        <v>75769</v>
      </c>
      <c r="E554" s="187">
        <v>80895</v>
      </c>
      <c r="F554" s="17" t="s">
        <v>726</v>
      </c>
      <c r="G554" s="17" t="s">
        <v>226</v>
      </c>
      <c r="H554" s="148" t="s">
        <v>220</v>
      </c>
      <c r="I554" s="16">
        <v>1</v>
      </c>
      <c r="J554" s="187">
        <v>2.5</v>
      </c>
      <c r="K554" s="187">
        <v>2.5</v>
      </c>
      <c r="L554" s="187">
        <v>3</v>
      </c>
      <c r="M554" s="16">
        <v>1</v>
      </c>
      <c r="N554" s="93" t="s">
        <v>221</v>
      </c>
      <c r="O554" s="93">
        <f t="shared" si="75"/>
        <v>3</v>
      </c>
      <c r="P554" s="188">
        <v>44936</v>
      </c>
      <c r="Q554" s="188">
        <v>44949</v>
      </c>
      <c r="R554" s="140">
        <v>1</v>
      </c>
      <c r="S554" s="140">
        <v>1</v>
      </c>
      <c r="T554" s="140">
        <v>1</v>
      </c>
      <c r="U554" s="20">
        <f>IF(ISBLANK(Table1[[#This Row],[OHC Date]]),$B$7-Table1[[#This Row],[HOC Date]]+1,Table1[[#This Row],[OHC Date]]-Table1[[#This Row],[HOC Date]]+1)/7</f>
        <v>2</v>
      </c>
      <c r="V554" s="142">
        <v>63.34</v>
      </c>
      <c r="W554" s="142">
        <v>7.28</v>
      </c>
      <c r="X554" s="21">
        <f>ROUND(0.7*Table1[[#This Row],[E&amp;D Rate per unit]]*R554*Table1[[#This Row],[Quantity]],2)</f>
        <v>133.01</v>
      </c>
      <c r="Y554" s="21">
        <f t="shared" si="82"/>
        <v>43.68</v>
      </c>
      <c r="Z554" s="21">
        <f>ROUND(0.3*T554*Table1[[#This Row],[E&amp;D Rate per unit]]*Table1[[#This Row],[Quantity]],2)</f>
        <v>57.01</v>
      </c>
      <c r="AA554" s="21">
        <f t="shared" si="83"/>
        <v>233.7</v>
      </c>
      <c r="AB554" s="129"/>
      <c r="AC554" s="129">
        <f>Table1[[#This Row],[Total Amount]]-Table1[[#This Row],[Previous Amount]]</f>
        <v>233.7</v>
      </c>
      <c r="AD554" s="153"/>
    </row>
    <row r="555" spans="1:30" ht="30" customHeight="1" x14ac:dyDescent="0.3">
      <c r="A555" s="92" t="s">
        <v>89</v>
      </c>
      <c r="B555" s="92" t="s">
        <v>97</v>
      </c>
      <c r="C555" s="16" t="s">
        <v>727</v>
      </c>
      <c r="D555" s="187">
        <v>75769</v>
      </c>
      <c r="E555" s="187">
        <v>80895</v>
      </c>
      <c r="F555" s="17" t="s">
        <v>726</v>
      </c>
      <c r="G555" s="17" t="s">
        <v>226</v>
      </c>
      <c r="H555" s="151" t="s">
        <v>176</v>
      </c>
      <c r="I555" s="16">
        <v>1</v>
      </c>
      <c r="J555" s="187">
        <v>2.5</v>
      </c>
      <c r="K555" s="187">
        <v>1.3</v>
      </c>
      <c r="L555" s="187">
        <v>1</v>
      </c>
      <c r="M555" s="16">
        <v>1</v>
      </c>
      <c r="N555" s="93" t="s">
        <v>160</v>
      </c>
      <c r="O555" s="93">
        <f t="shared" si="75"/>
        <v>3.25</v>
      </c>
      <c r="P555" s="188">
        <v>44936</v>
      </c>
      <c r="Q555" s="188">
        <v>44949</v>
      </c>
      <c r="R555" s="140">
        <v>1</v>
      </c>
      <c r="S555" s="140">
        <v>1</v>
      </c>
      <c r="T555" s="140">
        <v>1</v>
      </c>
      <c r="U555" s="20">
        <f>IF(ISBLANK(Table1[[#This Row],[OHC Date]]),$B$7-Table1[[#This Row],[HOC Date]]+1,Table1[[#This Row],[OHC Date]]-Table1[[#This Row],[HOC Date]]+1)/7</f>
        <v>2</v>
      </c>
      <c r="V555" s="142">
        <v>6.63</v>
      </c>
      <c r="W555" s="142">
        <v>0.7</v>
      </c>
      <c r="X555" s="21">
        <f>ROUND(0.7*Table1[[#This Row],[E&amp;D Rate per unit]]*R555*Table1[[#This Row],[Quantity]],2)</f>
        <v>15.08</v>
      </c>
      <c r="Y555" s="21">
        <f t="shared" si="82"/>
        <v>4.55</v>
      </c>
      <c r="Z555" s="21">
        <f>ROUND(0.3*T555*Table1[[#This Row],[E&amp;D Rate per unit]]*Table1[[#This Row],[Quantity]],2)</f>
        <v>6.46</v>
      </c>
      <c r="AA555" s="21">
        <f t="shared" si="83"/>
        <v>26.09</v>
      </c>
      <c r="AB555" s="129"/>
      <c r="AC555" s="129">
        <f>Table1[[#This Row],[Total Amount]]-Table1[[#This Row],[Previous Amount]]</f>
        <v>26.09</v>
      </c>
      <c r="AD555" s="153"/>
    </row>
    <row r="556" spans="1:30" ht="30" customHeight="1" x14ac:dyDescent="0.3">
      <c r="A556" s="92" t="s">
        <v>89</v>
      </c>
      <c r="B556" s="92" t="s">
        <v>97</v>
      </c>
      <c r="C556" s="16">
        <v>185</v>
      </c>
      <c r="D556" s="187">
        <v>75770</v>
      </c>
      <c r="E556" s="16"/>
      <c r="F556" s="17" t="s">
        <v>728</v>
      </c>
      <c r="G556" s="17" t="s">
        <v>163</v>
      </c>
      <c r="H556" s="148" t="s">
        <v>220</v>
      </c>
      <c r="I556" s="16">
        <v>1</v>
      </c>
      <c r="J556" s="187">
        <v>1.8</v>
      </c>
      <c r="K556" s="187">
        <v>1.3</v>
      </c>
      <c r="L556" s="187">
        <v>2</v>
      </c>
      <c r="M556" s="16">
        <v>1</v>
      </c>
      <c r="N556" s="93" t="s">
        <v>221</v>
      </c>
      <c r="O556" s="93">
        <f t="shared" si="75"/>
        <v>2</v>
      </c>
      <c r="P556" s="188">
        <v>44936</v>
      </c>
      <c r="Q556" s="18"/>
      <c r="R556" s="140">
        <v>1</v>
      </c>
      <c r="S556" s="140">
        <v>1</v>
      </c>
      <c r="T556" s="140">
        <v>0</v>
      </c>
      <c r="U556" s="20">
        <f>IF(ISBLANK(Table1[[#This Row],[OHC Date]]),$B$7-Table1[[#This Row],[HOC Date]]+1,Table1[[#This Row],[OHC Date]]-Table1[[#This Row],[HOC Date]]+1)/7</f>
        <v>2.2857142857142856</v>
      </c>
      <c r="V556" s="142">
        <v>63.34</v>
      </c>
      <c r="W556" s="142">
        <v>7.28</v>
      </c>
      <c r="X556" s="21">
        <f>ROUND(0.7*Table1[[#This Row],[E&amp;D Rate per unit]]*R556*Table1[[#This Row],[Quantity]],2)</f>
        <v>88.68</v>
      </c>
      <c r="Y556" s="21">
        <f t="shared" si="82"/>
        <v>33.28</v>
      </c>
      <c r="Z556" s="21">
        <f>ROUND(0.3*T556*Table1[[#This Row],[E&amp;D Rate per unit]]*Table1[[#This Row],[Quantity]],2)</f>
        <v>0</v>
      </c>
      <c r="AA556" s="21">
        <f t="shared" si="83"/>
        <v>121.96</v>
      </c>
      <c r="AB556" s="129"/>
      <c r="AC556" s="129">
        <f>Table1[[#This Row],[Total Amount]]-Table1[[#This Row],[Previous Amount]]</f>
        <v>121.96</v>
      </c>
      <c r="AD556" s="153"/>
    </row>
    <row r="557" spans="1:30" ht="30" customHeight="1" x14ac:dyDescent="0.3">
      <c r="A557" s="92" t="s">
        <v>89</v>
      </c>
      <c r="B557" s="92" t="s">
        <v>97</v>
      </c>
      <c r="C557" s="16">
        <v>186</v>
      </c>
      <c r="D557" s="187">
        <v>75771</v>
      </c>
      <c r="E557" s="187">
        <v>80891</v>
      </c>
      <c r="F557" s="17" t="s">
        <v>729</v>
      </c>
      <c r="G557" s="17" t="s">
        <v>200</v>
      </c>
      <c r="H557" s="102" t="s">
        <v>205</v>
      </c>
      <c r="I557" s="16">
        <v>1</v>
      </c>
      <c r="J557" s="187">
        <v>3.5</v>
      </c>
      <c r="K557" s="187">
        <v>1.3</v>
      </c>
      <c r="L557" s="187">
        <v>1</v>
      </c>
      <c r="M557" s="16">
        <v>1</v>
      </c>
      <c r="N557" s="93" t="s">
        <v>206</v>
      </c>
      <c r="O557" s="93">
        <f t="shared" si="75"/>
        <v>3.5</v>
      </c>
      <c r="P557" s="188">
        <v>44936</v>
      </c>
      <c r="Q557" s="188">
        <v>44945</v>
      </c>
      <c r="R557" s="140">
        <v>1</v>
      </c>
      <c r="S557" s="140">
        <v>1</v>
      </c>
      <c r="T557" s="140">
        <v>1</v>
      </c>
      <c r="U557" s="20">
        <f>IF(ISBLANK(Table1[[#This Row],[OHC Date]]),$B$7-Table1[[#This Row],[HOC Date]]+1,Table1[[#This Row],[OHC Date]]-Table1[[#This Row],[HOC Date]]+1)/7</f>
        <v>1.4285714285714286</v>
      </c>
      <c r="V557" s="142">
        <v>12.01</v>
      </c>
      <c r="W557" s="142">
        <v>0.49</v>
      </c>
      <c r="X557" s="21">
        <f>ROUND(0.7*Table1[[#This Row],[E&amp;D Rate per unit]]*R557*Table1[[#This Row],[Quantity]],2)</f>
        <v>29.42</v>
      </c>
      <c r="Y557" s="21">
        <f t="shared" si="82"/>
        <v>2.4500000000000002</v>
      </c>
      <c r="Z557" s="21">
        <f>ROUND(0.3*T557*Table1[[#This Row],[E&amp;D Rate per unit]]*Table1[[#This Row],[Quantity]],2)</f>
        <v>12.61</v>
      </c>
      <c r="AA557" s="21">
        <f t="shared" si="83"/>
        <v>44.48</v>
      </c>
      <c r="AB557" s="129"/>
      <c r="AC557" s="129">
        <f>Table1[[#This Row],[Total Amount]]-Table1[[#This Row],[Previous Amount]]</f>
        <v>44.48</v>
      </c>
      <c r="AD557" s="153"/>
    </row>
    <row r="558" spans="1:30" ht="30" customHeight="1" x14ac:dyDescent="0.3">
      <c r="A558" s="92" t="s">
        <v>89</v>
      </c>
      <c r="B558" s="92" t="s">
        <v>97</v>
      </c>
      <c r="C558" s="16" t="s">
        <v>731</v>
      </c>
      <c r="D558" s="187">
        <v>75772</v>
      </c>
      <c r="E558" s="16"/>
      <c r="F558" s="17" t="s">
        <v>238</v>
      </c>
      <c r="G558" s="17" t="s">
        <v>190</v>
      </c>
      <c r="H558" s="102" t="s">
        <v>127</v>
      </c>
      <c r="I558" s="16">
        <v>1</v>
      </c>
      <c r="J558" s="187">
        <v>2</v>
      </c>
      <c r="K558" s="187">
        <v>1.5</v>
      </c>
      <c r="L558" s="187">
        <v>1</v>
      </c>
      <c r="M558" s="16">
        <v>1</v>
      </c>
      <c r="N558" s="93" t="s">
        <v>160</v>
      </c>
      <c r="O558" s="93">
        <f t="shared" si="75"/>
        <v>3</v>
      </c>
      <c r="P558" s="188">
        <v>44936</v>
      </c>
      <c r="Q558" s="18"/>
      <c r="R558" s="140">
        <v>1</v>
      </c>
      <c r="S558" s="140">
        <v>1</v>
      </c>
      <c r="T558" s="140">
        <v>0</v>
      </c>
      <c r="U558" s="20">
        <f>IF(ISBLANK(Table1[[#This Row],[OHC Date]]),$B$7-Table1[[#This Row],[HOC Date]]+1,Table1[[#This Row],[OHC Date]]-Table1[[#This Row],[HOC Date]]+1)/7</f>
        <v>2.2857142857142856</v>
      </c>
      <c r="V558" s="142">
        <v>36.520000000000003</v>
      </c>
      <c r="W558" s="142">
        <v>2.94</v>
      </c>
      <c r="X558" s="21">
        <f>ROUND(0.7*Table1[[#This Row],[E&amp;D Rate per unit]]*R558*Table1[[#This Row],[Quantity]],2)</f>
        <v>76.69</v>
      </c>
      <c r="Y558" s="21">
        <f t="shared" si="82"/>
        <v>20.16</v>
      </c>
      <c r="Z558" s="21">
        <f>ROUND(0.3*T558*Table1[[#This Row],[E&amp;D Rate per unit]]*Table1[[#This Row],[Quantity]],2)</f>
        <v>0</v>
      </c>
      <c r="AA558" s="21">
        <f t="shared" si="83"/>
        <v>96.85</v>
      </c>
      <c r="AB558" s="129"/>
      <c r="AC558" s="129">
        <f>Table1[[#This Row],[Total Amount]]-Table1[[#This Row],[Previous Amount]]</f>
        <v>96.85</v>
      </c>
      <c r="AD558" s="153"/>
    </row>
    <row r="559" spans="1:30" ht="30" customHeight="1" x14ac:dyDescent="0.3">
      <c r="A559" s="92" t="s">
        <v>89</v>
      </c>
      <c r="B559" s="92" t="s">
        <v>97</v>
      </c>
      <c r="C559" s="16">
        <v>187</v>
      </c>
      <c r="D559" s="187">
        <v>75773</v>
      </c>
      <c r="E559" s="16"/>
      <c r="F559" s="17" t="s">
        <v>726</v>
      </c>
      <c r="G559" s="17" t="s">
        <v>226</v>
      </c>
      <c r="H559" s="102" t="s">
        <v>205</v>
      </c>
      <c r="I559" s="16">
        <v>1</v>
      </c>
      <c r="J559" s="187">
        <v>6.2</v>
      </c>
      <c r="K559" s="187">
        <v>1</v>
      </c>
      <c r="L559" s="187">
        <v>3</v>
      </c>
      <c r="M559" s="16">
        <v>1</v>
      </c>
      <c r="N559" s="93" t="s">
        <v>206</v>
      </c>
      <c r="O559" s="93">
        <f t="shared" ref="O559:O564" si="84">ROUND(IF(N559="m3",I559*J559*K559*L559,IF(N559="m2-LxH",I559*J559*L559,IF(N559="m2-LxW",I559*J559*K559,IF(N559="rm",I559*L559,IF(N559="lm",I559*J559,IF(N559="unit",I559,"NA")))))),2)</f>
        <v>18.600000000000001</v>
      </c>
      <c r="P559" s="188">
        <v>44937</v>
      </c>
      <c r="Q559" s="18"/>
      <c r="R559" s="140">
        <v>1</v>
      </c>
      <c r="S559" s="140">
        <v>1</v>
      </c>
      <c r="T559" s="140">
        <v>0</v>
      </c>
      <c r="U559" s="20">
        <f>IF(ISBLANK(Table1[[#This Row],[OHC Date]]),$B$7-Table1[[#This Row],[HOC Date]]+1,Table1[[#This Row],[OHC Date]]-Table1[[#This Row],[HOC Date]]+1)/7</f>
        <v>2.1428571428571428</v>
      </c>
      <c r="V559" s="142">
        <v>12.01</v>
      </c>
      <c r="W559" s="142">
        <v>0.49</v>
      </c>
      <c r="X559" s="21">
        <f>ROUND(0.7*Table1[[#This Row],[E&amp;D Rate per unit]]*R559*Table1[[#This Row],[Quantity]],2)</f>
        <v>156.37</v>
      </c>
      <c r="Y559" s="21">
        <f t="shared" ref="Y559:Y564" si="85">ROUND(O559*U559*W559*S559,2)</f>
        <v>19.53</v>
      </c>
      <c r="Z559" s="21">
        <f>ROUND(0.3*T559*Table1[[#This Row],[E&amp;D Rate per unit]]*Table1[[#This Row],[Quantity]],2)</f>
        <v>0</v>
      </c>
      <c r="AA559" s="21">
        <f t="shared" ref="AA559:AA564" si="86">ROUND(X559+Z559+Y559,2)</f>
        <v>175.9</v>
      </c>
      <c r="AB559" s="129"/>
      <c r="AC559" s="129">
        <f>Table1[[#This Row],[Total Amount]]-Table1[[#This Row],[Previous Amount]]</f>
        <v>175.9</v>
      </c>
      <c r="AD559" s="153"/>
    </row>
    <row r="560" spans="1:30" ht="30" customHeight="1" x14ac:dyDescent="0.3">
      <c r="A560" s="92" t="s">
        <v>89</v>
      </c>
      <c r="B560" s="92" t="s">
        <v>97</v>
      </c>
      <c r="C560" s="16" t="s">
        <v>766</v>
      </c>
      <c r="D560" s="187">
        <v>75773</v>
      </c>
      <c r="E560" s="16"/>
      <c r="F560" s="17" t="s">
        <v>726</v>
      </c>
      <c r="G560" s="17" t="s">
        <v>226</v>
      </c>
      <c r="H560" s="102" t="s">
        <v>127</v>
      </c>
      <c r="I560" s="16">
        <v>1</v>
      </c>
      <c r="J560" s="187">
        <v>6.2</v>
      </c>
      <c r="K560" s="190">
        <v>0.5</v>
      </c>
      <c r="L560" s="16"/>
      <c r="M560" s="16">
        <v>1</v>
      </c>
      <c r="N560" s="93" t="s">
        <v>160</v>
      </c>
      <c r="O560" s="93">
        <f t="shared" si="84"/>
        <v>3.1</v>
      </c>
      <c r="P560" s="188">
        <v>44937</v>
      </c>
      <c r="Q560" s="18"/>
      <c r="R560" s="140">
        <v>1</v>
      </c>
      <c r="S560" s="140">
        <v>1</v>
      </c>
      <c r="T560" s="140">
        <v>0</v>
      </c>
      <c r="U560" s="20">
        <f>IF(ISBLANK(Table1[[#This Row],[OHC Date]]),$B$7-Table1[[#This Row],[HOC Date]]+1,Table1[[#This Row],[OHC Date]]-Table1[[#This Row],[HOC Date]]+1)/7</f>
        <v>2.1428571428571428</v>
      </c>
      <c r="V560" s="142">
        <v>36.520000000000003</v>
      </c>
      <c r="W560" s="142">
        <v>2.94</v>
      </c>
      <c r="X560" s="21">
        <f>ROUND(0.7*Table1[[#This Row],[E&amp;D Rate per unit]]*R560*Table1[[#This Row],[Quantity]],2)</f>
        <v>79.25</v>
      </c>
      <c r="Y560" s="21">
        <f t="shared" si="85"/>
        <v>19.53</v>
      </c>
      <c r="Z560" s="21">
        <f>ROUND(0.3*T560*Table1[[#This Row],[E&amp;D Rate per unit]]*Table1[[#This Row],[Quantity]],2)</f>
        <v>0</v>
      </c>
      <c r="AA560" s="21">
        <f t="shared" si="86"/>
        <v>98.78</v>
      </c>
      <c r="AB560" s="129"/>
      <c r="AC560" s="129">
        <f>Table1[[#This Row],[Total Amount]]-Table1[[#This Row],[Previous Amount]]</f>
        <v>98.78</v>
      </c>
      <c r="AD560" s="153"/>
    </row>
    <row r="561" spans="1:30" ht="30" customHeight="1" x14ac:dyDescent="0.3">
      <c r="A561" s="92" t="s">
        <v>89</v>
      </c>
      <c r="B561" s="92" t="s">
        <v>97</v>
      </c>
      <c r="C561" s="16" t="s">
        <v>767</v>
      </c>
      <c r="D561" s="187">
        <v>75774</v>
      </c>
      <c r="E561" s="16"/>
      <c r="F561" s="17" t="s">
        <v>726</v>
      </c>
      <c r="G561" s="17" t="s">
        <v>226</v>
      </c>
      <c r="H561" s="151" t="s">
        <v>220</v>
      </c>
      <c r="I561" s="16">
        <v>1</v>
      </c>
      <c r="J561" s="187">
        <v>1.8</v>
      </c>
      <c r="K561" s="187">
        <v>1.3</v>
      </c>
      <c r="L561" s="187">
        <v>2</v>
      </c>
      <c r="M561" s="16">
        <v>1</v>
      </c>
      <c r="N561" s="93" t="s">
        <v>221</v>
      </c>
      <c r="O561" s="93">
        <f t="shared" si="84"/>
        <v>2</v>
      </c>
      <c r="P561" s="188">
        <v>44937</v>
      </c>
      <c r="Q561" s="18"/>
      <c r="R561" s="140">
        <v>1</v>
      </c>
      <c r="S561" s="140">
        <v>1</v>
      </c>
      <c r="T561" s="140">
        <v>0</v>
      </c>
      <c r="U561" s="20">
        <f>IF(ISBLANK(Table1[[#This Row],[OHC Date]]),$B$7-Table1[[#This Row],[HOC Date]]+1,Table1[[#This Row],[OHC Date]]-Table1[[#This Row],[HOC Date]]+1)/7</f>
        <v>2.1428571428571428</v>
      </c>
      <c r="V561" s="142">
        <v>63.34</v>
      </c>
      <c r="W561" s="142">
        <v>7.28</v>
      </c>
      <c r="X561" s="21">
        <f>ROUND(0.7*Table1[[#This Row],[E&amp;D Rate per unit]]*R561*Table1[[#This Row],[Quantity]],2)</f>
        <v>88.68</v>
      </c>
      <c r="Y561" s="21">
        <f t="shared" si="85"/>
        <v>31.2</v>
      </c>
      <c r="Z561" s="21">
        <f>ROUND(0.3*T561*Table1[[#This Row],[E&amp;D Rate per unit]]*Table1[[#This Row],[Quantity]],2)</f>
        <v>0</v>
      </c>
      <c r="AA561" s="21">
        <f t="shared" si="86"/>
        <v>119.88</v>
      </c>
      <c r="AB561" s="129"/>
      <c r="AC561" s="129">
        <f>Table1[[#This Row],[Total Amount]]-Table1[[#This Row],[Previous Amount]]</f>
        <v>119.88</v>
      </c>
      <c r="AD561" s="153"/>
    </row>
    <row r="562" spans="1:30" ht="30" customHeight="1" x14ac:dyDescent="0.3">
      <c r="A562" s="92" t="s">
        <v>89</v>
      </c>
      <c r="B562" s="92" t="s">
        <v>97</v>
      </c>
      <c r="C562" s="16">
        <v>188</v>
      </c>
      <c r="D562" s="187">
        <v>75775</v>
      </c>
      <c r="E562" s="16"/>
      <c r="F562" s="17" t="s">
        <v>709</v>
      </c>
      <c r="G562" s="17" t="s">
        <v>223</v>
      </c>
      <c r="H562" s="102" t="s">
        <v>205</v>
      </c>
      <c r="I562" s="16">
        <v>1</v>
      </c>
      <c r="J562" s="187">
        <v>12.5</v>
      </c>
      <c r="K562" s="187">
        <v>2.5</v>
      </c>
      <c r="L562" s="187">
        <v>2.5</v>
      </c>
      <c r="M562" s="16">
        <v>1</v>
      </c>
      <c r="N562" s="93" t="s">
        <v>206</v>
      </c>
      <c r="O562" s="93">
        <f t="shared" si="84"/>
        <v>31.25</v>
      </c>
      <c r="P562" s="188">
        <v>44937</v>
      </c>
      <c r="Q562" s="18"/>
      <c r="R562" s="140">
        <v>1</v>
      </c>
      <c r="S562" s="140">
        <v>1</v>
      </c>
      <c r="T562" s="140">
        <v>0</v>
      </c>
      <c r="U562" s="20">
        <f>IF(ISBLANK(Table1[[#This Row],[OHC Date]]),$B$7-Table1[[#This Row],[HOC Date]]+1,Table1[[#This Row],[OHC Date]]-Table1[[#This Row],[HOC Date]]+1)/7</f>
        <v>2.1428571428571428</v>
      </c>
      <c r="V562" s="142">
        <v>12.01</v>
      </c>
      <c r="W562" s="142">
        <v>0.49</v>
      </c>
      <c r="X562" s="21">
        <f>ROUND(0.7*Table1[[#This Row],[E&amp;D Rate per unit]]*R562*Table1[[#This Row],[Quantity]],2)</f>
        <v>262.72000000000003</v>
      </c>
      <c r="Y562" s="21">
        <f t="shared" si="85"/>
        <v>32.81</v>
      </c>
      <c r="Z562" s="21">
        <f>ROUND(0.3*T562*Table1[[#This Row],[E&amp;D Rate per unit]]*Table1[[#This Row],[Quantity]],2)</f>
        <v>0</v>
      </c>
      <c r="AA562" s="21">
        <f t="shared" si="86"/>
        <v>295.52999999999997</v>
      </c>
      <c r="AB562" s="129"/>
      <c r="AC562" s="129">
        <f>Table1[[#This Row],[Total Amount]]-Table1[[#This Row],[Previous Amount]]</f>
        <v>295.52999999999997</v>
      </c>
      <c r="AD562" s="153"/>
    </row>
    <row r="563" spans="1:30" ht="30" customHeight="1" x14ac:dyDescent="0.3">
      <c r="A563" s="92" t="s">
        <v>89</v>
      </c>
      <c r="B563" s="92" t="s">
        <v>97</v>
      </c>
      <c r="C563" s="16" t="s">
        <v>768</v>
      </c>
      <c r="D563" s="187">
        <v>75776</v>
      </c>
      <c r="E563" s="16"/>
      <c r="F563" s="17" t="s">
        <v>709</v>
      </c>
      <c r="G563" s="17" t="s">
        <v>223</v>
      </c>
      <c r="H563" s="102" t="s">
        <v>205</v>
      </c>
      <c r="I563" s="16">
        <v>1</v>
      </c>
      <c r="J563" s="187">
        <v>4</v>
      </c>
      <c r="K563" s="187">
        <v>1</v>
      </c>
      <c r="L563" s="187">
        <v>2.5</v>
      </c>
      <c r="M563" s="16">
        <v>1</v>
      </c>
      <c r="N563" s="93" t="s">
        <v>206</v>
      </c>
      <c r="O563" s="93">
        <f t="shared" si="84"/>
        <v>10</v>
      </c>
      <c r="P563" s="188">
        <v>44937</v>
      </c>
      <c r="Q563" s="18"/>
      <c r="R563" s="140">
        <v>1</v>
      </c>
      <c r="S563" s="140">
        <v>1</v>
      </c>
      <c r="T563" s="140">
        <v>0</v>
      </c>
      <c r="U563" s="20">
        <f>IF(ISBLANK(Table1[[#This Row],[OHC Date]]),$B$7-Table1[[#This Row],[HOC Date]]+1,Table1[[#This Row],[OHC Date]]-Table1[[#This Row],[HOC Date]]+1)/7</f>
        <v>2.1428571428571428</v>
      </c>
      <c r="V563" s="142">
        <v>12.01</v>
      </c>
      <c r="W563" s="142">
        <v>0.49</v>
      </c>
      <c r="X563" s="21">
        <f>ROUND(0.7*Table1[[#This Row],[E&amp;D Rate per unit]]*R563*Table1[[#This Row],[Quantity]],2)</f>
        <v>84.07</v>
      </c>
      <c r="Y563" s="21">
        <f t="shared" si="85"/>
        <v>10.5</v>
      </c>
      <c r="Z563" s="21">
        <f>ROUND(0.3*T563*Table1[[#This Row],[E&amp;D Rate per unit]]*Table1[[#This Row],[Quantity]],2)</f>
        <v>0</v>
      </c>
      <c r="AA563" s="21">
        <f t="shared" si="86"/>
        <v>94.57</v>
      </c>
      <c r="AB563" s="129"/>
      <c r="AC563" s="129">
        <f>Table1[[#This Row],[Total Amount]]-Table1[[#This Row],[Previous Amount]]</f>
        <v>94.57</v>
      </c>
      <c r="AD563" s="153"/>
    </row>
    <row r="564" spans="1:30" ht="30" customHeight="1" x14ac:dyDescent="0.3">
      <c r="A564" s="16" t="s">
        <v>771</v>
      </c>
      <c r="B564" s="92" t="s">
        <v>97</v>
      </c>
      <c r="C564" s="16" t="s">
        <v>826</v>
      </c>
      <c r="D564" s="187" t="s">
        <v>827</v>
      </c>
      <c r="E564" s="155" t="s">
        <v>856</v>
      </c>
      <c r="F564" s="17" t="s">
        <v>769</v>
      </c>
      <c r="G564" s="17" t="s">
        <v>547</v>
      </c>
      <c r="H564" s="148" t="s">
        <v>770</v>
      </c>
      <c r="I564" s="16">
        <v>1</v>
      </c>
      <c r="J564" s="16"/>
      <c r="K564" s="16"/>
      <c r="L564" s="16"/>
      <c r="M564" s="16"/>
      <c r="N564" s="93" t="s">
        <v>56</v>
      </c>
      <c r="O564" s="93">
        <f t="shared" si="84"/>
        <v>1</v>
      </c>
      <c r="P564" s="188">
        <v>44937</v>
      </c>
      <c r="Q564" s="188">
        <v>44949</v>
      </c>
      <c r="R564" s="140">
        <v>1</v>
      </c>
      <c r="S564" s="140">
        <v>1</v>
      </c>
      <c r="T564" s="140">
        <v>1</v>
      </c>
      <c r="U564" s="20">
        <f>IF(ISBLANK(Table1[[#This Row],[OHC Date]]),$B$7-Table1[[#This Row],[HOC Date]]+1,Table1[[#This Row],[OHC Date]]-Table1[[#This Row],[HOC Date]]+1)/7</f>
        <v>1.8571428571428572</v>
      </c>
      <c r="V564" s="142">
        <v>4657</v>
      </c>
      <c r="W564" s="142">
        <v>183.44</v>
      </c>
      <c r="X564" s="21">
        <f>ROUND(0.7*Table1[[#This Row],[E&amp;D Rate per unit]]*R564*Table1[[#This Row],[Quantity]],2)</f>
        <v>3259.9</v>
      </c>
      <c r="Y564" s="21">
        <f t="shared" si="85"/>
        <v>340.67</v>
      </c>
      <c r="Z564" s="21">
        <f>ROUND(0.3*T564*Table1[[#This Row],[E&amp;D Rate per unit]]*Table1[[#This Row],[Quantity]],2)</f>
        <v>1397.1</v>
      </c>
      <c r="AA564" s="21">
        <f t="shared" si="86"/>
        <v>4997.67</v>
      </c>
      <c r="AB564" s="129"/>
      <c r="AC564" s="129">
        <f>Table1[[#This Row],[Total Amount]]-Table1[[#This Row],[Previous Amount]]</f>
        <v>4997.67</v>
      </c>
      <c r="AD564" s="153" t="s">
        <v>824</v>
      </c>
    </row>
    <row r="565" spans="1:30" ht="30" customHeight="1" x14ac:dyDescent="0.3">
      <c r="A565" s="92" t="s">
        <v>89</v>
      </c>
      <c r="B565" s="92" t="s">
        <v>97</v>
      </c>
      <c r="C565" s="16">
        <v>189</v>
      </c>
      <c r="D565" s="190">
        <v>75777</v>
      </c>
      <c r="E565" s="155" t="s">
        <v>856</v>
      </c>
      <c r="F565" s="17" t="s">
        <v>769</v>
      </c>
      <c r="G565" s="17" t="s">
        <v>547</v>
      </c>
      <c r="H565" s="136" t="s">
        <v>420</v>
      </c>
      <c r="I565" s="16">
        <v>1</v>
      </c>
      <c r="J565" s="16">
        <v>5.5</v>
      </c>
      <c r="K565" s="16">
        <v>1</v>
      </c>
      <c r="L565" s="16">
        <v>1</v>
      </c>
      <c r="M565" s="16"/>
      <c r="N565" s="93" t="s">
        <v>206</v>
      </c>
      <c r="O565" s="93">
        <f t="shared" ref="O565" si="87">ROUND(IF(N565="m3",I565*J565*K565*L565,IF(N565="m2-LxH",I565*J565*L565,IF(N565="m2-LxW",I565*J565*K565,IF(N565="rm",I565*L565,IF(N565="lm",I565*J565,IF(N565="unit",I565,"NA")))))),2)</f>
        <v>5.5</v>
      </c>
      <c r="P565" s="18">
        <v>44937</v>
      </c>
      <c r="Q565" s="18"/>
      <c r="R565" s="140">
        <v>1</v>
      </c>
      <c r="S565" s="140">
        <v>1</v>
      </c>
      <c r="T565" s="140">
        <v>1</v>
      </c>
      <c r="U565" s="20">
        <f>IF(ISBLANK(Table1[[#This Row],[OHC Date]]),$B$7-Table1[[#This Row],[HOC Date]]+1,Table1[[#This Row],[OHC Date]]-Table1[[#This Row],[HOC Date]]+1)/7</f>
        <v>2.1428571428571428</v>
      </c>
      <c r="V565" s="142">
        <v>8.52</v>
      </c>
      <c r="W565" s="142">
        <v>0</v>
      </c>
      <c r="X565" s="21">
        <f>ROUND(0.7*Table1[[#This Row],[E&amp;D Rate per unit]]*R565*Table1[[#This Row],[Quantity]],2)</f>
        <v>32.799999999999997</v>
      </c>
      <c r="Y565" s="21">
        <f t="shared" ref="Y565" si="88">ROUND(O565*U565*W565*S565,2)</f>
        <v>0</v>
      </c>
      <c r="Z565" s="21">
        <f>ROUND(0.3*T565*Table1[[#This Row],[E&amp;D Rate per unit]]*Table1[[#This Row],[Quantity]],2)</f>
        <v>14.06</v>
      </c>
      <c r="AA565" s="21">
        <f t="shared" ref="AA565" si="89">ROUND(X565+Z565+Y565,2)</f>
        <v>46.86</v>
      </c>
      <c r="AB565" s="129"/>
      <c r="AC565" s="129">
        <f>Table1[[#This Row],[Total Amount]]-Table1[[#This Row],[Previous Amount]]</f>
        <v>46.86</v>
      </c>
      <c r="AD565" s="153"/>
    </row>
    <row r="566" spans="1:30" ht="30" customHeight="1" x14ac:dyDescent="0.3">
      <c r="A566" s="92" t="s">
        <v>89</v>
      </c>
      <c r="B566" s="92" t="s">
        <v>97</v>
      </c>
      <c r="C566" s="16">
        <v>191</v>
      </c>
      <c r="D566" s="187">
        <v>75779</v>
      </c>
      <c r="E566" s="16"/>
      <c r="F566" s="17" t="s">
        <v>772</v>
      </c>
      <c r="G566" s="17" t="s">
        <v>661</v>
      </c>
      <c r="H566" s="148" t="s">
        <v>220</v>
      </c>
      <c r="I566" s="16">
        <v>1</v>
      </c>
      <c r="J566" s="187">
        <v>2.5</v>
      </c>
      <c r="K566" s="187">
        <v>1.3</v>
      </c>
      <c r="L566" s="187">
        <v>2</v>
      </c>
      <c r="M566" s="16">
        <v>1</v>
      </c>
      <c r="N566" s="93" t="s">
        <v>221</v>
      </c>
      <c r="O566" s="93">
        <f t="shared" ref="O566" si="90">ROUND(IF(N566="m3",I566*J566*K566*L566,IF(N566="m2-LxH",I566*J566*L566,IF(N566="m2-LxW",I566*J566*K566,IF(N566="rm",I566*L566,IF(N566="lm",I566*J566,IF(N566="unit",I566,"NA")))))),2)</f>
        <v>2</v>
      </c>
      <c r="P566" s="188">
        <v>44938</v>
      </c>
      <c r="Q566" s="18"/>
      <c r="R566" s="140">
        <v>1</v>
      </c>
      <c r="S566" s="140">
        <v>1</v>
      </c>
      <c r="T566" s="140">
        <v>0</v>
      </c>
      <c r="U566" s="20">
        <f>IF(ISBLANK(Table1[[#This Row],[OHC Date]]),$B$7-Table1[[#This Row],[HOC Date]]+1,Table1[[#This Row],[OHC Date]]-Table1[[#This Row],[HOC Date]]+1)/7</f>
        <v>2</v>
      </c>
      <c r="V566" s="142">
        <v>63.34</v>
      </c>
      <c r="W566" s="142">
        <v>7.28</v>
      </c>
      <c r="X566" s="21">
        <f>ROUND(0.7*Table1[[#This Row],[E&amp;D Rate per unit]]*R566*Table1[[#This Row],[Quantity]],2)</f>
        <v>88.68</v>
      </c>
      <c r="Y566" s="21">
        <f t="shared" ref="Y566" si="91">ROUND(O566*U566*W566*S566,2)</f>
        <v>29.12</v>
      </c>
      <c r="Z566" s="21">
        <f>ROUND(0.3*T566*Table1[[#This Row],[E&amp;D Rate per unit]]*Table1[[#This Row],[Quantity]],2)</f>
        <v>0</v>
      </c>
      <c r="AA566" s="21">
        <f t="shared" ref="AA566" si="92">ROUND(X566+Z566+Y566,2)</f>
        <v>117.8</v>
      </c>
      <c r="AB566" s="129"/>
      <c r="AC566" s="129">
        <f>Table1[[#This Row],[Total Amount]]-Table1[[#This Row],[Previous Amount]]</f>
        <v>117.8</v>
      </c>
      <c r="AD566" s="153"/>
    </row>
    <row r="567" spans="1:30" ht="30" customHeight="1" x14ac:dyDescent="0.3">
      <c r="A567" s="92" t="s">
        <v>89</v>
      </c>
      <c r="B567" s="92" t="s">
        <v>97</v>
      </c>
      <c r="C567" s="16">
        <v>192</v>
      </c>
      <c r="D567" s="187">
        <v>75780</v>
      </c>
      <c r="E567" s="16"/>
      <c r="F567" s="17" t="s">
        <v>868</v>
      </c>
      <c r="G567" s="17" t="s">
        <v>254</v>
      </c>
      <c r="H567" s="151" t="s">
        <v>220</v>
      </c>
      <c r="I567" s="16">
        <v>1</v>
      </c>
      <c r="J567" s="187">
        <v>1.8</v>
      </c>
      <c r="K567" s="187">
        <v>1.3</v>
      </c>
      <c r="L567" s="187">
        <v>4.5</v>
      </c>
      <c r="M567" s="16">
        <v>1</v>
      </c>
      <c r="N567" s="93" t="s">
        <v>221</v>
      </c>
      <c r="O567" s="93">
        <f t="shared" ref="O567" si="93">ROUND(IF(N567="m3",I567*J567*K567*L567,IF(N567="m2-LxH",I567*J567*L567,IF(N567="m2-LxW",I567*J567*K567,IF(N567="rm",I567*L567,IF(N567="lm",I567*J567,IF(N567="unit",I567,"NA")))))),2)</f>
        <v>4.5</v>
      </c>
      <c r="P567" s="188">
        <v>44939</v>
      </c>
      <c r="Q567" s="18"/>
      <c r="R567" s="140">
        <v>1</v>
      </c>
      <c r="S567" s="140">
        <v>1</v>
      </c>
      <c r="T567" s="140">
        <v>0</v>
      </c>
      <c r="U567" s="20">
        <f>IF(ISBLANK(Table1[[#This Row],[OHC Date]]),$B$7-Table1[[#This Row],[HOC Date]]+1,Table1[[#This Row],[OHC Date]]-Table1[[#This Row],[HOC Date]]+1)/7</f>
        <v>1.8571428571428572</v>
      </c>
      <c r="V567" s="107">
        <v>63.34</v>
      </c>
      <c r="W567" s="107">
        <v>7.28</v>
      </c>
      <c r="X567" s="21">
        <f>ROUND(0.7*Table1[[#This Row],[E&amp;D Rate per unit]]*R567*Table1[[#This Row],[Quantity]],2)</f>
        <v>199.52</v>
      </c>
      <c r="Y567" s="21">
        <f t="shared" ref="Y567" si="94">ROUND(O567*U567*W567*S567,2)</f>
        <v>60.84</v>
      </c>
      <c r="Z567" s="21">
        <f>ROUND(0.3*T567*Table1[[#This Row],[E&amp;D Rate per unit]]*Table1[[#This Row],[Quantity]],2)</f>
        <v>0</v>
      </c>
      <c r="AA567" s="21">
        <f t="shared" ref="AA567" si="95">ROUND(X567+Z567+Y567,2)</f>
        <v>260.36</v>
      </c>
      <c r="AB567" s="129"/>
      <c r="AC567" s="129">
        <f>Table1[[#This Row],[Total Amount]]-Table1[[#This Row],[Previous Amount]]</f>
        <v>260.36</v>
      </c>
      <c r="AD567" s="153"/>
    </row>
    <row r="568" spans="1:30" ht="30" customHeight="1" x14ac:dyDescent="0.3">
      <c r="A568" s="92" t="s">
        <v>89</v>
      </c>
      <c r="B568" s="92" t="s">
        <v>97</v>
      </c>
      <c r="C568" s="16">
        <v>192</v>
      </c>
      <c r="D568" s="187">
        <v>75780</v>
      </c>
      <c r="E568" s="16"/>
      <c r="F568" s="17" t="s">
        <v>868</v>
      </c>
      <c r="G568" s="17" t="s">
        <v>254</v>
      </c>
      <c r="H568" s="148" t="s">
        <v>176</v>
      </c>
      <c r="I568" s="16">
        <v>1</v>
      </c>
      <c r="J568" s="187">
        <v>1.8</v>
      </c>
      <c r="K568" s="187">
        <v>1.3</v>
      </c>
      <c r="L568" s="187"/>
      <c r="M568" s="16">
        <v>1</v>
      </c>
      <c r="N568" s="93" t="s">
        <v>160</v>
      </c>
      <c r="O568" s="93">
        <f t="shared" ref="O568:O569" si="96">ROUND(IF(N568="m3",I568*J568*K568*L568,IF(N568="m2-LxH",I568*J568*L568,IF(N568="m2-LxW",I568*J568*K568,IF(N568="rm",I568*L568,IF(N568="lm",I568*J568,IF(N568="unit",I568,"NA")))))),2)</f>
        <v>2.34</v>
      </c>
      <c r="P568" s="188">
        <v>44939</v>
      </c>
      <c r="Q568" s="18"/>
      <c r="R568" s="140">
        <v>1</v>
      </c>
      <c r="S568" s="140">
        <v>1</v>
      </c>
      <c r="T568" s="140">
        <v>0</v>
      </c>
      <c r="U568" s="20">
        <f>IF(ISBLANK(Table1[[#This Row],[OHC Date]]),$B$7-Table1[[#This Row],[HOC Date]]+1,Table1[[#This Row],[OHC Date]]-Table1[[#This Row],[HOC Date]]+1)/7</f>
        <v>1.8571428571428572</v>
      </c>
      <c r="V568" s="107">
        <v>6.63</v>
      </c>
      <c r="W568" s="107">
        <v>0.7</v>
      </c>
      <c r="X568" s="21">
        <f>ROUND(0.7*Table1[[#This Row],[E&amp;D Rate per unit]]*R568*Table1[[#This Row],[Quantity]],2)</f>
        <v>10.86</v>
      </c>
      <c r="Y568" s="21">
        <f t="shared" ref="Y568:Y569" si="97">ROUND(O568*U568*W568*S568,2)</f>
        <v>3.04</v>
      </c>
      <c r="Z568" s="21">
        <f>ROUND(0.3*T568*Table1[[#This Row],[E&amp;D Rate per unit]]*Table1[[#This Row],[Quantity]],2)</f>
        <v>0</v>
      </c>
      <c r="AA568" s="21">
        <f t="shared" ref="AA568:AA569" si="98">ROUND(X568+Z568+Y568,2)</f>
        <v>13.9</v>
      </c>
      <c r="AB568" s="129"/>
      <c r="AC568" s="129">
        <f>Table1[[#This Row],[Total Amount]]-Table1[[#This Row],[Previous Amount]]</f>
        <v>13.9</v>
      </c>
      <c r="AD568" s="153"/>
    </row>
    <row r="569" spans="1:30" ht="30" customHeight="1" x14ac:dyDescent="0.3">
      <c r="A569" s="16" t="s">
        <v>771</v>
      </c>
      <c r="B569" s="92" t="s">
        <v>97</v>
      </c>
      <c r="C569" s="151" t="s">
        <v>825</v>
      </c>
      <c r="D569" s="190">
        <v>75781</v>
      </c>
      <c r="E569" s="16"/>
      <c r="F569" s="17" t="s">
        <v>769</v>
      </c>
      <c r="G569" s="17" t="s">
        <v>241</v>
      </c>
      <c r="H569" s="151" t="s">
        <v>770</v>
      </c>
      <c r="I569" s="16">
        <v>1</v>
      </c>
      <c r="J569" s="16"/>
      <c r="K569" s="16"/>
      <c r="L569" s="16"/>
      <c r="M569" s="16">
        <v>1</v>
      </c>
      <c r="N569" s="93" t="s">
        <v>56</v>
      </c>
      <c r="O569" s="93">
        <f t="shared" si="96"/>
        <v>1</v>
      </c>
      <c r="P569" s="188">
        <v>44939</v>
      </c>
      <c r="Q569" s="18"/>
      <c r="R569" s="140">
        <v>0.5</v>
      </c>
      <c r="S569" s="140">
        <v>0.5</v>
      </c>
      <c r="T569" s="140">
        <v>0</v>
      </c>
      <c r="U569" s="20">
        <f>IF(ISBLANK(Table1[[#This Row],[OHC Date]]),$B$7-Table1[[#This Row],[HOC Date]]+1,Table1[[#This Row],[OHC Date]]-Table1[[#This Row],[HOC Date]]+1)/7</f>
        <v>1.8571428571428572</v>
      </c>
      <c r="V569" s="142">
        <v>4657</v>
      </c>
      <c r="W569" s="142">
        <v>183.44</v>
      </c>
      <c r="X569" s="21">
        <f>ROUND(0.7*Table1[[#This Row],[E&amp;D Rate per unit]]*R569*Table1[[#This Row],[Quantity]],2)</f>
        <v>1629.95</v>
      </c>
      <c r="Y569" s="21">
        <f t="shared" si="97"/>
        <v>170.34</v>
      </c>
      <c r="Z569" s="21">
        <f>ROUND(0.3*T569*Table1[[#This Row],[E&amp;D Rate per unit]]*Table1[[#This Row],[Quantity]],2)</f>
        <v>0</v>
      </c>
      <c r="AA569" s="21">
        <f t="shared" si="98"/>
        <v>1800.29</v>
      </c>
      <c r="AB569" s="129"/>
      <c r="AC569" s="129">
        <f>Table1[[#This Row],[Total Amount]]-Table1[[#This Row],[Previous Amount]]</f>
        <v>1800.29</v>
      </c>
      <c r="AD569" s="153" t="s">
        <v>824</v>
      </c>
    </row>
    <row r="570" spans="1:30" ht="30" customHeight="1" x14ac:dyDescent="0.3">
      <c r="A570" s="92" t="s">
        <v>89</v>
      </c>
      <c r="B570" s="92" t="s">
        <v>97</v>
      </c>
      <c r="C570" s="16">
        <v>194</v>
      </c>
      <c r="D570" s="187">
        <v>75782</v>
      </c>
      <c r="E570" s="16"/>
      <c r="F570" s="17" t="s">
        <v>772</v>
      </c>
      <c r="G570" s="17" t="s">
        <v>209</v>
      </c>
      <c r="H570" s="148" t="s">
        <v>123</v>
      </c>
      <c r="I570" s="16">
        <v>1</v>
      </c>
      <c r="J570" s="187">
        <v>1.3</v>
      </c>
      <c r="K570" s="187">
        <v>1.3</v>
      </c>
      <c r="L570" s="187">
        <v>1.5</v>
      </c>
      <c r="M570" s="16"/>
      <c r="N570" s="93" t="s">
        <v>224</v>
      </c>
      <c r="O570" s="93">
        <f t="shared" ref="O570" si="99">ROUND(IF(N570="m3",I570*J570*K570*L570,IF(N570="m2-LxH",I570*J570*L570,IF(N570="m2-LxW",I570*J570*K570,IF(N570="rm",I570*L570,IF(N570="lm",I570*J570,IF(N570="unit",I570,"NA")))))),2)</f>
        <v>2.54</v>
      </c>
      <c r="P570" s="188">
        <v>44939</v>
      </c>
      <c r="Q570" s="18"/>
      <c r="R570" s="140">
        <v>1</v>
      </c>
      <c r="S570" s="140">
        <v>1</v>
      </c>
      <c r="T570" s="140">
        <v>0</v>
      </c>
      <c r="U570" s="20">
        <f>IF(ISBLANK(Table1[[#This Row],[OHC Date]]),$B$7-Table1[[#This Row],[HOC Date]]+1,Table1[[#This Row],[OHC Date]]-Table1[[#This Row],[HOC Date]]+1)/7</f>
        <v>1.8571428571428572</v>
      </c>
      <c r="V570" s="142">
        <v>5.29</v>
      </c>
      <c r="W570" s="142">
        <v>0.35</v>
      </c>
      <c r="X570" s="21">
        <f>ROUND(0.7*Table1[[#This Row],[E&amp;D Rate per unit]]*R570*Table1[[#This Row],[Quantity]],2)</f>
        <v>9.41</v>
      </c>
      <c r="Y570" s="21">
        <f t="shared" ref="Y570" si="100">ROUND(O570*U570*W570*S570,2)</f>
        <v>1.65</v>
      </c>
      <c r="Z570" s="21">
        <f>ROUND(0.3*T570*Table1[[#This Row],[E&amp;D Rate per unit]]*Table1[[#This Row],[Quantity]],2)</f>
        <v>0</v>
      </c>
      <c r="AA570" s="21">
        <f t="shared" ref="AA570" si="101">ROUND(X570+Z570+Y570,2)</f>
        <v>11.06</v>
      </c>
      <c r="AB570" s="129"/>
      <c r="AC570" s="129">
        <f>Table1[[#This Row],[Total Amount]]-Table1[[#This Row],[Previous Amount]]</f>
        <v>11.06</v>
      </c>
      <c r="AD570" s="153"/>
    </row>
    <row r="571" spans="1:30" ht="30" customHeight="1" x14ac:dyDescent="0.3">
      <c r="A571" s="92" t="s">
        <v>89</v>
      </c>
      <c r="B571" s="92" t="s">
        <v>97</v>
      </c>
      <c r="C571" s="16" t="s">
        <v>796</v>
      </c>
      <c r="D571" s="187">
        <v>75782</v>
      </c>
      <c r="E571" s="16"/>
      <c r="F571" s="17" t="s">
        <v>772</v>
      </c>
      <c r="G571" s="17" t="s">
        <v>209</v>
      </c>
      <c r="H571" s="102" t="s">
        <v>339</v>
      </c>
      <c r="I571" s="16">
        <v>1</v>
      </c>
      <c r="J571" s="187">
        <v>1.5</v>
      </c>
      <c r="K571" s="187"/>
      <c r="L571" s="187">
        <v>1.5</v>
      </c>
      <c r="M571" s="16"/>
      <c r="N571" s="93" t="s">
        <v>283</v>
      </c>
      <c r="O571" s="93">
        <f t="shared" ref="O571" si="102">ROUND(IF(N571="m3",I571*J571*K571*L571,IF(N571="m2-LxH",I571*J571*L571,IF(N571="m2-LxW",I571*J571*K571,IF(N571="rm",I571*L571,IF(N571="lm",I571*J571,IF(N571="unit",I571,"NA")))))),2)</f>
        <v>1.5</v>
      </c>
      <c r="P571" s="188">
        <v>44939</v>
      </c>
      <c r="Q571" s="18"/>
      <c r="R571" s="140">
        <v>1</v>
      </c>
      <c r="S571" s="140">
        <v>1</v>
      </c>
      <c r="T571" s="140">
        <v>0</v>
      </c>
      <c r="U571" s="20">
        <f>IF(ISBLANK(Table1[[#This Row],[OHC Date]]),$B$7-Table1[[#This Row],[HOC Date]]+1,Table1[[#This Row],[OHC Date]]-Table1[[#This Row],[HOC Date]]+1)/7</f>
        <v>1.8571428571428572</v>
      </c>
      <c r="V571" s="107">
        <v>15</v>
      </c>
      <c r="W571" s="107">
        <v>0.91</v>
      </c>
      <c r="X571" s="21">
        <f>ROUND(0.7*Table1[[#This Row],[E&amp;D Rate per unit]]*R571*Table1[[#This Row],[Quantity]],2)</f>
        <v>15.75</v>
      </c>
      <c r="Y571" s="21">
        <f t="shared" ref="Y571" si="103">ROUND(O571*U571*W571*S571,2)</f>
        <v>2.54</v>
      </c>
      <c r="Z571" s="21">
        <f>ROUND(0.3*T571*Table1[[#This Row],[E&amp;D Rate per unit]]*Table1[[#This Row],[Quantity]],2)</f>
        <v>0</v>
      </c>
      <c r="AA571" s="21">
        <f t="shared" ref="AA571" si="104">ROUND(X571+Z571+Y571,2)</f>
        <v>18.29</v>
      </c>
      <c r="AB571" s="129"/>
      <c r="AC571" s="129">
        <f>Table1[[#This Row],[Total Amount]]-Table1[[#This Row],[Previous Amount]]</f>
        <v>18.29</v>
      </c>
      <c r="AD571" s="153"/>
    </row>
    <row r="572" spans="1:30" ht="30" customHeight="1" x14ac:dyDescent="0.3">
      <c r="A572" s="92" t="s">
        <v>89</v>
      </c>
      <c r="B572" s="92" t="s">
        <v>97</v>
      </c>
      <c r="C572" s="16">
        <v>195</v>
      </c>
      <c r="D572" s="187">
        <v>75783</v>
      </c>
      <c r="E572" s="16"/>
      <c r="F572" s="17" t="s">
        <v>773</v>
      </c>
      <c r="G572" s="17" t="s">
        <v>223</v>
      </c>
      <c r="H572" s="148" t="s">
        <v>119</v>
      </c>
      <c r="I572" s="16">
        <v>1</v>
      </c>
      <c r="J572" s="187">
        <v>15</v>
      </c>
      <c r="K572" s="187">
        <v>5</v>
      </c>
      <c r="L572" s="187">
        <v>2.5</v>
      </c>
      <c r="M572" s="16">
        <v>1</v>
      </c>
      <c r="N572" s="93" t="s">
        <v>224</v>
      </c>
      <c r="O572" s="93">
        <f t="shared" ref="O572" si="105">ROUND(IF(N572="m3",I572*J572*K572*L572,IF(N572="m2-LxH",I572*J572*L572,IF(N572="m2-LxW",I572*J572*K572,IF(N572="rm",I572*L572,IF(N572="lm",I572*J572,IF(N572="unit",I572,"NA")))))),2)</f>
        <v>187.5</v>
      </c>
      <c r="P572" s="188">
        <v>44939</v>
      </c>
      <c r="Q572" s="18"/>
      <c r="R572" s="140">
        <v>1</v>
      </c>
      <c r="S572" s="140">
        <v>1</v>
      </c>
      <c r="T572" s="140">
        <v>0</v>
      </c>
      <c r="U572" s="20">
        <f>IF(ISBLANK(Table1[[#This Row],[OHC Date]]),$B$7-Table1[[#This Row],[HOC Date]]+1,Table1[[#This Row],[OHC Date]]-Table1[[#This Row],[HOC Date]]+1)/7</f>
        <v>1.8571428571428572</v>
      </c>
      <c r="V572" s="142">
        <v>7.08</v>
      </c>
      <c r="W572" s="142">
        <v>0.49</v>
      </c>
      <c r="X572" s="21">
        <f>ROUND(0.7*Table1[[#This Row],[E&amp;D Rate per unit]]*R572*Table1[[#This Row],[Quantity]],2)</f>
        <v>929.25</v>
      </c>
      <c r="Y572" s="21">
        <f t="shared" ref="Y572" si="106">ROUND(O572*U572*W572*S572,2)</f>
        <v>170.63</v>
      </c>
      <c r="Z572" s="21">
        <f>ROUND(0.3*T572*Table1[[#This Row],[E&amp;D Rate per unit]]*Table1[[#This Row],[Quantity]],2)</f>
        <v>0</v>
      </c>
      <c r="AA572" s="21">
        <f t="shared" ref="AA572" si="107">ROUND(X572+Z572+Y572,2)</f>
        <v>1099.8800000000001</v>
      </c>
      <c r="AB572" s="129"/>
      <c r="AC572" s="129">
        <f>Table1[[#This Row],[Total Amount]]-Table1[[#This Row],[Previous Amount]]</f>
        <v>1099.8800000000001</v>
      </c>
      <c r="AD572" s="153"/>
    </row>
    <row r="573" spans="1:30" ht="30" customHeight="1" x14ac:dyDescent="0.3">
      <c r="A573" s="92" t="s">
        <v>89</v>
      </c>
      <c r="B573" s="92" t="s">
        <v>97</v>
      </c>
      <c r="C573" s="16" t="s">
        <v>774</v>
      </c>
      <c r="D573" s="187">
        <v>75784</v>
      </c>
      <c r="E573" s="16"/>
      <c r="F573" s="17" t="s">
        <v>773</v>
      </c>
      <c r="G573" s="17" t="s">
        <v>223</v>
      </c>
      <c r="H573" s="102" t="s">
        <v>205</v>
      </c>
      <c r="I573" s="16">
        <v>1</v>
      </c>
      <c r="J573" s="187">
        <v>6.1</v>
      </c>
      <c r="K573" s="187">
        <v>1.3</v>
      </c>
      <c r="L573" s="187">
        <v>2.5</v>
      </c>
      <c r="M573" s="16">
        <v>1</v>
      </c>
      <c r="N573" s="93" t="s">
        <v>206</v>
      </c>
      <c r="O573" s="93">
        <f t="shared" ref="O573" si="108">ROUND(IF(N573="m3",I573*J573*K573*L573,IF(N573="m2-LxH",I573*J573*L573,IF(N573="m2-LxW",I573*J573*K573,IF(N573="rm",I573*L573,IF(N573="lm",I573*J573,IF(N573="unit",I573,"NA")))))),2)</f>
        <v>15.25</v>
      </c>
      <c r="P573" s="188">
        <v>44939</v>
      </c>
      <c r="Q573" s="18"/>
      <c r="R573" s="140">
        <v>1</v>
      </c>
      <c r="S573" s="140">
        <v>1</v>
      </c>
      <c r="T573" s="140">
        <v>0</v>
      </c>
      <c r="U573" s="20">
        <f>IF(ISBLANK(Table1[[#This Row],[OHC Date]]),$B$7-Table1[[#This Row],[HOC Date]]+1,Table1[[#This Row],[OHC Date]]-Table1[[#This Row],[HOC Date]]+1)/7</f>
        <v>1.8571428571428572</v>
      </c>
      <c r="V573" s="142">
        <v>12.01</v>
      </c>
      <c r="W573" s="142">
        <v>0.49</v>
      </c>
      <c r="X573" s="21">
        <f>ROUND(0.7*Table1[[#This Row],[E&amp;D Rate per unit]]*R573*Table1[[#This Row],[Quantity]],2)</f>
        <v>128.21</v>
      </c>
      <c r="Y573" s="21">
        <f t="shared" ref="Y573" si="109">ROUND(O573*U573*W573*S573,2)</f>
        <v>13.88</v>
      </c>
      <c r="Z573" s="21">
        <f>ROUND(0.3*T573*Table1[[#This Row],[E&amp;D Rate per unit]]*Table1[[#This Row],[Quantity]],2)</f>
        <v>0</v>
      </c>
      <c r="AA573" s="21">
        <f t="shared" ref="AA573" si="110">ROUND(X573+Z573+Y573,2)</f>
        <v>142.09</v>
      </c>
      <c r="AB573" s="129"/>
      <c r="AC573" s="129">
        <f>Table1[[#This Row],[Total Amount]]-Table1[[#This Row],[Previous Amount]]</f>
        <v>142.09</v>
      </c>
      <c r="AD573" s="153"/>
    </row>
    <row r="574" spans="1:30" ht="30" customHeight="1" x14ac:dyDescent="0.3">
      <c r="A574" s="92" t="s">
        <v>89</v>
      </c>
      <c r="B574" s="92" t="s">
        <v>97</v>
      </c>
      <c r="C574" s="16" t="s">
        <v>775</v>
      </c>
      <c r="D574" s="187">
        <v>75785</v>
      </c>
      <c r="E574" s="16"/>
      <c r="F574" s="17" t="s">
        <v>773</v>
      </c>
      <c r="G574" s="17" t="s">
        <v>223</v>
      </c>
      <c r="H574" s="148" t="s">
        <v>119</v>
      </c>
      <c r="I574" s="16">
        <v>1</v>
      </c>
      <c r="J574" s="187">
        <v>4.3</v>
      </c>
      <c r="K574" s="187">
        <v>3.6</v>
      </c>
      <c r="L574" s="187">
        <v>2.5</v>
      </c>
      <c r="M574" s="16">
        <v>1</v>
      </c>
      <c r="N574" s="93" t="s">
        <v>224</v>
      </c>
      <c r="O574" s="93">
        <f t="shared" ref="O574" si="111">ROUND(IF(N574="m3",I574*J574*K574*L574,IF(N574="m2-LxH",I574*J574*L574,IF(N574="m2-LxW",I574*J574*K574,IF(N574="rm",I574*L574,IF(N574="lm",I574*J574,IF(N574="unit",I574,"NA")))))),2)</f>
        <v>38.700000000000003</v>
      </c>
      <c r="P574" s="188">
        <v>44939</v>
      </c>
      <c r="Q574" s="18"/>
      <c r="R574" s="140">
        <v>1</v>
      </c>
      <c r="S574" s="140">
        <v>1</v>
      </c>
      <c r="T574" s="140">
        <v>0</v>
      </c>
      <c r="U574" s="20">
        <f>IF(ISBLANK(Table1[[#This Row],[OHC Date]]),$B$7-Table1[[#This Row],[HOC Date]]+1,Table1[[#This Row],[OHC Date]]-Table1[[#This Row],[HOC Date]]+1)/7</f>
        <v>1.8571428571428572</v>
      </c>
      <c r="V574" s="142">
        <v>7.08</v>
      </c>
      <c r="W574" s="142">
        <v>0.49</v>
      </c>
      <c r="X574" s="21">
        <f>ROUND(0.7*Table1[[#This Row],[E&amp;D Rate per unit]]*R574*Table1[[#This Row],[Quantity]],2)</f>
        <v>191.8</v>
      </c>
      <c r="Y574" s="21">
        <f t="shared" ref="Y574" si="112">ROUND(O574*U574*W574*S574,2)</f>
        <v>35.22</v>
      </c>
      <c r="Z574" s="21">
        <f>ROUND(0.3*T574*Table1[[#This Row],[E&amp;D Rate per unit]]*Table1[[#This Row],[Quantity]],2)</f>
        <v>0</v>
      </c>
      <c r="AA574" s="21">
        <f t="shared" ref="AA574" si="113">ROUND(X574+Z574+Y574,2)</f>
        <v>227.02</v>
      </c>
      <c r="AB574" s="129"/>
      <c r="AC574" s="129">
        <f>Table1[[#This Row],[Total Amount]]-Table1[[#This Row],[Previous Amount]]</f>
        <v>227.02</v>
      </c>
      <c r="AD574" s="153"/>
    </row>
    <row r="575" spans="1:30" ht="30" customHeight="1" x14ac:dyDescent="0.3">
      <c r="A575" s="92" t="s">
        <v>89</v>
      </c>
      <c r="B575" s="92" t="s">
        <v>97</v>
      </c>
      <c r="C575" s="16" t="s">
        <v>776</v>
      </c>
      <c r="D575" s="187">
        <v>75786</v>
      </c>
      <c r="E575" s="16"/>
      <c r="F575" s="17" t="s">
        <v>773</v>
      </c>
      <c r="G575" s="17" t="s">
        <v>223</v>
      </c>
      <c r="H575" s="151" t="s">
        <v>220</v>
      </c>
      <c r="I575" s="16">
        <v>1</v>
      </c>
      <c r="J575" s="187">
        <v>2.5</v>
      </c>
      <c r="K575" s="187">
        <v>2.5</v>
      </c>
      <c r="L575" s="187">
        <v>3</v>
      </c>
      <c r="M575" s="16">
        <v>1</v>
      </c>
      <c r="N575" s="93" t="s">
        <v>221</v>
      </c>
      <c r="O575" s="93">
        <f t="shared" ref="O575" si="114">ROUND(IF(N575="m3",I575*J575*K575*L575,IF(N575="m2-LxH",I575*J575*L575,IF(N575="m2-LxW",I575*J575*K575,IF(N575="rm",I575*L575,IF(N575="lm",I575*J575,IF(N575="unit",I575,"NA")))))),2)</f>
        <v>3</v>
      </c>
      <c r="P575" s="188">
        <v>44939</v>
      </c>
      <c r="Q575" s="18"/>
      <c r="R575" s="140">
        <v>1</v>
      </c>
      <c r="S575" s="140">
        <v>1</v>
      </c>
      <c r="T575" s="140">
        <v>0</v>
      </c>
      <c r="U575" s="20">
        <f>IF(ISBLANK(Table1[[#This Row],[OHC Date]]),$B$7-Table1[[#This Row],[HOC Date]]+1,Table1[[#This Row],[OHC Date]]-Table1[[#This Row],[HOC Date]]+1)/7</f>
        <v>1.8571428571428572</v>
      </c>
      <c r="V575" s="142">
        <v>63.34</v>
      </c>
      <c r="W575" s="142">
        <v>7.28</v>
      </c>
      <c r="X575" s="21">
        <f>ROUND(0.7*Table1[[#This Row],[E&amp;D Rate per unit]]*R575*Table1[[#This Row],[Quantity]],2)</f>
        <v>133.01</v>
      </c>
      <c r="Y575" s="21">
        <f t="shared" ref="Y575" si="115">ROUND(O575*U575*W575*S575,2)</f>
        <v>40.56</v>
      </c>
      <c r="Z575" s="21">
        <f>ROUND(0.3*T575*Table1[[#This Row],[E&amp;D Rate per unit]]*Table1[[#This Row],[Quantity]],2)</f>
        <v>0</v>
      </c>
      <c r="AA575" s="21">
        <f t="shared" ref="AA575" si="116">ROUND(X575+Z575+Y575,2)</f>
        <v>173.57</v>
      </c>
      <c r="AB575" s="129"/>
      <c r="AC575" s="129">
        <f>Table1[[#This Row],[Total Amount]]-Table1[[#This Row],[Previous Amount]]</f>
        <v>173.57</v>
      </c>
      <c r="AD575" s="153"/>
    </row>
    <row r="576" spans="1:30" ht="30" customHeight="1" x14ac:dyDescent="0.3">
      <c r="A576" s="92" t="s">
        <v>89</v>
      </c>
      <c r="B576" s="92" t="s">
        <v>97</v>
      </c>
      <c r="C576" s="16" t="s">
        <v>776</v>
      </c>
      <c r="D576" s="190">
        <v>75786</v>
      </c>
      <c r="E576" s="16"/>
      <c r="F576" s="17" t="s">
        <v>773</v>
      </c>
      <c r="G576" s="17" t="s">
        <v>223</v>
      </c>
      <c r="H576" s="148" t="s">
        <v>220</v>
      </c>
      <c r="I576" s="16">
        <v>1</v>
      </c>
      <c r="J576" s="16">
        <v>2.5</v>
      </c>
      <c r="K576" s="16">
        <v>2.5</v>
      </c>
      <c r="L576" s="16">
        <v>3</v>
      </c>
      <c r="M576" s="16">
        <v>1</v>
      </c>
      <c r="N576" s="93" t="s">
        <v>221</v>
      </c>
      <c r="O576" s="93">
        <f t="shared" ref="O576:O581" si="117">ROUND(IF(N576="m3",I576*J576*K576*L576,IF(N576="m2-LxH",I576*J576*L576,IF(N576="m2-LxW",I576*J576*K576,IF(N576="rm",I576*L576,IF(N576="lm",I576*J576,IF(N576="unit",I576,"NA")))))),2)</f>
        <v>3</v>
      </c>
      <c r="P576" s="191">
        <v>44939</v>
      </c>
      <c r="Q576" s="18"/>
      <c r="R576" s="140">
        <v>1</v>
      </c>
      <c r="S576" s="140">
        <v>1</v>
      </c>
      <c r="T576" s="140">
        <v>0</v>
      </c>
      <c r="U576" s="20">
        <f>IF(ISBLANK(Table1[[#This Row],[OHC Date]]),$B$7-Table1[[#This Row],[HOC Date]]+1,Table1[[#This Row],[OHC Date]]-Table1[[#This Row],[HOC Date]]+1)/7</f>
        <v>1.8571428571428572</v>
      </c>
      <c r="V576" s="142">
        <v>63.34</v>
      </c>
      <c r="W576" s="142">
        <v>7.28</v>
      </c>
      <c r="X576" s="21">
        <f>ROUND(0.7*Table1[[#This Row],[E&amp;D Rate per unit]]*R576*Table1[[#This Row],[Quantity]],2)</f>
        <v>133.01</v>
      </c>
      <c r="Y576" s="21">
        <f t="shared" ref="Y576:Y581" si="118">ROUND(O576*U576*W576*S576,2)</f>
        <v>40.56</v>
      </c>
      <c r="Z576" s="21">
        <f>ROUND(0.3*T576*Table1[[#This Row],[E&amp;D Rate per unit]]*Table1[[#This Row],[Quantity]],2)</f>
        <v>0</v>
      </c>
      <c r="AA576" s="21">
        <f t="shared" ref="AA576:AA581" si="119">ROUND(X576+Z576+Y576,2)</f>
        <v>173.57</v>
      </c>
      <c r="AB576" s="129"/>
      <c r="AC576" s="129">
        <f>Table1[[#This Row],[Total Amount]]-Table1[[#This Row],[Previous Amount]]</f>
        <v>173.57</v>
      </c>
      <c r="AD576" s="153"/>
    </row>
    <row r="577" spans="1:30" ht="30" customHeight="1" x14ac:dyDescent="0.3">
      <c r="A577" s="145" t="s">
        <v>550</v>
      </c>
      <c r="B577" s="92" t="s">
        <v>97</v>
      </c>
      <c r="C577" s="16" t="s">
        <v>797</v>
      </c>
      <c r="D577" s="187">
        <v>75787</v>
      </c>
      <c r="E577" s="16"/>
      <c r="F577" s="17" t="s">
        <v>552</v>
      </c>
      <c r="G577" s="17" t="s">
        <v>439</v>
      </c>
      <c r="H577" s="151" t="s">
        <v>553</v>
      </c>
      <c r="I577" s="16">
        <v>1</v>
      </c>
      <c r="J577" s="187">
        <v>4.3</v>
      </c>
      <c r="K577" s="187">
        <v>1</v>
      </c>
      <c r="L577" s="187">
        <v>1</v>
      </c>
      <c r="M577" s="16">
        <v>1</v>
      </c>
      <c r="N577" s="93" t="s">
        <v>56</v>
      </c>
      <c r="O577" s="93">
        <f t="shared" ref="O577:O578" si="120">ROUND(IF(N577="m3",I577*J577*K577*L577,IF(N577="m2-LxH",I577*J577*L577,IF(N577="m2-LxW",I577*J577*K577,IF(N577="rm",I577*L577,IF(N577="lm",I577*J577,IF(N577="unit",I577,"NA")))))),2)</f>
        <v>1</v>
      </c>
      <c r="P577" s="188">
        <v>44940</v>
      </c>
      <c r="Q577" s="18"/>
      <c r="R577" s="140">
        <v>1</v>
      </c>
      <c r="S577" s="140">
        <v>1</v>
      </c>
      <c r="T577" s="140">
        <v>0</v>
      </c>
      <c r="U577" s="20">
        <f>IF(ISBLANK(Table1[[#This Row],[OHC Date]]),$B$7-Table1[[#This Row],[HOC Date]]+1,Table1[[#This Row],[OHC Date]]-Table1[[#This Row],[HOC Date]]+1)/7</f>
        <v>1.7142857142857142</v>
      </c>
      <c r="V577" s="142">
        <v>1772.5845217391307</v>
      </c>
      <c r="W577" s="142">
        <v>52.192000000000007</v>
      </c>
      <c r="X577" s="21">
        <f>ROUND(0.7*Table1[[#This Row],[E&amp;D Rate per unit]]*R577*Table1[[#This Row],[Quantity]],2)</f>
        <v>1240.81</v>
      </c>
      <c r="Y577" s="21">
        <f t="shared" ref="Y577:Y578" si="121">ROUND(O577*U577*W577*S577,2)</f>
        <v>89.47</v>
      </c>
      <c r="Z577" s="21">
        <f>ROUND(0.3*T577*Table1[[#This Row],[E&amp;D Rate per unit]]*Table1[[#This Row],[Quantity]],2)</f>
        <v>0</v>
      </c>
      <c r="AA577" s="21">
        <f t="shared" ref="AA577:AA578" si="122">ROUND(X577+Z577+Y577,2)</f>
        <v>1330.28</v>
      </c>
      <c r="AB577" s="129"/>
      <c r="AC577" s="129">
        <f>Table1[[#This Row],[Total Amount]]-Table1[[#This Row],[Previous Amount]]</f>
        <v>1330.28</v>
      </c>
      <c r="AD577" s="132" t="s">
        <v>557</v>
      </c>
    </row>
    <row r="578" spans="1:30" ht="30" customHeight="1" x14ac:dyDescent="0.3">
      <c r="A578" s="92" t="s">
        <v>89</v>
      </c>
      <c r="B578" s="92" t="s">
        <v>97</v>
      </c>
      <c r="C578" s="16">
        <v>197</v>
      </c>
      <c r="D578" s="187">
        <v>75788</v>
      </c>
      <c r="E578" s="16"/>
      <c r="F578" s="17" t="s">
        <v>744</v>
      </c>
      <c r="G578" s="17" t="s">
        <v>439</v>
      </c>
      <c r="H578" s="148" t="s">
        <v>220</v>
      </c>
      <c r="I578" s="16">
        <v>1</v>
      </c>
      <c r="J578" s="187">
        <v>1.8</v>
      </c>
      <c r="K578" s="187">
        <v>1.3</v>
      </c>
      <c r="L578" s="187">
        <v>3.5</v>
      </c>
      <c r="M578" s="16">
        <v>1</v>
      </c>
      <c r="N578" s="93" t="s">
        <v>221</v>
      </c>
      <c r="O578" s="93">
        <f t="shared" si="120"/>
        <v>3.5</v>
      </c>
      <c r="P578" s="188">
        <v>44940</v>
      </c>
      <c r="Q578" s="18"/>
      <c r="R578" s="140">
        <v>1</v>
      </c>
      <c r="S578" s="140">
        <v>1</v>
      </c>
      <c r="T578" s="140">
        <v>0</v>
      </c>
      <c r="U578" s="20">
        <f>IF(ISBLANK(Table1[[#This Row],[OHC Date]]),$B$7-Table1[[#This Row],[HOC Date]]+1,Table1[[#This Row],[OHC Date]]-Table1[[#This Row],[HOC Date]]+1)/7</f>
        <v>1.7142857142857142</v>
      </c>
      <c r="V578" s="142">
        <v>63.34</v>
      </c>
      <c r="W578" s="142">
        <v>7.28</v>
      </c>
      <c r="X578" s="21">
        <f>ROUND(0.7*Table1[[#This Row],[E&amp;D Rate per unit]]*R578*Table1[[#This Row],[Quantity]],2)</f>
        <v>155.18</v>
      </c>
      <c r="Y578" s="21">
        <f t="shared" si="121"/>
        <v>43.68</v>
      </c>
      <c r="Z578" s="21">
        <f>ROUND(0.3*T578*Table1[[#This Row],[E&amp;D Rate per unit]]*Table1[[#This Row],[Quantity]],2)</f>
        <v>0</v>
      </c>
      <c r="AA578" s="21">
        <f t="shared" si="122"/>
        <v>198.86</v>
      </c>
      <c r="AB578" s="129"/>
      <c r="AC578" s="129">
        <f>Table1[[#This Row],[Total Amount]]-Table1[[#This Row],[Previous Amount]]</f>
        <v>198.86</v>
      </c>
      <c r="AD578" s="153"/>
    </row>
    <row r="579" spans="1:30" ht="30" customHeight="1" x14ac:dyDescent="0.3">
      <c r="A579" s="92" t="s">
        <v>89</v>
      </c>
      <c r="B579" s="92" t="s">
        <v>97</v>
      </c>
      <c r="C579" s="16" t="s">
        <v>798</v>
      </c>
      <c r="D579" s="187">
        <v>75788</v>
      </c>
      <c r="E579" s="16"/>
      <c r="F579" s="17" t="s">
        <v>744</v>
      </c>
      <c r="G579" s="17" t="s">
        <v>439</v>
      </c>
      <c r="H579" s="102" t="s">
        <v>127</v>
      </c>
      <c r="I579" s="16">
        <v>1</v>
      </c>
      <c r="J579" s="187">
        <v>1.3</v>
      </c>
      <c r="K579" s="187">
        <v>1</v>
      </c>
      <c r="L579" s="187"/>
      <c r="M579" s="16">
        <v>1</v>
      </c>
      <c r="N579" s="93" t="s">
        <v>160</v>
      </c>
      <c r="O579" s="93">
        <f t="shared" ref="O579" si="123">ROUND(IF(N579="m3",I579*J579*K579*L579,IF(N579="m2-LxH",I579*J579*L579,IF(N579="m2-LxW",I579*J579*K579,IF(N579="rm",I579*L579,IF(N579="lm",I579*J579,IF(N579="unit",I579,"NA")))))),2)</f>
        <v>1.3</v>
      </c>
      <c r="P579" s="188">
        <v>44940</v>
      </c>
      <c r="Q579" s="18"/>
      <c r="R579" s="140">
        <v>1</v>
      </c>
      <c r="S579" s="140">
        <v>1</v>
      </c>
      <c r="T579" s="140">
        <v>0</v>
      </c>
      <c r="U579" s="20">
        <f>IF(ISBLANK(Table1[[#This Row],[OHC Date]]),$B$7-Table1[[#This Row],[HOC Date]]+1,Table1[[#This Row],[OHC Date]]-Table1[[#This Row],[HOC Date]]+1)/7</f>
        <v>1.7142857142857142</v>
      </c>
      <c r="V579" s="142">
        <v>36.520000000000003</v>
      </c>
      <c r="W579" s="142">
        <v>2.94</v>
      </c>
      <c r="X579" s="21">
        <f>ROUND(0.7*Table1[[#This Row],[E&amp;D Rate per unit]]*R579*Table1[[#This Row],[Quantity]],2)</f>
        <v>33.229999999999997</v>
      </c>
      <c r="Y579" s="21">
        <f t="shared" ref="Y579" si="124">ROUND(O579*U579*W579*S579,2)</f>
        <v>6.55</v>
      </c>
      <c r="Z579" s="21">
        <f>ROUND(0.3*T579*Table1[[#This Row],[E&amp;D Rate per unit]]*Table1[[#This Row],[Quantity]],2)</f>
        <v>0</v>
      </c>
      <c r="AA579" s="21">
        <f t="shared" ref="AA579" si="125">ROUND(X579+Z579+Y579,2)</f>
        <v>39.78</v>
      </c>
      <c r="AB579" s="129"/>
      <c r="AC579" s="129">
        <f>Table1[[#This Row],[Total Amount]]-Table1[[#This Row],[Previous Amount]]</f>
        <v>39.78</v>
      </c>
      <c r="AD579" s="153"/>
    </row>
    <row r="580" spans="1:30" ht="30" customHeight="1" x14ac:dyDescent="0.3">
      <c r="A580" s="145" t="s">
        <v>550</v>
      </c>
      <c r="B580" s="92" t="s">
        <v>97</v>
      </c>
      <c r="C580" s="16" t="s">
        <v>777</v>
      </c>
      <c r="D580" s="187">
        <v>75789</v>
      </c>
      <c r="E580" s="16"/>
      <c r="F580" s="17" t="s">
        <v>552</v>
      </c>
      <c r="G580" s="17" t="s">
        <v>713</v>
      </c>
      <c r="H580" s="148" t="s">
        <v>553</v>
      </c>
      <c r="I580" s="16">
        <v>1</v>
      </c>
      <c r="J580" s="187">
        <v>4.3</v>
      </c>
      <c r="K580" s="187">
        <v>1</v>
      </c>
      <c r="L580" s="187">
        <v>1</v>
      </c>
      <c r="M580" s="16">
        <v>1</v>
      </c>
      <c r="N580" s="93" t="s">
        <v>56</v>
      </c>
      <c r="O580" s="93">
        <f t="shared" si="117"/>
        <v>1</v>
      </c>
      <c r="P580" s="188">
        <v>44940</v>
      </c>
      <c r="Q580" s="18"/>
      <c r="R580" s="140">
        <v>1</v>
      </c>
      <c r="S580" s="140">
        <v>1</v>
      </c>
      <c r="T580" s="140">
        <v>0</v>
      </c>
      <c r="U580" s="20">
        <f>IF(ISBLANK(Table1[[#This Row],[OHC Date]]),$B$7-Table1[[#This Row],[HOC Date]]+1,Table1[[#This Row],[OHC Date]]-Table1[[#This Row],[HOC Date]]+1)/7</f>
        <v>1.7142857142857142</v>
      </c>
      <c r="V580" s="142">
        <v>1772.5845217391307</v>
      </c>
      <c r="W580" s="142">
        <v>52.192000000000007</v>
      </c>
      <c r="X580" s="21">
        <f>ROUND(0.7*Table1[[#This Row],[E&amp;D Rate per unit]]*R580*Table1[[#This Row],[Quantity]],2)</f>
        <v>1240.81</v>
      </c>
      <c r="Y580" s="21">
        <f t="shared" si="118"/>
        <v>89.47</v>
      </c>
      <c r="Z580" s="21">
        <f>ROUND(0.3*T580*Table1[[#This Row],[E&amp;D Rate per unit]]*Table1[[#This Row],[Quantity]],2)</f>
        <v>0</v>
      </c>
      <c r="AA580" s="21">
        <f t="shared" si="119"/>
        <v>1330.28</v>
      </c>
      <c r="AB580" s="129"/>
      <c r="AC580" s="129">
        <f>Table1[[#This Row],[Total Amount]]-Table1[[#This Row],[Previous Amount]]</f>
        <v>1330.28</v>
      </c>
      <c r="AD580" s="132" t="s">
        <v>557</v>
      </c>
    </row>
    <row r="581" spans="1:30" ht="30" customHeight="1" x14ac:dyDescent="0.3">
      <c r="A581" s="92" t="s">
        <v>89</v>
      </c>
      <c r="B581" s="92" t="s">
        <v>97</v>
      </c>
      <c r="C581" s="16">
        <v>199</v>
      </c>
      <c r="D581" s="190">
        <v>75790</v>
      </c>
      <c r="E581" s="16"/>
      <c r="F581" s="17" t="s">
        <v>799</v>
      </c>
      <c r="G581" s="17" t="s">
        <v>439</v>
      </c>
      <c r="H581" s="102" t="s">
        <v>205</v>
      </c>
      <c r="I581" s="16">
        <v>1</v>
      </c>
      <c r="J581" s="187">
        <v>10</v>
      </c>
      <c r="K581" s="187">
        <v>0.9</v>
      </c>
      <c r="L581" s="187">
        <v>3.5</v>
      </c>
      <c r="M581" s="16">
        <v>1</v>
      </c>
      <c r="N581" s="93" t="s">
        <v>206</v>
      </c>
      <c r="O581" s="93">
        <f t="shared" si="117"/>
        <v>35</v>
      </c>
      <c r="P581" s="188">
        <v>44942</v>
      </c>
      <c r="Q581" s="18"/>
      <c r="R581" s="140">
        <v>1</v>
      </c>
      <c r="S581" s="140">
        <v>1</v>
      </c>
      <c r="T581" s="140">
        <v>0</v>
      </c>
      <c r="U581" s="20">
        <f>IF(ISBLANK(Table1[[#This Row],[OHC Date]]),$B$7-Table1[[#This Row],[HOC Date]]+1,Table1[[#This Row],[OHC Date]]-Table1[[#This Row],[HOC Date]]+1)/7</f>
        <v>1.4285714285714286</v>
      </c>
      <c r="V581" s="142">
        <v>12.01</v>
      </c>
      <c r="W581" s="142">
        <v>0.49</v>
      </c>
      <c r="X581" s="21">
        <f>ROUND(0.7*Table1[[#This Row],[E&amp;D Rate per unit]]*R581*Table1[[#This Row],[Quantity]],2)</f>
        <v>294.25</v>
      </c>
      <c r="Y581" s="21">
        <f t="shared" si="118"/>
        <v>24.5</v>
      </c>
      <c r="Z581" s="21">
        <f>ROUND(0.3*T581*Table1[[#This Row],[E&amp;D Rate per unit]]*Table1[[#This Row],[Quantity]],2)</f>
        <v>0</v>
      </c>
      <c r="AA581" s="21">
        <f t="shared" si="119"/>
        <v>318.75</v>
      </c>
      <c r="AB581" s="129"/>
      <c r="AC581" s="129">
        <f>Table1[[#This Row],[Total Amount]]-Table1[[#This Row],[Previous Amount]]</f>
        <v>318.75</v>
      </c>
      <c r="AD581" s="153"/>
    </row>
    <row r="582" spans="1:30" ht="30" customHeight="1" x14ac:dyDescent="0.3">
      <c r="A582" s="92" t="s">
        <v>89</v>
      </c>
      <c r="B582" s="92" t="s">
        <v>97</v>
      </c>
      <c r="C582" s="16">
        <v>199</v>
      </c>
      <c r="D582" s="190">
        <v>75790</v>
      </c>
      <c r="E582" s="16"/>
      <c r="F582" s="17" t="s">
        <v>799</v>
      </c>
      <c r="G582" s="17" t="s">
        <v>439</v>
      </c>
      <c r="H582" s="16" t="s">
        <v>176</v>
      </c>
      <c r="I582" s="16">
        <v>1</v>
      </c>
      <c r="J582" s="187">
        <v>10</v>
      </c>
      <c r="K582" s="187">
        <v>0.9</v>
      </c>
      <c r="L582" s="187"/>
      <c r="M582" s="16">
        <v>1</v>
      </c>
      <c r="N582" s="93" t="s">
        <v>160</v>
      </c>
      <c r="O582" s="93">
        <f t="shared" ref="O582:O583" si="126">ROUND(IF(N582="m3",I582*J582*K582*L582,IF(N582="m2-LxH",I582*J582*L582,IF(N582="m2-LxW",I582*J582*K582,IF(N582="rm",I582*L582,IF(N582="lm",I582*J582,IF(N582="unit",I582,"NA")))))),2)</f>
        <v>9</v>
      </c>
      <c r="P582" s="188">
        <v>44942</v>
      </c>
      <c r="Q582" s="18"/>
      <c r="R582" s="140">
        <v>1</v>
      </c>
      <c r="S582" s="140">
        <v>1</v>
      </c>
      <c r="T582" s="140">
        <v>0</v>
      </c>
      <c r="U582" s="20">
        <f>IF(ISBLANK(Table1[[#This Row],[OHC Date]]),$B$7-Table1[[#This Row],[HOC Date]]+1,Table1[[#This Row],[OHC Date]]-Table1[[#This Row],[HOC Date]]+1)/7</f>
        <v>1.4285714285714286</v>
      </c>
      <c r="V582" s="142">
        <v>6.63</v>
      </c>
      <c r="W582" s="142">
        <v>0.7</v>
      </c>
      <c r="X582" s="21">
        <f>ROUND(0.7*Table1[[#This Row],[E&amp;D Rate per unit]]*R582*Table1[[#This Row],[Quantity]],2)</f>
        <v>41.77</v>
      </c>
      <c r="Y582" s="21">
        <f t="shared" ref="Y582:Y583" si="127">ROUND(O582*U582*W582*S582,2)</f>
        <v>9</v>
      </c>
      <c r="Z582" s="21">
        <f>ROUND(0.3*T582*Table1[[#This Row],[E&amp;D Rate per unit]]*Table1[[#This Row],[Quantity]],2)</f>
        <v>0</v>
      </c>
      <c r="AA582" s="21">
        <f t="shared" ref="AA582:AA583" si="128">ROUND(X582+Z582+Y582,2)</f>
        <v>50.77</v>
      </c>
      <c r="AB582" s="129"/>
      <c r="AC582" s="129">
        <f>Table1[[#This Row],[Total Amount]]-Table1[[#This Row],[Previous Amount]]</f>
        <v>50.77</v>
      </c>
      <c r="AD582" s="153"/>
    </row>
    <row r="583" spans="1:30" ht="30" customHeight="1" x14ac:dyDescent="0.3">
      <c r="A583" s="92" t="s">
        <v>89</v>
      </c>
      <c r="B583" s="92" t="s">
        <v>97</v>
      </c>
      <c r="C583" s="16" t="s">
        <v>800</v>
      </c>
      <c r="D583" s="187">
        <v>75792</v>
      </c>
      <c r="E583" s="16"/>
      <c r="F583" s="17" t="s">
        <v>799</v>
      </c>
      <c r="G583" s="17" t="s">
        <v>439</v>
      </c>
      <c r="H583" s="102" t="s">
        <v>205</v>
      </c>
      <c r="I583" s="16">
        <v>1</v>
      </c>
      <c r="J583" s="187">
        <v>8.8000000000000007</v>
      </c>
      <c r="K583" s="187">
        <v>0.9</v>
      </c>
      <c r="L583" s="187">
        <v>1</v>
      </c>
      <c r="M583" s="16">
        <v>1</v>
      </c>
      <c r="N583" s="93" t="s">
        <v>206</v>
      </c>
      <c r="O583" s="93">
        <f t="shared" si="126"/>
        <v>8.8000000000000007</v>
      </c>
      <c r="P583" s="188">
        <v>44942</v>
      </c>
      <c r="Q583" s="18"/>
      <c r="R583" s="140">
        <v>1</v>
      </c>
      <c r="S583" s="140">
        <v>1</v>
      </c>
      <c r="T583" s="140">
        <v>0</v>
      </c>
      <c r="U583" s="20">
        <f>IF(ISBLANK(Table1[[#This Row],[OHC Date]]),$B$7-Table1[[#This Row],[HOC Date]]+1,Table1[[#This Row],[OHC Date]]-Table1[[#This Row],[HOC Date]]+1)/7</f>
        <v>1.4285714285714286</v>
      </c>
      <c r="V583" s="142">
        <v>12.01</v>
      </c>
      <c r="W583" s="142">
        <v>0.49</v>
      </c>
      <c r="X583" s="21">
        <f>ROUND(0.7*Table1[[#This Row],[E&amp;D Rate per unit]]*R583*Table1[[#This Row],[Quantity]],2)</f>
        <v>73.98</v>
      </c>
      <c r="Y583" s="21">
        <f t="shared" si="127"/>
        <v>6.16</v>
      </c>
      <c r="Z583" s="21">
        <f>ROUND(0.3*T583*Table1[[#This Row],[E&amp;D Rate per unit]]*Table1[[#This Row],[Quantity]],2)</f>
        <v>0</v>
      </c>
      <c r="AA583" s="21">
        <f t="shared" si="128"/>
        <v>80.14</v>
      </c>
      <c r="AB583" s="129"/>
      <c r="AC583" s="129">
        <f>Table1[[#This Row],[Total Amount]]-Table1[[#This Row],[Previous Amount]]</f>
        <v>80.14</v>
      </c>
      <c r="AD583" s="153"/>
    </row>
    <row r="584" spans="1:30" ht="30" customHeight="1" x14ac:dyDescent="0.3">
      <c r="A584" s="92" t="s">
        <v>89</v>
      </c>
      <c r="B584" s="92" t="s">
        <v>97</v>
      </c>
      <c r="C584" s="16">
        <v>200</v>
      </c>
      <c r="D584" s="187">
        <v>75791</v>
      </c>
      <c r="E584" s="16"/>
      <c r="F584" s="17" t="s">
        <v>778</v>
      </c>
      <c r="G584" s="17" t="s">
        <v>200</v>
      </c>
      <c r="H584" s="148" t="s">
        <v>220</v>
      </c>
      <c r="I584" s="16">
        <v>1</v>
      </c>
      <c r="J584" s="187">
        <v>1.8</v>
      </c>
      <c r="K584" s="187">
        <v>1.3</v>
      </c>
      <c r="L584" s="187">
        <v>3.5</v>
      </c>
      <c r="M584" s="16">
        <v>1</v>
      </c>
      <c r="N584" s="93" t="s">
        <v>221</v>
      </c>
      <c r="O584" s="93">
        <f t="shared" ref="O584" si="129">ROUND(IF(N584="m3",I584*J584*K584*L584,IF(N584="m2-LxH",I584*J584*L584,IF(N584="m2-LxW",I584*J584*K584,IF(N584="rm",I584*L584,IF(N584="lm",I584*J584,IF(N584="unit",I584,"NA")))))),2)</f>
        <v>3.5</v>
      </c>
      <c r="P584" s="188">
        <v>44942</v>
      </c>
      <c r="Q584" s="18"/>
      <c r="R584" s="140">
        <v>1</v>
      </c>
      <c r="S584" s="140">
        <v>1</v>
      </c>
      <c r="T584" s="140">
        <v>0</v>
      </c>
      <c r="U584" s="20">
        <f>IF(ISBLANK(Table1[[#This Row],[OHC Date]]),$B$7-Table1[[#This Row],[HOC Date]]+1,Table1[[#This Row],[OHC Date]]-Table1[[#This Row],[HOC Date]]+1)/7</f>
        <v>1.4285714285714286</v>
      </c>
      <c r="V584" s="142">
        <v>63.34</v>
      </c>
      <c r="W584" s="142">
        <v>7.28</v>
      </c>
      <c r="X584" s="21">
        <f>ROUND(0.7*Table1[[#This Row],[E&amp;D Rate per unit]]*R584*Table1[[#This Row],[Quantity]],2)</f>
        <v>155.18</v>
      </c>
      <c r="Y584" s="21">
        <f t="shared" ref="Y584" si="130">ROUND(O584*U584*W584*S584,2)</f>
        <v>36.4</v>
      </c>
      <c r="Z584" s="21">
        <f>ROUND(0.3*T584*Table1[[#This Row],[E&amp;D Rate per unit]]*Table1[[#This Row],[Quantity]],2)</f>
        <v>0</v>
      </c>
      <c r="AA584" s="21">
        <f t="shared" ref="AA584" si="131">ROUND(X584+Z584+Y584,2)</f>
        <v>191.58</v>
      </c>
      <c r="AB584" s="129"/>
      <c r="AC584" s="129">
        <f>Table1[[#This Row],[Total Amount]]-Table1[[#This Row],[Previous Amount]]</f>
        <v>191.58</v>
      </c>
      <c r="AD584" s="153"/>
    </row>
    <row r="585" spans="1:30" ht="30" customHeight="1" x14ac:dyDescent="0.3">
      <c r="A585" s="92" t="s">
        <v>89</v>
      </c>
      <c r="B585" s="92" t="s">
        <v>97</v>
      </c>
      <c r="C585" s="16">
        <v>200</v>
      </c>
      <c r="D585" s="187">
        <v>75791</v>
      </c>
      <c r="E585" s="16"/>
      <c r="F585" s="17" t="s">
        <v>778</v>
      </c>
      <c r="G585" s="17" t="s">
        <v>200</v>
      </c>
      <c r="H585" s="151" t="s">
        <v>176</v>
      </c>
      <c r="I585" s="16">
        <v>1</v>
      </c>
      <c r="J585" s="187">
        <v>1.8</v>
      </c>
      <c r="K585" s="187">
        <v>1.3</v>
      </c>
      <c r="L585" s="187"/>
      <c r="M585" s="16">
        <v>1</v>
      </c>
      <c r="N585" s="93" t="s">
        <v>160</v>
      </c>
      <c r="O585" s="93">
        <f t="shared" ref="O585" si="132">ROUND(IF(N585="m3",I585*J585*K585*L585,IF(N585="m2-LxH",I585*J585*L585,IF(N585="m2-LxW",I585*J585*K585,IF(N585="rm",I585*L585,IF(N585="lm",I585*J585,IF(N585="unit",I585,"NA")))))),2)</f>
        <v>2.34</v>
      </c>
      <c r="P585" s="188">
        <v>44942</v>
      </c>
      <c r="Q585" s="18"/>
      <c r="R585" s="140">
        <v>1</v>
      </c>
      <c r="S585" s="140">
        <v>1</v>
      </c>
      <c r="T585" s="140">
        <v>0</v>
      </c>
      <c r="U585" s="20">
        <f>IF(ISBLANK(Table1[[#This Row],[OHC Date]]),$B$7-Table1[[#This Row],[HOC Date]]+1,Table1[[#This Row],[OHC Date]]-Table1[[#This Row],[HOC Date]]+1)/7</f>
        <v>1.4285714285714286</v>
      </c>
      <c r="V585" s="142">
        <v>6.63</v>
      </c>
      <c r="W585" s="142">
        <v>0.7</v>
      </c>
      <c r="X585" s="21">
        <f>ROUND(0.7*Table1[[#This Row],[E&amp;D Rate per unit]]*R585*Table1[[#This Row],[Quantity]],2)</f>
        <v>10.86</v>
      </c>
      <c r="Y585" s="21">
        <f t="shared" ref="Y585" si="133">ROUND(O585*U585*W585*S585,2)</f>
        <v>2.34</v>
      </c>
      <c r="Z585" s="21">
        <f>ROUND(0.3*T585*Table1[[#This Row],[E&amp;D Rate per unit]]*Table1[[#This Row],[Quantity]],2)</f>
        <v>0</v>
      </c>
      <c r="AA585" s="21">
        <f t="shared" ref="AA585" si="134">ROUND(X585+Z585+Y585,2)</f>
        <v>13.2</v>
      </c>
      <c r="AB585" s="129"/>
      <c r="AC585" s="129">
        <f>Table1[[#This Row],[Total Amount]]-Table1[[#This Row],[Previous Amount]]</f>
        <v>13.2</v>
      </c>
      <c r="AD585" s="153"/>
    </row>
    <row r="586" spans="1:30" ht="30" customHeight="1" x14ac:dyDescent="0.3">
      <c r="A586" s="92" t="s">
        <v>89</v>
      </c>
      <c r="B586" s="92" t="s">
        <v>97</v>
      </c>
      <c r="C586" s="16" t="s">
        <v>801</v>
      </c>
      <c r="D586" s="187">
        <v>75793</v>
      </c>
      <c r="E586" s="16"/>
      <c r="F586" s="17" t="s">
        <v>799</v>
      </c>
      <c r="G586" s="17" t="s">
        <v>439</v>
      </c>
      <c r="H586" s="148" t="s">
        <v>176</v>
      </c>
      <c r="I586" s="16">
        <v>1</v>
      </c>
      <c r="J586" s="187">
        <v>8.8000000000000007</v>
      </c>
      <c r="K586" s="187">
        <v>0.9</v>
      </c>
      <c r="L586" s="187"/>
      <c r="M586" s="16">
        <v>1</v>
      </c>
      <c r="N586" s="93" t="s">
        <v>160</v>
      </c>
      <c r="O586" s="93">
        <f t="shared" ref="O586" si="135">ROUND(IF(N586="m3",I586*J586*K586*L586,IF(N586="m2-LxH",I586*J586*L586,IF(N586="m2-LxW",I586*J586*K586,IF(N586="rm",I586*L586,IF(N586="lm",I586*J586,IF(N586="unit",I586,"NA")))))),2)</f>
        <v>7.92</v>
      </c>
      <c r="P586" s="188">
        <v>44942</v>
      </c>
      <c r="Q586" s="18"/>
      <c r="R586" s="140">
        <v>1</v>
      </c>
      <c r="S586" s="140">
        <v>1</v>
      </c>
      <c r="T586" s="140">
        <v>0</v>
      </c>
      <c r="U586" s="20">
        <f>IF(ISBLANK(Table1[[#This Row],[OHC Date]]),$B$7-Table1[[#This Row],[HOC Date]]+1,Table1[[#This Row],[OHC Date]]-Table1[[#This Row],[HOC Date]]+1)/7</f>
        <v>1.4285714285714286</v>
      </c>
      <c r="V586" s="142">
        <v>6.63</v>
      </c>
      <c r="W586" s="142">
        <v>0.7</v>
      </c>
      <c r="X586" s="21">
        <f>ROUND(0.7*Table1[[#This Row],[E&amp;D Rate per unit]]*R586*Table1[[#This Row],[Quantity]],2)</f>
        <v>36.76</v>
      </c>
      <c r="Y586" s="21">
        <f t="shared" ref="Y586" si="136">ROUND(O586*U586*W586*S586,2)</f>
        <v>7.92</v>
      </c>
      <c r="Z586" s="21">
        <f>ROUND(0.3*T586*Table1[[#This Row],[E&amp;D Rate per unit]]*Table1[[#This Row],[Quantity]],2)</f>
        <v>0</v>
      </c>
      <c r="AA586" s="21">
        <f t="shared" ref="AA586" si="137">ROUND(X586+Z586+Y586,2)</f>
        <v>44.68</v>
      </c>
      <c r="AB586" s="129"/>
      <c r="AC586" s="129">
        <f>Table1[[#This Row],[Total Amount]]-Table1[[#This Row],[Previous Amount]]</f>
        <v>44.68</v>
      </c>
      <c r="AD586" s="153"/>
    </row>
    <row r="587" spans="1:30" ht="30" customHeight="1" x14ac:dyDescent="0.3">
      <c r="A587" s="92" t="s">
        <v>89</v>
      </c>
      <c r="B587" s="92" t="s">
        <v>97</v>
      </c>
      <c r="C587" s="16">
        <v>201</v>
      </c>
      <c r="D587" s="187">
        <v>75794</v>
      </c>
      <c r="E587" s="187">
        <v>78603</v>
      </c>
      <c r="F587" s="17" t="s">
        <v>434</v>
      </c>
      <c r="G587" s="17" t="s">
        <v>190</v>
      </c>
      <c r="H587" s="151" t="s">
        <v>220</v>
      </c>
      <c r="I587" s="16">
        <v>1</v>
      </c>
      <c r="J587" s="187">
        <v>1.8</v>
      </c>
      <c r="K587" s="187">
        <v>1.3</v>
      </c>
      <c r="L587" s="187">
        <v>0.5</v>
      </c>
      <c r="M587" s="16">
        <v>1</v>
      </c>
      <c r="N587" s="93" t="s">
        <v>221</v>
      </c>
      <c r="O587" s="93">
        <f t="shared" ref="O587" si="138">ROUND(IF(N587="m3",I587*J587*K587*L587,IF(N587="m2-LxH",I587*J587*L587,IF(N587="m2-LxW",I587*J587*K587,IF(N587="rm",I587*L587,IF(N587="lm",I587*J587,IF(N587="unit",I587,"NA")))))),2)</f>
        <v>0.5</v>
      </c>
      <c r="P587" s="188">
        <v>44942</v>
      </c>
      <c r="Q587" s="188">
        <v>44950</v>
      </c>
      <c r="R587" s="140">
        <v>1</v>
      </c>
      <c r="S587" s="140">
        <v>1</v>
      </c>
      <c r="T587" s="140">
        <v>1</v>
      </c>
      <c r="U587" s="20">
        <f>IF(ISBLANK(Table1[[#This Row],[OHC Date]]),$B$7-Table1[[#This Row],[HOC Date]]+1,Table1[[#This Row],[OHC Date]]-Table1[[#This Row],[HOC Date]]+1)/7</f>
        <v>1.2857142857142858</v>
      </c>
      <c r="V587" s="107">
        <v>63.34</v>
      </c>
      <c r="W587" s="107">
        <v>7.28</v>
      </c>
      <c r="X587" s="21">
        <f>ROUND(0.7*Table1[[#This Row],[E&amp;D Rate per unit]]*R587*Table1[[#This Row],[Quantity]],2)</f>
        <v>22.17</v>
      </c>
      <c r="Y587" s="21">
        <f t="shared" ref="Y587" si="139">ROUND(O587*U587*W587*S587,2)</f>
        <v>4.68</v>
      </c>
      <c r="Z587" s="21">
        <f>ROUND(0.3*T587*Table1[[#This Row],[E&amp;D Rate per unit]]*Table1[[#This Row],[Quantity]],2)</f>
        <v>9.5</v>
      </c>
      <c r="AA587" s="21">
        <f t="shared" ref="AA587" si="140">ROUND(X587+Z587+Y587,2)</f>
        <v>36.35</v>
      </c>
      <c r="AB587" s="129"/>
      <c r="AC587" s="129">
        <f>Table1[[#This Row],[Total Amount]]-Table1[[#This Row],[Previous Amount]]</f>
        <v>36.35</v>
      </c>
      <c r="AD587" s="153"/>
    </row>
    <row r="588" spans="1:30" ht="30" customHeight="1" x14ac:dyDescent="0.3">
      <c r="A588" s="16" t="s">
        <v>802</v>
      </c>
      <c r="B588" s="92" t="s">
        <v>97</v>
      </c>
      <c r="C588" s="16">
        <v>202</v>
      </c>
      <c r="D588" s="187">
        <v>75795</v>
      </c>
      <c r="E588" s="16"/>
      <c r="F588" s="17" t="s">
        <v>803</v>
      </c>
      <c r="G588" s="17" t="s">
        <v>439</v>
      </c>
      <c r="H588" s="148" t="s">
        <v>804</v>
      </c>
      <c r="I588" s="16">
        <v>1</v>
      </c>
      <c r="J588" s="16"/>
      <c r="K588" s="16"/>
      <c r="L588" s="16"/>
      <c r="M588" s="16">
        <v>1</v>
      </c>
      <c r="N588" s="93" t="s">
        <v>56</v>
      </c>
      <c r="O588" s="93">
        <f t="shared" ref="O588:O589" si="141">ROUND(IF(N588="m3",I588*J588*K588*L588,IF(N588="m2-LxH",I588*J588*L588,IF(N588="m2-LxW",I588*J588*K588,IF(N588="rm",I588*L588,IF(N588="lm",I588*J588,IF(N588="unit",I588,"NA")))))),2)</f>
        <v>1</v>
      </c>
      <c r="P588" s="188">
        <v>44942</v>
      </c>
      <c r="Q588" s="18"/>
      <c r="R588" s="140">
        <v>1</v>
      </c>
      <c r="S588" s="140">
        <v>1</v>
      </c>
      <c r="T588" s="140">
        <v>0</v>
      </c>
      <c r="U588" s="20">
        <f>IF(ISBLANK(Table1[[#This Row],[OHC Date]]),$B$7-Table1[[#This Row],[HOC Date]]+1,Table1[[#This Row],[OHC Date]]-Table1[[#This Row],[HOC Date]]+1)/7</f>
        <v>1.4285714285714286</v>
      </c>
      <c r="V588" s="142">
        <v>15779.64</v>
      </c>
      <c r="W588" s="142">
        <v>1079.32</v>
      </c>
      <c r="X588" s="21">
        <f>ROUND(0.7*Table1[[#This Row],[E&amp;D Rate per unit]]*R588*Table1[[#This Row],[Quantity]],2)</f>
        <v>11045.75</v>
      </c>
      <c r="Y588" s="21">
        <f t="shared" ref="Y588:Y589" si="142">ROUND(O588*U588*W588*S588,2)</f>
        <v>1541.89</v>
      </c>
      <c r="Z588" s="21">
        <f>ROUND(0.3*T588*Table1[[#This Row],[E&amp;D Rate per unit]]*Table1[[#This Row],[Quantity]],2)</f>
        <v>0</v>
      </c>
      <c r="AA588" s="21">
        <f t="shared" ref="AA588:AA589" si="143">ROUND(X588+Z588+Y588,2)</f>
        <v>12587.64</v>
      </c>
      <c r="AB588" s="129"/>
      <c r="AC588" s="129">
        <f>Table1[[#This Row],[Total Amount]]-Table1[[#This Row],[Previous Amount]]</f>
        <v>12587.64</v>
      </c>
      <c r="AD588" s="153" t="s">
        <v>858</v>
      </c>
    </row>
    <row r="589" spans="1:30" ht="30" customHeight="1" x14ac:dyDescent="0.3">
      <c r="A589" s="92" t="s">
        <v>89</v>
      </c>
      <c r="B589" s="92" t="s">
        <v>97</v>
      </c>
      <c r="C589" s="16">
        <v>203</v>
      </c>
      <c r="D589" s="187">
        <v>75796</v>
      </c>
      <c r="E589" s="16"/>
      <c r="F589" s="17" t="s">
        <v>839</v>
      </c>
      <c r="G589" s="17" t="s">
        <v>200</v>
      </c>
      <c r="H589" s="102" t="s">
        <v>205</v>
      </c>
      <c r="I589" s="16">
        <v>1</v>
      </c>
      <c r="J589" s="187">
        <v>5</v>
      </c>
      <c r="K589" s="187">
        <v>1.3</v>
      </c>
      <c r="L589" s="187">
        <v>4</v>
      </c>
      <c r="M589" s="16">
        <v>1</v>
      </c>
      <c r="N589" s="93" t="s">
        <v>206</v>
      </c>
      <c r="O589" s="93">
        <f t="shared" si="141"/>
        <v>20</v>
      </c>
      <c r="P589" s="188">
        <v>44943</v>
      </c>
      <c r="Q589" s="18"/>
      <c r="R589" s="140">
        <v>1</v>
      </c>
      <c r="S589" s="140">
        <v>1</v>
      </c>
      <c r="T589" s="140">
        <v>0</v>
      </c>
      <c r="U589" s="20">
        <f>IF(ISBLANK(Table1[[#This Row],[OHC Date]]),$B$7-Table1[[#This Row],[HOC Date]]+1,Table1[[#This Row],[OHC Date]]-Table1[[#This Row],[HOC Date]]+1)/7</f>
        <v>1.2857142857142858</v>
      </c>
      <c r="V589" s="142">
        <v>12.01</v>
      </c>
      <c r="W589" s="142">
        <v>0.49</v>
      </c>
      <c r="X589" s="21">
        <f>ROUND(0.7*Table1[[#This Row],[E&amp;D Rate per unit]]*R589*Table1[[#This Row],[Quantity]],2)</f>
        <v>168.14</v>
      </c>
      <c r="Y589" s="21">
        <f t="shared" si="142"/>
        <v>12.6</v>
      </c>
      <c r="Z589" s="21">
        <f>ROUND(0.3*T589*Table1[[#This Row],[E&amp;D Rate per unit]]*Table1[[#This Row],[Quantity]],2)</f>
        <v>0</v>
      </c>
      <c r="AA589" s="21">
        <f t="shared" si="143"/>
        <v>180.74</v>
      </c>
      <c r="AB589" s="129"/>
      <c r="AC589" s="129">
        <f>Table1[[#This Row],[Total Amount]]-Table1[[#This Row],[Previous Amount]]</f>
        <v>180.74</v>
      </c>
      <c r="AD589" s="153"/>
    </row>
    <row r="590" spans="1:30" ht="30" customHeight="1" x14ac:dyDescent="0.3">
      <c r="A590" s="92" t="s">
        <v>89</v>
      </c>
      <c r="B590" s="92" t="s">
        <v>97</v>
      </c>
      <c r="C590" s="16">
        <v>203</v>
      </c>
      <c r="D590" s="187">
        <v>75796</v>
      </c>
      <c r="E590" s="16"/>
      <c r="F590" s="17" t="s">
        <v>839</v>
      </c>
      <c r="G590" s="17" t="s">
        <v>200</v>
      </c>
      <c r="H590" s="16" t="s">
        <v>176</v>
      </c>
      <c r="I590" s="16">
        <v>1</v>
      </c>
      <c r="J590" s="187">
        <v>5</v>
      </c>
      <c r="K590" s="187">
        <v>1.3</v>
      </c>
      <c r="L590" s="187"/>
      <c r="M590" s="16">
        <v>1</v>
      </c>
      <c r="N590" s="93" t="s">
        <v>160</v>
      </c>
      <c r="O590" s="93">
        <f t="shared" ref="O590" si="144">ROUND(IF(N590="m3",I590*J590*K590*L590,IF(N590="m2-LxH",I590*J590*L590,IF(N590="m2-LxW",I590*J590*K590,IF(N590="rm",I590*L590,IF(N590="lm",I590*J590,IF(N590="unit",I590,"NA")))))),2)</f>
        <v>6.5</v>
      </c>
      <c r="P590" s="188">
        <v>44943</v>
      </c>
      <c r="Q590" s="18"/>
      <c r="R590" s="140">
        <v>1</v>
      </c>
      <c r="S590" s="140">
        <v>1</v>
      </c>
      <c r="T590" s="140">
        <v>0</v>
      </c>
      <c r="U590" s="20">
        <f>IF(ISBLANK(Table1[[#This Row],[OHC Date]]),$B$7-Table1[[#This Row],[HOC Date]]+1,Table1[[#This Row],[OHC Date]]-Table1[[#This Row],[HOC Date]]+1)/7</f>
        <v>1.2857142857142858</v>
      </c>
      <c r="V590" s="142">
        <v>6.63</v>
      </c>
      <c r="W590" s="142">
        <v>0.7</v>
      </c>
      <c r="X590" s="21">
        <f>ROUND(0.7*Table1[[#This Row],[E&amp;D Rate per unit]]*R590*Table1[[#This Row],[Quantity]],2)</f>
        <v>30.17</v>
      </c>
      <c r="Y590" s="21">
        <f t="shared" ref="Y590" si="145">ROUND(O590*U590*W590*S590,2)</f>
        <v>5.85</v>
      </c>
      <c r="Z590" s="21">
        <f>ROUND(0.3*T590*Table1[[#This Row],[E&amp;D Rate per unit]]*Table1[[#This Row],[Quantity]],2)</f>
        <v>0</v>
      </c>
      <c r="AA590" s="21">
        <f t="shared" ref="AA590" si="146">ROUND(X590+Z590+Y590,2)</f>
        <v>36.020000000000003</v>
      </c>
      <c r="AB590" s="129"/>
      <c r="AC590" s="129">
        <f>Table1[[#This Row],[Total Amount]]-Table1[[#This Row],[Previous Amount]]</f>
        <v>36.020000000000003</v>
      </c>
      <c r="AD590" s="153"/>
    </row>
    <row r="591" spans="1:30" ht="30" customHeight="1" x14ac:dyDescent="0.3">
      <c r="A591" s="16" t="s">
        <v>805</v>
      </c>
      <c r="B591" s="92" t="s">
        <v>97</v>
      </c>
      <c r="C591" s="16">
        <v>204</v>
      </c>
      <c r="D591" s="187">
        <v>75797</v>
      </c>
      <c r="E591" s="16"/>
      <c r="F591" s="17" t="s">
        <v>434</v>
      </c>
      <c r="G591" s="17" t="s">
        <v>200</v>
      </c>
      <c r="H591" s="16" t="s">
        <v>806</v>
      </c>
      <c r="I591" s="16">
        <v>1</v>
      </c>
      <c r="J591" s="187">
        <v>8</v>
      </c>
      <c r="K591" s="187">
        <v>1.5</v>
      </c>
      <c r="L591" s="187">
        <v>3</v>
      </c>
      <c r="M591" s="16">
        <v>1</v>
      </c>
      <c r="N591" s="93" t="s">
        <v>206</v>
      </c>
      <c r="O591" s="93">
        <f t="shared" ref="O591:O598" si="147">ROUND(IF(N591="m3",I591*J591*K591*L591,IF(N591="m2-LxH",I591*J591*L591,IF(N591="m2-LxW",I591*J591*K591,IF(N591="rm",I591*L591,IF(N591="lm",I591*J591,IF(N591="unit",I591,"NA")))))),2)</f>
        <v>24</v>
      </c>
      <c r="P591" s="188">
        <v>44943</v>
      </c>
      <c r="Q591" s="18"/>
      <c r="R591" s="140">
        <v>1</v>
      </c>
      <c r="S591" s="140">
        <v>1</v>
      </c>
      <c r="T591" s="140">
        <v>0</v>
      </c>
      <c r="U591" s="20">
        <f>IF(ISBLANK(Table1[[#This Row],[OHC Date]]),$B$7-Table1[[#This Row],[HOC Date]]+1,Table1[[#This Row],[OHC Date]]-Table1[[#This Row],[HOC Date]]+1)/7</f>
        <v>1.2857142857142858</v>
      </c>
      <c r="V591" s="142">
        <v>326.29000000000002</v>
      </c>
      <c r="W591" s="142">
        <v>26.113</v>
      </c>
      <c r="X591" s="21">
        <f>ROUND(0.7*Table1[[#This Row],[E&amp;D Rate per unit]]*R591*Table1[[#This Row],[Quantity]],2)</f>
        <v>5481.67</v>
      </c>
      <c r="Y591" s="21">
        <f t="shared" ref="Y591:Y598" si="148">ROUND(O591*U591*W591*S591,2)</f>
        <v>805.77</v>
      </c>
      <c r="Z591" s="21">
        <f>ROUND(0.3*T591*Table1[[#This Row],[E&amp;D Rate per unit]]*Table1[[#This Row],[Quantity]],2)</f>
        <v>0</v>
      </c>
      <c r="AA591" s="21">
        <f t="shared" ref="AA591:AA598" si="149">ROUND(X591+Z591+Y591,2)</f>
        <v>6287.44</v>
      </c>
      <c r="AB591" s="129"/>
      <c r="AC591" s="129">
        <f>Table1[[#This Row],[Total Amount]]-Table1[[#This Row],[Previous Amount]]</f>
        <v>6287.44</v>
      </c>
      <c r="AD591" s="153" t="s">
        <v>859</v>
      </c>
    </row>
    <row r="592" spans="1:30" ht="30" customHeight="1" x14ac:dyDescent="0.3">
      <c r="A592" s="92" t="s">
        <v>89</v>
      </c>
      <c r="B592" s="92" t="s">
        <v>97</v>
      </c>
      <c r="C592" s="16">
        <v>205</v>
      </c>
      <c r="D592" s="187">
        <v>75798</v>
      </c>
      <c r="E592" s="187">
        <v>80898</v>
      </c>
      <c r="F592" s="17" t="s">
        <v>838</v>
      </c>
      <c r="G592" s="17" t="s">
        <v>223</v>
      </c>
      <c r="H592" s="16" t="s">
        <v>220</v>
      </c>
      <c r="I592" s="16">
        <v>2.5</v>
      </c>
      <c r="J592" s="16">
        <v>1.8</v>
      </c>
      <c r="K592" s="16">
        <v>6</v>
      </c>
      <c r="L592" s="16">
        <v>1</v>
      </c>
      <c r="M592" s="16">
        <v>1</v>
      </c>
      <c r="N592" s="93" t="s">
        <v>221</v>
      </c>
      <c r="O592" s="93">
        <f t="shared" si="147"/>
        <v>2.5</v>
      </c>
      <c r="P592" s="188">
        <v>44943</v>
      </c>
      <c r="Q592" s="188">
        <v>44949</v>
      </c>
      <c r="R592" s="140">
        <v>1</v>
      </c>
      <c r="S592" s="140">
        <v>1</v>
      </c>
      <c r="T592" s="140">
        <v>1</v>
      </c>
      <c r="U592" s="20">
        <f>IF(ISBLANK(Table1[[#This Row],[OHC Date]]),$B$7-Table1[[#This Row],[HOC Date]]+1,Table1[[#This Row],[OHC Date]]-Table1[[#This Row],[HOC Date]]+1)/7</f>
        <v>1</v>
      </c>
      <c r="V592" s="107">
        <v>63.34</v>
      </c>
      <c r="W592" s="107">
        <v>7.28</v>
      </c>
      <c r="X592" s="21">
        <f>ROUND(0.7*Table1[[#This Row],[E&amp;D Rate per unit]]*R592*Table1[[#This Row],[Quantity]],2)</f>
        <v>110.85</v>
      </c>
      <c r="Y592" s="21">
        <f t="shared" si="148"/>
        <v>18.2</v>
      </c>
      <c r="Z592" s="21">
        <f>ROUND(0.3*T592*Table1[[#This Row],[E&amp;D Rate per unit]]*Table1[[#This Row],[Quantity]],2)</f>
        <v>47.51</v>
      </c>
      <c r="AA592" s="21">
        <f t="shared" si="149"/>
        <v>176.56</v>
      </c>
      <c r="AB592" s="129"/>
      <c r="AC592" s="129">
        <f>Table1[[#This Row],[Total Amount]]-Table1[[#This Row],[Previous Amount]]</f>
        <v>176.56</v>
      </c>
      <c r="AD592" s="153"/>
    </row>
    <row r="593" spans="1:30" ht="30" customHeight="1" x14ac:dyDescent="0.3">
      <c r="A593" s="92" t="s">
        <v>89</v>
      </c>
      <c r="B593" s="92" t="s">
        <v>97</v>
      </c>
      <c r="C593" s="16">
        <v>205</v>
      </c>
      <c r="D593" s="187">
        <v>75798</v>
      </c>
      <c r="E593" s="187">
        <v>80898</v>
      </c>
      <c r="F593" s="17" t="s">
        <v>838</v>
      </c>
      <c r="G593" s="17" t="s">
        <v>223</v>
      </c>
      <c r="H593" s="16" t="s">
        <v>176</v>
      </c>
      <c r="I593" s="16">
        <v>1</v>
      </c>
      <c r="J593" s="187">
        <v>2.5</v>
      </c>
      <c r="K593" s="187">
        <v>1.8</v>
      </c>
      <c r="L593" s="187"/>
      <c r="M593" s="16">
        <v>1</v>
      </c>
      <c r="N593" s="93" t="s">
        <v>160</v>
      </c>
      <c r="O593" s="93">
        <f t="shared" ref="O593" si="150">ROUND(IF(N593="m3",I593*J593*K593*L593,IF(N593="m2-LxH",I593*J593*L593,IF(N593="m2-LxW",I593*J593*K593,IF(N593="rm",I593*L593,IF(N593="lm",I593*J593,IF(N593="unit",I593,"NA")))))),2)</f>
        <v>4.5</v>
      </c>
      <c r="P593" s="188">
        <v>44943</v>
      </c>
      <c r="Q593" s="188">
        <v>44949</v>
      </c>
      <c r="R593" s="140">
        <v>1</v>
      </c>
      <c r="S593" s="140">
        <v>1</v>
      </c>
      <c r="T593" s="140">
        <v>1</v>
      </c>
      <c r="U593" s="20">
        <f>IF(ISBLANK(Table1[[#This Row],[OHC Date]]),$B$7-Table1[[#This Row],[HOC Date]]+1,Table1[[#This Row],[OHC Date]]-Table1[[#This Row],[HOC Date]]+1)/7</f>
        <v>1</v>
      </c>
      <c r="V593" s="107">
        <v>6.63</v>
      </c>
      <c r="W593" s="107">
        <v>0.7</v>
      </c>
      <c r="X593" s="21">
        <f>ROUND(0.7*Table1[[#This Row],[E&amp;D Rate per unit]]*R593*Table1[[#This Row],[Quantity]],2)</f>
        <v>20.88</v>
      </c>
      <c r="Y593" s="21">
        <f t="shared" ref="Y593" si="151">ROUND(O593*U593*W593*S593,2)</f>
        <v>3.15</v>
      </c>
      <c r="Z593" s="21">
        <f>ROUND(0.3*T593*Table1[[#This Row],[E&amp;D Rate per unit]]*Table1[[#This Row],[Quantity]],2)</f>
        <v>8.9499999999999993</v>
      </c>
      <c r="AA593" s="21">
        <f t="shared" ref="AA593" si="152">ROUND(X593+Z593+Y593,2)</f>
        <v>32.979999999999997</v>
      </c>
      <c r="AB593" s="129"/>
      <c r="AC593" s="129">
        <f>Table1[[#This Row],[Total Amount]]-Table1[[#This Row],[Previous Amount]]</f>
        <v>32.979999999999997</v>
      </c>
      <c r="AD593" s="153"/>
    </row>
    <row r="594" spans="1:30" ht="30" customHeight="1" x14ac:dyDescent="0.3">
      <c r="A594" s="92" t="s">
        <v>89</v>
      </c>
      <c r="B594" s="92" t="s">
        <v>97</v>
      </c>
      <c r="C594" s="16" t="s">
        <v>840</v>
      </c>
      <c r="D594" s="187">
        <v>75798</v>
      </c>
      <c r="E594" s="187">
        <v>80898</v>
      </c>
      <c r="F594" s="17" t="s">
        <v>838</v>
      </c>
      <c r="G594" s="17" t="s">
        <v>223</v>
      </c>
      <c r="H594" s="16" t="s">
        <v>126</v>
      </c>
      <c r="I594" s="16">
        <v>1</v>
      </c>
      <c r="J594" s="187">
        <v>2.5</v>
      </c>
      <c r="K594" s="187">
        <v>0.5</v>
      </c>
      <c r="L594" s="187"/>
      <c r="M594" s="16">
        <v>1</v>
      </c>
      <c r="N594" s="93" t="s">
        <v>160</v>
      </c>
      <c r="O594" s="93">
        <f t="shared" ref="O594" si="153">ROUND(IF(N594="m3",I594*J594*K594*L594,IF(N594="m2-LxH",I594*J594*L594,IF(N594="m2-LxW",I594*J594*K594,IF(N594="rm",I594*L594,IF(N594="lm",I594*J594,IF(N594="unit",I594,"NA")))))),2)</f>
        <v>1.25</v>
      </c>
      <c r="P594" s="188">
        <v>44943</v>
      </c>
      <c r="Q594" s="188">
        <v>44949</v>
      </c>
      <c r="R594" s="140">
        <v>1</v>
      </c>
      <c r="S594" s="140">
        <v>1</v>
      </c>
      <c r="T594" s="140">
        <v>1</v>
      </c>
      <c r="U594" s="20">
        <f>IF(ISBLANK(Table1[[#This Row],[OHC Date]]),$B$7-Table1[[#This Row],[HOC Date]]+1,Table1[[#This Row],[OHC Date]]-Table1[[#This Row],[HOC Date]]+1)/7</f>
        <v>1</v>
      </c>
      <c r="V594" s="107">
        <v>32.75</v>
      </c>
      <c r="W594" s="107">
        <v>1.05</v>
      </c>
      <c r="X594" s="21">
        <f>ROUND(0.7*Table1[[#This Row],[E&amp;D Rate per unit]]*R594*Table1[[#This Row],[Quantity]],2)</f>
        <v>28.66</v>
      </c>
      <c r="Y594" s="21">
        <f t="shared" ref="Y594" si="154">ROUND(O594*U594*W594*S594,2)</f>
        <v>1.31</v>
      </c>
      <c r="Z594" s="21">
        <f>ROUND(0.3*T594*Table1[[#This Row],[E&amp;D Rate per unit]]*Table1[[#This Row],[Quantity]],2)</f>
        <v>12.28</v>
      </c>
      <c r="AA594" s="21">
        <f t="shared" ref="AA594" si="155">ROUND(X594+Z594+Y594,2)</f>
        <v>42.25</v>
      </c>
      <c r="AB594" s="129"/>
      <c r="AC594" s="129">
        <f>Table1[[#This Row],[Total Amount]]-Table1[[#This Row],[Previous Amount]]</f>
        <v>42.25</v>
      </c>
      <c r="AD594" s="153"/>
    </row>
    <row r="595" spans="1:30" ht="30" customHeight="1" x14ac:dyDescent="0.3">
      <c r="A595" s="92" t="s">
        <v>89</v>
      </c>
      <c r="B595" s="92" t="s">
        <v>97</v>
      </c>
      <c r="C595" s="16">
        <v>206</v>
      </c>
      <c r="D595" s="187">
        <v>75799</v>
      </c>
      <c r="E595" s="187">
        <v>80900</v>
      </c>
      <c r="F595" s="17" t="s">
        <v>315</v>
      </c>
      <c r="G595" s="17" t="s">
        <v>223</v>
      </c>
      <c r="H595" s="16" t="s">
        <v>220</v>
      </c>
      <c r="I595" s="16">
        <v>2.5</v>
      </c>
      <c r="J595" s="16">
        <v>1.3</v>
      </c>
      <c r="K595" s="16">
        <v>3.8</v>
      </c>
      <c r="L595" s="16">
        <v>1</v>
      </c>
      <c r="M595" s="16">
        <v>1</v>
      </c>
      <c r="N595" s="93" t="s">
        <v>221</v>
      </c>
      <c r="O595" s="93">
        <f t="shared" ref="O595" si="156">ROUND(IF(N595="m3",I595*J595*K595*L595,IF(N595="m2-LxH",I595*J595*L595,IF(N595="m2-LxW",I595*J595*K595,IF(N595="rm",I595*L595,IF(N595="lm",I595*J595,IF(N595="unit",I595,"NA")))))),2)</f>
        <v>2.5</v>
      </c>
      <c r="P595" s="188">
        <v>44944</v>
      </c>
      <c r="Q595" s="188">
        <v>44949</v>
      </c>
      <c r="R595" s="140">
        <v>1</v>
      </c>
      <c r="S595" s="140">
        <v>1</v>
      </c>
      <c r="T595" s="140">
        <v>1</v>
      </c>
      <c r="U595" s="20">
        <f>IF(ISBLANK(Table1[[#This Row],[OHC Date]]),$B$7-Table1[[#This Row],[HOC Date]]+1,Table1[[#This Row],[OHC Date]]-Table1[[#This Row],[HOC Date]]+1)/7</f>
        <v>0.8571428571428571</v>
      </c>
      <c r="V595" s="107">
        <v>63.34</v>
      </c>
      <c r="W595" s="107">
        <v>7.28</v>
      </c>
      <c r="X595" s="21">
        <f>ROUND(0.7*Table1[[#This Row],[E&amp;D Rate per unit]]*R595*Table1[[#This Row],[Quantity]],2)</f>
        <v>110.85</v>
      </c>
      <c r="Y595" s="21">
        <f t="shared" ref="Y595" si="157">ROUND(O595*U595*W595*S595,2)</f>
        <v>15.6</v>
      </c>
      <c r="Z595" s="21">
        <f>ROUND(0.3*T595*Table1[[#This Row],[E&amp;D Rate per unit]]*Table1[[#This Row],[Quantity]],2)</f>
        <v>47.51</v>
      </c>
      <c r="AA595" s="21">
        <f t="shared" ref="AA595" si="158">ROUND(X595+Z595+Y595,2)</f>
        <v>173.96</v>
      </c>
      <c r="AB595" s="129"/>
      <c r="AC595" s="129">
        <f>Table1[[#This Row],[Total Amount]]-Table1[[#This Row],[Previous Amount]]</f>
        <v>173.96</v>
      </c>
      <c r="AD595" s="153"/>
    </row>
    <row r="596" spans="1:30" ht="30" customHeight="1" x14ac:dyDescent="0.3">
      <c r="A596" s="92" t="s">
        <v>89</v>
      </c>
      <c r="B596" s="92" t="s">
        <v>97</v>
      </c>
      <c r="C596" s="16">
        <v>206</v>
      </c>
      <c r="D596" s="187">
        <v>75799</v>
      </c>
      <c r="E596" s="187">
        <v>80900</v>
      </c>
      <c r="F596" s="17" t="s">
        <v>315</v>
      </c>
      <c r="G596" s="17" t="s">
        <v>223</v>
      </c>
      <c r="H596" s="16" t="s">
        <v>176</v>
      </c>
      <c r="I596" s="16">
        <v>1</v>
      </c>
      <c r="J596" s="187">
        <v>2.5</v>
      </c>
      <c r="K596" s="187">
        <v>1.3</v>
      </c>
      <c r="L596" s="187"/>
      <c r="M596" s="16">
        <v>1</v>
      </c>
      <c r="N596" s="93" t="s">
        <v>160</v>
      </c>
      <c r="O596" s="93">
        <f t="shared" ref="O596" si="159">ROUND(IF(N596="m3",I596*J596*K596*L596,IF(N596="m2-LxH",I596*J596*L596,IF(N596="m2-LxW",I596*J596*K596,IF(N596="rm",I596*L596,IF(N596="lm",I596*J596,IF(N596="unit",I596,"NA")))))),2)</f>
        <v>3.25</v>
      </c>
      <c r="P596" s="188">
        <v>44944</v>
      </c>
      <c r="Q596" s="188">
        <v>44949</v>
      </c>
      <c r="R596" s="140">
        <v>1</v>
      </c>
      <c r="S596" s="140">
        <v>1</v>
      </c>
      <c r="T596" s="140">
        <v>1</v>
      </c>
      <c r="U596" s="20">
        <f>IF(ISBLANK(Table1[[#This Row],[OHC Date]]),$B$7-Table1[[#This Row],[HOC Date]]+1,Table1[[#This Row],[OHC Date]]-Table1[[#This Row],[HOC Date]]+1)/7</f>
        <v>0.8571428571428571</v>
      </c>
      <c r="V596" s="107">
        <v>6.63</v>
      </c>
      <c r="W596" s="107">
        <v>0.7</v>
      </c>
      <c r="X596" s="21">
        <f>ROUND(0.7*Table1[[#This Row],[E&amp;D Rate per unit]]*R596*Table1[[#This Row],[Quantity]],2)</f>
        <v>15.08</v>
      </c>
      <c r="Y596" s="21">
        <f t="shared" ref="Y596" si="160">ROUND(O596*U596*W596*S596,2)</f>
        <v>1.95</v>
      </c>
      <c r="Z596" s="21">
        <f>ROUND(0.3*T596*Table1[[#This Row],[E&amp;D Rate per unit]]*Table1[[#This Row],[Quantity]],2)</f>
        <v>6.46</v>
      </c>
      <c r="AA596" s="21">
        <f t="shared" ref="AA596" si="161">ROUND(X596+Z596+Y596,2)</f>
        <v>23.49</v>
      </c>
      <c r="AB596" s="129"/>
      <c r="AC596" s="129">
        <f>Table1[[#This Row],[Total Amount]]-Table1[[#This Row],[Previous Amount]]</f>
        <v>23.49</v>
      </c>
      <c r="AD596" s="153"/>
    </row>
    <row r="597" spans="1:30" ht="30" customHeight="1" x14ac:dyDescent="0.3">
      <c r="A597" s="92" t="s">
        <v>89</v>
      </c>
      <c r="B597" s="92" t="s">
        <v>97</v>
      </c>
      <c r="C597" s="16">
        <v>207</v>
      </c>
      <c r="D597" s="187">
        <v>75800</v>
      </c>
      <c r="E597" s="187">
        <v>80899</v>
      </c>
      <c r="F597" s="17" t="s">
        <v>315</v>
      </c>
      <c r="G597" s="17" t="s">
        <v>223</v>
      </c>
      <c r="H597" s="102" t="s">
        <v>205</v>
      </c>
      <c r="I597" s="16">
        <v>3.6</v>
      </c>
      <c r="J597" s="16">
        <v>1.3</v>
      </c>
      <c r="K597" s="16">
        <v>1.5</v>
      </c>
      <c r="L597" s="16">
        <v>1</v>
      </c>
      <c r="M597" s="16">
        <v>1</v>
      </c>
      <c r="N597" s="93" t="s">
        <v>206</v>
      </c>
      <c r="O597" s="93">
        <f t="shared" ref="O597" si="162">ROUND(IF(N597="m3",I597*J597*K597*L597,IF(N597="m2-LxH",I597*J597*L597,IF(N597="m2-LxW",I597*J597*K597,IF(N597="rm",I597*L597,IF(N597="lm",I597*J597,IF(N597="unit",I597,"NA")))))),2)</f>
        <v>4.68</v>
      </c>
      <c r="P597" s="188">
        <v>44944</v>
      </c>
      <c r="Q597" s="188">
        <v>44949</v>
      </c>
      <c r="R597" s="140">
        <v>1</v>
      </c>
      <c r="S597" s="140">
        <v>1</v>
      </c>
      <c r="T597" s="140">
        <v>1</v>
      </c>
      <c r="U597" s="20">
        <f>IF(ISBLANK(Table1[[#This Row],[OHC Date]]),$B$7-Table1[[#This Row],[HOC Date]]+1,Table1[[#This Row],[OHC Date]]-Table1[[#This Row],[HOC Date]]+1)/7</f>
        <v>0.8571428571428571</v>
      </c>
      <c r="V597" s="142">
        <v>12.01</v>
      </c>
      <c r="W597" s="142">
        <v>0.49</v>
      </c>
      <c r="X597" s="21">
        <f>ROUND(0.7*Table1[[#This Row],[E&amp;D Rate per unit]]*R597*Table1[[#This Row],[Quantity]],2)</f>
        <v>39.340000000000003</v>
      </c>
      <c r="Y597" s="21">
        <f t="shared" ref="Y597" si="163">ROUND(O597*U597*W597*S597,2)</f>
        <v>1.97</v>
      </c>
      <c r="Z597" s="21">
        <f>ROUND(0.3*T597*Table1[[#This Row],[E&amp;D Rate per unit]]*Table1[[#This Row],[Quantity]],2)</f>
        <v>16.86</v>
      </c>
      <c r="AA597" s="21">
        <f t="shared" ref="AA597" si="164">ROUND(X597+Z597+Y597,2)</f>
        <v>58.17</v>
      </c>
      <c r="AB597" s="129"/>
      <c r="AC597" s="129">
        <f>Table1[[#This Row],[Total Amount]]-Table1[[#This Row],[Previous Amount]]</f>
        <v>58.17</v>
      </c>
      <c r="AD597" s="153"/>
    </row>
    <row r="598" spans="1:30" ht="30" customHeight="1" x14ac:dyDescent="0.3">
      <c r="A598" s="92" t="s">
        <v>89</v>
      </c>
      <c r="B598" s="92" t="s">
        <v>97</v>
      </c>
      <c r="C598" s="16">
        <v>208</v>
      </c>
      <c r="D598" s="187">
        <v>75853</v>
      </c>
      <c r="E598" s="16"/>
      <c r="F598" s="17" t="s">
        <v>807</v>
      </c>
      <c r="G598" s="17" t="s">
        <v>261</v>
      </c>
      <c r="H598" s="102" t="s">
        <v>118</v>
      </c>
      <c r="I598" s="16">
        <v>1</v>
      </c>
      <c r="J598" s="187">
        <v>4</v>
      </c>
      <c r="K598" s="187">
        <v>2</v>
      </c>
      <c r="L598" s="187">
        <v>0.5</v>
      </c>
      <c r="M598" s="16">
        <v>1</v>
      </c>
      <c r="N598" s="93" t="s">
        <v>206</v>
      </c>
      <c r="O598" s="93">
        <f t="shared" si="147"/>
        <v>2</v>
      </c>
      <c r="P598" s="188">
        <v>44944</v>
      </c>
      <c r="Q598" s="18"/>
      <c r="R598" s="140">
        <v>1</v>
      </c>
      <c r="S598" s="140">
        <v>1</v>
      </c>
      <c r="T598" s="140">
        <v>0</v>
      </c>
      <c r="U598" s="20">
        <f>IF(ISBLANK(Table1[[#This Row],[OHC Date]]),$B$7-Table1[[#This Row],[HOC Date]]+1,Table1[[#This Row],[OHC Date]]-Table1[[#This Row],[HOC Date]]+1)/7</f>
        <v>1.1428571428571428</v>
      </c>
      <c r="V598" s="142">
        <v>16.760000000000002</v>
      </c>
      <c r="W598" s="142">
        <v>0.77</v>
      </c>
      <c r="X598" s="21">
        <f>ROUND(0.7*Table1[[#This Row],[E&amp;D Rate per unit]]*R598*Table1[[#This Row],[Quantity]],2)</f>
        <v>23.46</v>
      </c>
      <c r="Y598" s="21">
        <f t="shared" si="148"/>
        <v>1.76</v>
      </c>
      <c r="Z598" s="21">
        <f>ROUND(0.3*T598*Table1[[#This Row],[E&amp;D Rate per unit]]*Table1[[#This Row],[Quantity]],2)</f>
        <v>0</v>
      </c>
      <c r="AA598" s="21">
        <f t="shared" si="149"/>
        <v>25.22</v>
      </c>
      <c r="AB598" s="129"/>
      <c r="AC598" s="129">
        <f>Table1[[#This Row],[Total Amount]]-Table1[[#This Row],[Previous Amount]]</f>
        <v>25.22</v>
      </c>
      <c r="AD598" s="153"/>
    </row>
    <row r="599" spans="1:30" ht="30" customHeight="1" x14ac:dyDescent="0.3">
      <c r="A599" s="92" t="s">
        <v>89</v>
      </c>
      <c r="B599" s="92" t="s">
        <v>97</v>
      </c>
      <c r="C599" s="16">
        <v>209</v>
      </c>
      <c r="D599" s="187">
        <v>75854</v>
      </c>
      <c r="E599" s="16"/>
      <c r="F599" s="17" t="s">
        <v>808</v>
      </c>
      <c r="G599" s="17" t="s">
        <v>261</v>
      </c>
      <c r="H599" s="102" t="s">
        <v>205</v>
      </c>
      <c r="I599" s="16">
        <v>1</v>
      </c>
      <c r="J599" s="187">
        <v>10</v>
      </c>
      <c r="K599" s="187">
        <v>1.5</v>
      </c>
      <c r="L599" s="187">
        <v>1.5</v>
      </c>
      <c r="M599" s="16">
        <v>1</v>
      </c>
      <c r="N599" s="93" t="s">
        <v>206</v>
      </c>
      <c r="O599" s="93">
        <f t="shared" ref="O599" si="165">ROUND(IF(N599="m3",I599*J599*K599*L599,IF(N599="m2-LxH",I599*J599*L599,IF(N599="m2-LxW",I599*J599*K599,IF(N599="rm",I599*L599,IF(N599="lm",I599*J599,IF(N599="unit",I599,"NA")))))),2)</f>
        <v>15</v>
      </c>
      <c r="P599" s="188">
        <v>44944</v>
      </c>
      <c r="Q599" s="18"/>
      <c r="R599" s="140">
        <v>1</v>
      </c>
      <c r="S599" s="140">
        <v>1</v>
      </c>
      <c r="T599" s="140">
        <v>0</v>
      </c>
      <c r="U599" s="20">
        <f>IF(ISBLANK(Table1[[#This Row],[OHC Date]]),$B$7-Table1[[#This Row],[HOC Date]]+1,Table1[[#This Row],[OHC Date]]-Table1[[#This Row],[HOC Date]]+1)/7</f>
        <v>1.1428571428571428</v>
      </c>
      <c r="V599" s="142">
        <v>12.01</v>
      </c>
      <c r="W599" s="142">
        <v>0.49</v>
      </c>
      <c r="X599" s="21">
        <f>ROUND(0.7*Table1[[#This Row],[E&amp;D Rate per unit]]*R599*Table1[[#This Row],[Quantity]],2)</f>
        <v>126.11</v>
      </c>
      <c r="Y599" s="21">
        <f t="shared" ref="Y599" si="166">ROUND(O599*U599*W599*S599,2)</f>
        <v>8.4</v>
      </c>
      <c r="Z599" s="21">
        <f>ROUND(0.3*T599*Table1[[#This Row],[E&amp;D Rate per unit]]*Table1[[#This Row],[Quantity]],2)</f>
        <v>0</v>
      </c>
      <c r="AA599" s="21">
        <f t="shared" ref="AA599" si="167">ROUND(X599+Z599+Y599,2)</f>
        <v>134.51</v>
      </c>
      <c r="AB599" s="129"/>
      <c r="AC599" s="129">
        <f>Table1[[#This Row],[Total Amount]]-Table1[[#This Row],[Previous Amount]]</f>
        <v>134.51</v>
      </c>
      <c r="AD599" s="153"/>
    </row>
    <row r="600" spans="1:30" ht="30" customHeight="1" x14ac:dyDescent="0.3">
      <c r="A600" s="92" t="s">
        <v>89</v>
      </c>
      <c r="B600" s="92" t="s">
        <v>97</v>
      </c>
      <c r="C600" s="16" t="s">
        <v>809</v>
      </c>
      <c r="D600" s="187">
        <v>75855</v>
      </c>
      <c r="E600" s="16"/>
      <c r="F600" s="17" t="s">
        <v>722</v>
      </c>
      <c r="G600" s="17" t="s">
        <v>200</v>
      </c>
      <c r="H600" s="148" t="s">
        <v>220</v>
      </c>
      <c r="I600" s="16">
        <v>1</v>
      </c>
      <c r="J600" s="187">
        <v>2</v>
      </c>
      <c r="K600" s="187">
        <v>1</v>
      </c>
      <c r="L600" s="187">
        <v>2</v>
      </c>
      <c r="M600" s="16">
        <v>1</v>
      </c>
      <c r="N600" s="93" t="s">
        <v>221</v>
      </c>
      <c r="O600" s="93">
        <f t="shared" ref="O600" si="168">ROUND(IF(N600="m3",I600*J600*K600*L600,IF(N600="m2-LxH",I600*J600*L600,IF(N600="m2-LxW",I600*J600*K600,IF(N600="rm",I600*L600,IF(N600="lm",I600*J600,IF(N600="unit",I600,"NA")))))),2)</f>
        <v>2</v>
      </c>
      <c r="P600" s="188">
        <v>44945</v>
      </c>
      <c r="Q600" s="18"/>
      <c r="R600" s="140">
        <v>1</v>
      </c>
      <c r="S600" s="140">
        <v>1</v>
      </c>
      <c r="T600" s="140">
        <v>0</v>
      </c>
      <c r="U600" s="20">
        <f>IF(ISBLANK(Table1[[#This Row],[OHC Date]]),$B$7-Table1[[#This Row],[HOC Date]]+1,Table1[[#This Row],[OHC Date]]-Table1[[#This Row],[HOC Date]]+1)/7</f>
        <v>1</v>
      </c>
      <c r="V600" s="107">
        <v>63.34</v>
      </c>
      <c r="W600" s="107">
        <v>7.28</v>
      </c>
      <c r="X600" s="21">
        <f>ROUND(0.7*Table1[[#This Row],[E&amp;D Rate per unit]]*R600*Table1[[#This Row],[Quantity]],2)</f>
        <v>88.68</v>
      </c>
      <c r="Y600" s="21">
        <f t="shared" ref="Y600" si="169">ROUND(O600*U600*W600*S600,2)</f>
        <v>14.56</v>
      </c>
      <c r="Z600" s="21">
        <f>ROUND(0.3*T600*Table1[[#This Row],[E&amp;D Rate per unit]]*Table1[[#This Row],[Quantity]],2)</f>
        <v>0</v>
      </c>
      <c r="AA600" s="21">
        <f t="shared" ref="AA600" si="170">ROUND(X600+Z600+Y600,2)</f>
        <v>103.24</v>
      </c>
      <c r="AB600" s="129"/>
      <c r="AC600" s="129">
        <f>Table1[[#This Row],[Total Amount]]-Table1[[#This Row],[Previous Amount]]</f>
        <v>103.24</v>
      </c>
      <c r="AD600" s="153"/>
    </row>
    <row r="601" spans="1:30" ht="30" customHeight="1" x14ac:dyDescent="0.3">
      <c r="A601" s="92" t="s">
        <v>89</v>
      </c>
      <c r="B601" s="92" t="s">
        <v>97</v>
      </c>
      <c r="C601" s="16" t="s">
        <v>810</v>
      </c>
      <c r="D601" s="187">
        <v>75855</v>
      </c>
      <c r="E601" s="16"/>
      <c r="F601" s="17" t="s">
        <v>722</v>
      </c>
      <c r="G601" s="17" t="s">
        <v>200</v>
      </c>
      <c r="H601" s="16" t="s">
        <v>126</v>
      </c>
      <c r="I601" s="16">
        <v>1</v>
      </c>
      <c r="J601" s="187">
        <v>2</v>
      </c>
      <c r="K601" s="187">
        <v>0.25</v>
      </c>
      <c r="L601" s="187"/>
      <c r="M601" s="16">
        <v>1</v>
      </c>
      <c r="N601" s="93" t="s">
        <v>160</v>
      </c>
      <c r="O601" s="93">
        <f t="shared" ref="O601" si="171">ROUND(IF(N601="m3",I601*J601*K601*L601,IF(N601="m2-LxH",I601*J601*L601,IF(N601="m2-LxW",I601*J601*K601,IF(N601="rm",I601*L601,IF(N601="lm",I601*J601,IF(N601="unit",I601,"NA")))))),2)</f>
        <v>0.5</v>
      </c>
      <c r="P601" s="188">
        <v>44945</v>
      </c>
      <c r="Q601" s="18"/>
      <c r="R601" s="140">
        <v>1</v>
      </c>
      <c r="S601" s="140">
        <v>1</v>
      </c>
      <c r="T601" s="140">
        <v>0</v>
      </c>
      <c r="U601" s="20">
        <f>IF(ISBLANK(Table1[[#This Row],[OHC Date]]),$B$7-Table1[[#This Row],[HOC Date]]+1,Table1[[#This Row],[OHC Date]]-Table1[[#This Row],[HOC Date]]+1)/7</f>
        <v>1</v>
      </c>
      <c r="V601" s="142">
        <v>32.75</v>
      </c>
      <c r="W601" s="142">
        <v>1.05</v>
      </c>
      <c r="X601" s="21">
        <f>ROUND(0.7*Table1[[#This Row],[E&amp;D Rate per unit]]*R601*Table1[[#This Row],[Quantity]],2)</f>
        <v>11.46</v>
      </c>
      <c r="Y601" s="21">
        <f t="shared" ref="Y601" si="172">ROUND(O601*U601*W601*S601,2)</f>
        <v>0.53</v>
      </c>
      <c r="Z601" s="21">
        <f>ROUND(0.3*T601*Table1[[#This Row],[E&amp;D Rate per unit]]*Table1[[#This Row],[Quantity]],2)</f>
        <v>0</v>
      </c>
      <c r="AA601" s="21">
        <f t="shared" ref="AA601" si="173">ROUND(X601+Z601+Y601,2)</f>
        <v>11.99</v>
      </c>
      <c r="AB601" s="129"/>
      <c r="AC601" s="129">
        <f>Table1[[#This Row],[Total Amount]]-Table1[[#This Row],[Previous Amount]]</f>
        <v>11.99</v>
      </c>
      <c r="AD601" s="153"/>
    </row>
    <row r="602" spans="1:30" ht="30" customHeight="1" x14ac:dyDescent="0.3">
      <c r="A602" s="92" t="s">
        <v>89</v>
      </c>
      <c r="B602" s="92" t="s">
        <v>97</v>
      </c>
      <c r="C602" s="16" t="s">
        <v>841</v>
      </c>
      <c r="D602" s="187">
        <v>75857</v>
      </c>
      <c r="E602" s="16"/>
      <c r="F602" s="17" t="s">
        <v>842</v>
      </c>
      <c r="G602" s="17" t="s">
        <v>223</v>
      </c>
      <c r="H602" s="16" t="s">
        <v>119</v>
      </c>
      <c r="I602" s="16">
        <v>1</v>
      </c>
      <c r="J602" s="187">
        <v>17</v>
      </c>
      <c r="K602" s="187">
        <v>3</v>
      </c>
      <c r="L602" s="187">
        <v>2.5</v>
      </c>
      <c r="M602" s="16">
        <v>1</v>
      </c>
      <c r="N602" s="93" t="s">
        <v>224</v>
      </c>
      <c r="O602" s="93">
        <f t="shared" ref="O602" si="174">ROUND(IF(N602="m3",I602*J602*K602*L602,IF(N602="m2-LxH",I602*J602*L602,IF(N602="m2-LxW",I602*J602*K602,IF(N602="rm",I602*L602,IF(N602="lm",I602*J602,IF(N602="unit",I602,"NA")))))),2)</f>
        <v>127.5</v>
      </c>
      <c r="P602" s="188">
        <v>44945</v>
      </c>
      <c r="Q602" s="18"/>
      <c r="R602" s="140">
        <v>1</v>
      </c>
      <c r="S602" s="140">
        <v>1</v>
      </c>
      <c r="T602" s="140">
        <v>0</v>
      </c>
      <c r="U602" s="20">
        <f>IF(ISBLANK(Table1[[#This Row],[OHC Date]]),$B$7-Table1[[#This Row],[HOC Date]]+1,Table1[[#This Row],[OHC Date]]-Table1[[#This Row],[HOC Date]]+1)/7</f>
        <v>1</v>
      </c>
      <c r="V602" s="142">
        <v>7.08</v>
      </c>
      <c r="W602" s="142">
        <v>0.49</v>
      </c>
      <c r="X602" s="21">
        <f>ROUND(0.7*Table1[[#This Row],[E&amp;D Rate per unit]]*R602*Table1[[#This Row],[Quantity]],2)</f>
        <v>631.89</v>
      </c>
      <c r="Y602" s="21">
        <f t="shared" ref="Y602" si="175">ROUND(O602*U602*W602*S602,2)</f>
        <v>62.48</v>
      </c>
      <c r="Z602" s="21">
        <f>ROUND(0.3*T602*Table1[[#This Row],[E&amp;D Rate per unit]]*Table1[[#This Row],[Quantity]],2)</f>
        <v>0</v>
      </c>
      <c r="AA602" s="21">
        <f t="shared" ref="AA602" si="176">ROUND(X602+Z602+Y602,2)</f>
        <v>694.37</v>
      </c>
      <c r="AB602" s="129"/>
      <c r="AC602" s="129">
        <f>Table1[[#This Row],[Total Amount]]-Table1[[#This Row],[Previous Amount]]</f>
        <v>694.37</v>
      </c>
      <c r="AD602" s="153"/>
    </row>
    <row r="603" spans="1:30" ht="30" customHeight="1" x14ac:dyDescent="0.3">
      <c r="A603" s="92" t="s">
        <v>89</v>
      </c>
      <c r="B603" s="92" t="s">
        <v>97</v>
      </c>
      <c r="C603" s="16" t="s">
        <v>843</v>
      </c>
      <c r="D603" s="187">
        <v>75858</v>
      </c>
      <c r="E603" s="16"/>
      <c r="F603" s="17" t="s">
        <v>842</v>
      </c>
      <c r="G603" s="17" t="s">
        <v>223</v>
      </c>
      <c r="H603" s="102" t="s">
        <v>205</v>
      </c>
      <c r="I603" s="16">
        <v>1</v>
      </c>
      <c r="J603" s="187">
        <v>8.8000000000000007</v>
      </c>
      <c r="K603" s="187">
        <v>1.3</v>
      </c>
      <c r="L603" s="187">
        <v>2.5</v>
      </c>
      <c r="M603" s="16">
        <v>1</v>
      </c>
      <c r="N603" s="93" t="s">
        <v>206</v>
      </c>
      <c r="O603" s="93">
        <f t="shared" ref="O603" si="177">ROUND(IF(N603="m3",I603*J603*K603*L603,IF(N603="m2-LxH",I603*J603*L603,IF(N603="m2-LxW",I603*J603*K603,IF(N603="rm",I603*L603,IF(N603="lm",I603*J603,IF(N603="unit",I603,"NA")))))),2)</f>
        <v>22</v>
      </c>
      <c r="P603" s="188">
        <v>44945</v>
      </c>
      <c r="Q603" s="18"/>
      <c r="R603" s="140">
        <v>1</v>
      </c>
      <c r="S603" s="140">
        <v>1</v>
      </c>
      <c r="T603" s="140">
        <v>0</v>
      </c>
      <c r="U603" s="20">
        <f>IF(ISBLANK(Table1[[#This Row],[OHC Date]]),$B$7-Table1[[#This Row],[HOC Date]]+1,Table1[[#This Row],[OHC Date]]-Table1[[#This Row],[HOC Date]]+1)/7</f>
        <v>1</v>
      </c>
      <c r="V603" s="142">
        <v>12.01</v>
      </c>
      <c r="W603" s="142">
        <v>0.49</v>
      </c>
      <c r="X603" s="21">
        <f>ROUND(0.7*Table1[[#This Row],[E&amp;D Rate per unit]]*R603*Table1[[#This Row],[Quantity]],2)</f>
        <v>184.95</v>
      </c>
      <c r="Y603" s="21">
        <f t="shared" ref="Y603" si="178">ROUND(O603*U603*W603*S603,2)</f>
        <v>10.78</v>
      </c>
      <c r="Z603" s="21">
        <f>ROUND(0.3*T603*Table1[[#This Row],[E&amp;D Rate per unit]]*Table1[[#This Row],[Quantity]],2)</f>
        <v>0</v>
      </c>
      <c r="AA603" s="21">
        <f t="shared" ref="AA603" si="179">ROUND(X603+Z603+Y603,2)</f>
        <v>195.73</v>
      </c>
      <c r="AB603" s="129"/>
      <c r="AC603" s="129">
        <f>Table1[[#This Row],[Total Amount]]-Table1[[#This Row],[Previous Amount]]</f>
        <v>195.73</v>
      </c>
      <c r="AD603" s="153"/>
    </row>
    <row r="604" spans="1:30" ht="30" customHeight="1" x14ac:dyDescent="0.3">
      <c r="A604" s="92" t="s">
        <v>89</v>
      </c>
      <c r="B604" s="92" t="s">
        <v>97</v>
      </c>
      <c r="C604" s="16" t="s">
        <v>844</v>
      </c>
      <c r="D604" s="187">
        <v>75859</v>
      </c>
      <c r="E604" s="16"/>
      <c r="F604" s="17" t="s">
        <v>842</v>
      </c>
      <c r="G604" s="17" t="s">
        <v>223</v>
      </c>
      <c r="H604" s="102" t="s">
        <v>205</v>
      </c>
      <c r="I604" s="16">
        <v>1</v>
      </c>
      <c r="J604" s="187">
        <v>6.3</v>
      </c>
      <c r="K604" s="187">
        <v>2.5</v>
      </c>
      <c r="L604" s="187">
        <v>2.5</v>
      </c>
      <c r="M604" s="16">
        <v>1</v>
      </c>
      <c r="N604" s="93" t="s">
        <v>206</v>
      </c>
      <c r="O604" s="93">
        <f t="shared" ref="O604" si="180">ROUND(IF(N604="m3",I604*J604*K604*L604,IF(N604="m2-LxH",I604*J604*L604,IF(N604="m2-LxW",I604*J604*K604,IF(N604="rm",I604*L604,IF(N604="lm",I604*J604,IF(N604="unit",I604,"NA")))))),2)</f>
        <v>15.75</v>
      </c>
      <c r="P604" s="188">
        <v>44945</v>
      </c>
      <c r="Q604" s="18"/>
      <c r="R604" s="140">
        <v>1</v>
      </c>
      <c r="S604" s="140">
        <v>1</v>
      </c>
      <c r="T604" s="140">
        <v>0</v>
      </c>
      <c r="U604" s="20">
        <f>IF(ISBLANK(Table1[[#This Row],[OHC Date]]),$B$7-Table1[[#This Row],[HOC Date]]+1,Table1[[#This Row],[OHC Date]]-Table1[[#This Row],[HOC Date]]+1)/7</f>
        <v>1</v>
      </c>
      <c r="V604" s="142">
        <v>12.01</v>
      </c>
      <c r="W604" s="142">
        <v>0.49</v>
      </c>
      <c r="X604" s="21">
        <f>ROUND(0.7*Table1[[#This Row],[E&amp;D Rate per unit]]*R604*Table1[[#This Row],[Quantity]],2)</f>
        <v>132.41</v>
      </c>
      <c r="Y604" s="21">
        <f t="shared" ref="Y604" si="181">ROUND(O604*U604*W604*S604,2)</f>
        <v>7.72</v>
      </c>
      <c r="Z604" s="21">
        <f>ROUND(0.3*T604*Table1[[#This Row],[E&amp;D Rate per unit]]*Table1[[#This Row],[Quantity]],2)</f>
        <v>0</v>
      </c>
      <c r="AA604" s="21">
        <f t="shared" ref="AA604" si="182">ROUND(X604+Z604+Y604,2)</f>
        <v>140.13</v>
      </c>
      <c r="AB604" s="129"/>
      <c r="AC604" s="129">
        <f>Table1[[#This Row],[Total Amount]]-Table1[[#This Row],[Previous Amount]]</f>
        <v>140.13</v>
      </c>
      <c r="AD604" s="153"/>
    </row>
    <row r="605" spans="1:30" ht="30" customHeight="1" x14ac:dyDescent="0.3">
      <c r="A605" s="92" t="s">
        <v>89</v>
      </c>
      <c r="B605" s="92" t="s">
        <v>97</v>
      </c>
      <c r="C605" s="16" t="s">
        <v>845</v>
      </c>
      <c r="D605" s="187">
        <v>75860</v>
      </c>
      <c r="E605" s="16"/>
      <c r="F605" s="17" t="s">
        <v>842</v>
      </c>
      <c r="G605" s="17" t="s">
        <v>223</v>
      </c>
      <c r="H605" s="102" t="s">
        <v>205</v>
      </c>
      <c r="I605" s="16">
        <v>1</v>
      </c>
      <c r="J605" s="187">
        <v>3.8</v>
      </c>
      <c r="K605" s="187">
        <v>1.3</v>
      </c>
      <c r="L605" s="187">
        <v>2.5</v>
      </c>
      <c r="M605" s="16">
        <v>1</v>
      </c>
      <c r="N605" s="93" t="s">
        <v>206</v>
      </c>
      <c r="O605" s="93">
        <f t="shared" ref="O605" si="183">ROUND(IF(N605="m3",I605*J605*K605*L605,IF(N605="m2-LxH",I605*J605*L605,IF(N605="m2-LxW",I605*J605*K605,IF(N605="rm",I605*L605,IF(N605="lm",I605*J605,IF(N605="unit",I605,"NA")))))),2)</f>
        <v>9.5</v>
      </c>
      <c r="P605" s="188">
        <v>44945</v>
      </c>
      <c r="Q605" s="18"/>
      <c r="R605" s="140">
        <v>1</v>
      </c>
      <c r="S605" s="140">
        <v>1</v>
      </c>
      <c r="T605" s="140">
        <v>0</v>
      </c>
      <c r="U605" s="20">
        <f>IF(ISBLANK(Table1[[#This Row],[OHC Date]]),$B$7-Table1[[#This Row],[HOC Date]]+1,Table1[[#This Row],[OHC Date]]-Table1[[#This Row],[HOC Date]]+1)/7</f>
        <v>1</v>
      </c>
      <c r="V605" s="142">
        <v>12.01</v>
      </c>
      <c r="W605" s="142">
        <v>0.49</v>
      </c>
      <c r="X605" s="21">
        <f>ROUND(0.7*Table1[[#This Row],[E&amp;D Rate per unit]]*R605*Table1[[#This Row],[Quantity]],2)</f>
        <v>79.87</v>
      </c>
      <c r="Y605" s="21">
        <f t="shared" ref="Y605" si="184">ROUND(O605*U605*W605*S605,2)</f>
        <v>4.66</v>
      </c>
      <c r="Z605" s="21">
        <f>ROUND(0.3*T605*Table1[[#This Row],[E&amp;D Rate per unit]]*Table1[[#This Row],[Quantity]],2)</f>
        <v>0</v>
      </c>
      <c r="AA605" s="21">
        <f t="shared" ref="AA605" si="185">ROUND(X605+Z605+Y605,2)</f>
        <v>84.53</v>
      </c>
      <c r="AB605" s="129"/>
      <c r="AC605" s="129">
        <f>Table1[[#This Row],[Total Amount]]-Table1[[#This Row],[Previous Amount]]</f>
        <v>84.53</v>
      </c>
      <c r="AD605" s="153"/>
    </row>
    <row r="606" spans="1:30" ht="30" customHeight="1" x14ac:dyDescent="0.3">
      <c r="A606" s="92" t="s">
        <v>89</v>
      </c>
      <c r="B606" s="92" t="s">
        <v>97</v>
      </c>
      <c r="C606" s="16" t="s">
        <v>846</v>
      </c>
      <c r="D606" s="187">
        <v>75861</v>
      </c>
      <c r="E606" s="187">
        <v>80899</v>
      </c>
      <c r="F606" s="17" t="s">
        <v>315</v>
      </c>
      <c r="G606" s="17" t="s">
        <v>223</v>
      </c>
      <c r="H606" s="102" t="s">
        <v>127</v>
      </c>
      <c r="I606" s="16">
        <v>1</v>
      </c>
      <c r="J606" s="187">
        <v>1.5</v>
      </c>
      <c r="K606" s="187">
        <v>1.3</v>
      </c>
      <c r="L606" s="187"/>
      <c r="M606" s="16">
        <v>1</v>
      </c>
      <c r="N606" s="93" t="s">
        <v>160</v>
      </c>
      <c r="O606" s="93">
        <f t="shared" ref="O606" si="186">ROUND(IF(N606="m3",I606*J606*K606*L606,IF(N606="m2-LxH",I606*J606*L606,IF(N606="m2-LxW",I606*J606*K606,IF(N606="rm",I606*L606,IF(N606="lm",I606*J606,IF(N606="unit",I606,"NA")))))),2)</f>
        <v>1.95</v>
      </c>
      <c r="P606" s="188">
        <v>44945</v>
      </c>
      <c r="Q606" s="188">
        <v>44949</v>
      </c>
      <c r="R606" s="140">
        <v>1</v>
      </c>
      <c r="S606" s="140">
        <v>1</v>
      </c>
      <c r="T606" s="140">
        <v>1</v>
      </c>
      <c r="U606" s="20">
        <f>IF(ISBLANK(Table1[[#This Row],[OHC Date]]),$B$7-Table1[[#This Row],[HOC Date]]+1,Table1[[#This Row],[OHC Date]]-Table1[[#This Row],[HOC Date]]+1)/7</f>
        <v>0.7142857142857143</v>
      </c>
      <c r="V606" s="107">
        <v>36.520000000000003</v>
      </c>
      <c r="W606" s="107">
        <f>0.42*7</f>
        <v>2.94</v>
      </c>
      <c r="X606" s="21">
        <f>ROUND(0.7*Table1[[#This Row],[E&amp;D Rate per unit]]*R606*Table1[[#This Row],[Quantity]],2)</f>
        <v>49.85</v>
      </c>
      <c r="Y606" s="21">
        <f t="shared" ref="Y606" si="187">ROUND(O606*U606*W606*S606,2)</f>
        <v>4.0999999999999996</v>
      </c>
      <c r="Z606" s="21">
        <f>ROUND(0.3*T606*Table1[[#This Row],[E&amp;D Rate per unit]]*Table1[[#This Row],[Quantity]],2)</f>
        <v>21.36</v>
      </c>
      <c r="AA606" s="21">
        <f t="shared" ref="AA606" si="188">ROUND(X606+Z606+Y606,2)</f>
        <v>75.31</v>
      </c>
      <c r="AB606" s="129"/>
      <c r="AC606" s="129">
        <f>Table1[[#This Row],[Total Amount]]-Table1[[#This Row],[Previous Amount]]</f>
        <v>75.31</v>
      </c>
      <c r="AD606" s="153"/>
    </row>
    <row r="607" spans="1:30" ht="30" customHeight="1" x14ac:dyDescent="0.3">
      <c r="A607" s="92" t="s">
        <v>89</v>
      </c>
      <c r="B607" s="92" t="s">
        <v>97</v>
      </c>
      <c r="C607" s="16">
        <v>211</v>
      </c>
      <c r="D607" s="187">
        <v>75862</v>
      </c>
      <c r="E607" s="16"/>
      <c r="F607" s="17" t="s">
        <v>834</v>
      </c>
      <c r="G607" s="17" t="s">
        <v>226</v>
      </c>
      <c r="H607" s="16" t="s">
        <v>220</v>
      </c>
      <c r="I607" s="16">
        <v>1</v>
      </c>
      <c r="J607" s="187">
        <v>2.5</v>
      </c>
      <c r="K607" s="187">
        <v>1</v>
      </c>
      <c r="L607" s="187">
        <v>1.5</v>
      </c>
      <c r="M607" s="16">
        <v>1</v>
      </c>
      <c r="N607" s="93" t="s">
        <v>221</v>
      </c>
      <c r="O607" s="93">
        <f t="shared" ref="O607" si="189">ROUND(IF(N607="m3",I607*J607*K607*L607,IF(N607="m2-LxH",I607*J607*L607,IF(N607="m2-LxW",I607*J607*K607,IF(N607="rm",I607*L607,IF(N607="lm",I607*J607,IF(N607="unit",I607,"NA")))))),2)</f>
        <v>1.5</v>
      </c>
      <c r="P607" s="188">
        <v>44946</v>
      </c>
      <c r="Q607" s="18"/>
      <c r="R607" s="140">
        <v>1</v>
      </c>
      <c r="S607" s="140">
        <v>1</v>
      </c>
      <c r="T607" s="140">
        <v>0</v>
      </c>
      <c r="U607" s="20">
        <f>IF(ISBLANK(Table1[[#This Row],[OHC Date]]),$B$7-Table1[[#This Row],[HOC Date]]+1,Table1[[#This Row],[OHC Date]]-Table1[[#This Row],[HOC Date]]+1)/7</f>
        <v>0.8571428571428571</v>
      </c>
      <c r="V607" s="107">
        <v>63.34</v>
      </c>
      <c r="W607" s="107">
        <v>7.28</v>
      </c>
      <c r="X607" s="21">
        <f>ROUND(0.7*Table1[[#This Row],[E&amp;D Rate per unit]]*R607*Table1[[#This Row],[Quantity]],2)</f>
        <v>66.510000000000005</v>
      </c>
      <c r="Y607" s="21">
        <f t="shared" ref="Y607" si="190">ROUND(O607*U607*W607*S607,2)</f>
        <v>9.36</v>
      </c>
      <c r="Z607" s="21">
        <f>ROUND(0.3*T607*Table1[[#This Row],[E&amp;D Rate per unit]]*Table1[[#This Row],[Quantity]],2)</f>
        <v>0</v>
      </c>
      <c r="AA607" s="21">
        <f t="shared" ref="AA607" si="191">ROUND(X607+Z607+Y607,2)</f>
        <v>75.87</v>
      </c>
      <c r="AB607" s="129"/>
      <c r="AC607" s="129">
        <f>Table1[[#This Row],[Total Amount]]-Table1[[#This Row],[Previous Amount]]</f>
        <v>75.87</v>
      </c>
      <c r="AD607" s="153"/>
    </row>
    <row r="608" spans="1:30" ht="30" customHeight="1" x14ac:dyDescent="0.3">
      <c r="A608" s="92" t="s">
        <v>89</v>
      </c>
      <c r="B608" s="92" t="s">
        <v>97</v>
      </c>
      <c r="C608" s="16">
        <v>212</v>
      </c>
      <c r="D608" s="187">
        <v>75863</v>
      </c>
      <c r="E608" s="16"/>
      <c r="F608" s="17" t="s">
        <v>834</v>
      </c>
      <c r="G608" s="17" t="s">
        <v>355</v>
      </c>
      <c r="H608" s="102" t="s">
        <v>205</v>
      </c>
      <c r="I608" s="16">
        <v>1</v>
      </c>
      <c r="J608" s="187">
        <v>3.8</v>
      </c>
      <c r="K608" s="187">
        <v>0.9</v>
      </c>
      <c r="L608" s="187">
        <v>1</v>
      </c>
      <c r="M608" s="16">
        <v>1</v>
      </c>
      <c r="N608" s="93" t="s">
        <v>206</v>
      </c>
      <c r="O608" s="93">
        <f t="shared" ref="O608" si="192">ROUND(IF(N608="m3",I608*J608*K608*L608,IF(N608="m2-LxH",I608*J608*L608,IF(N608="m2-LxW",I608*J608*K608,IF(N608="rm",I608*L608,IF(N608="lm",I608*J608,IF(N608="unit",I608,"NA")))))),2)</f>
        <v>3.8</v>
      </c>
      <c r="P608" s="188">
        <v>44946</v>
      </c>
      <c r="Q608" s="18"/>
      <c r="R608" s="140">
        <v>1</v>
      </c>
      <c r="S608" s="140">
        <v>1</v>
      </c>
      <c r="T608" s="140">
        <v>0</v>
      </c>
      <c r="U608" s="20">
        <f>IF(ISBLANK(Table1[[#This Row],[OHC Date]]),$B$7-Table1[[#This Row],[HOC Date]]+1,Table1[[#This Row],[OHC Date]]-Table1[[#This Row],[HOC Date]]+1)/7</f>
        <v>0.8571428571428571</v>
      </c>
      <c r="V608" s="142">
        <v>12.01</v>
      </c>
      <c r="W608" s="142">
        <v>0.49</v>
      </c>
      <c r="X608" s="21">
        <f>ROUND(0.7*Table1[[#This Row],[E&amp;D Rate per unit]]*R608*Table1[[#This Row],[Quantity]],2)</f>
        <v>31.95</v>
      </c>
      <c r="Y608" s="21">
        <f t="shared" ref="Y608" si="193">ROUND(O608*U608*W608*S608,2)</f>
        <v>1.6</v>
      </c>
      <c r="Z608" s="21">
        <f>ROUND(0.3*T608*Table1[[#This Row],[E&amp;D Rate per unit]]*Table1[[#This Row],[Quantity]],2)</f>
        <v>0</v>
      </c>
      <c r="AA608" s="21">
        <f t="shared" ref="AA608" si="194">ROUND(X608+Z608+Y608,2)</f>
        <v>33.549999999999997</v>
      </c>
      <c r="AB608" s="129"/>
      <c r="AC608" s="129">
        <f>Table1[[#This Row],[Total Amount]]-Table1[[#This Row],[Previous Amount]]</f>
        <v>33.549999999999997</v>
      </c>
      <c r="AD608" s="153"/>
    </row>
    <row r="609" spans="1:30" ht="30" customHeight="1" x14ac:dyDescent="0.3">
      <c r="A609" s="92" t="s">
        <v>89</v>
      </c>
      <c r="B609" s="92" t="s">
        <v>97</v>
      </c>
      <c r="C609" s="16">
        <v>213</v>
      </c>
      <c r="D609" s="187">
        <v>75864</v>
      </c>
      <c r="E609" s="16"/>
      <c r="F609" s="17" t="s">
        <v>307</v>
      </c>
      <c r="G609" s="17" t="s">
        <v>261</v>
      </c>
      <c r="H609" s="16" t="s">
        <v>339</v>
      </c>
      <c r="I609" s="16">
        <v>1</v>
      </c>
      <c r="J609" s="187">
        <v>20</v>
      </c>
      <c r="K609" s="16"/>
      <c r="L609" s="16">
        <v>1.5</v>
      </c>
      <c r="M609" s="16"/>
      <c r="N609" s="93" t="s">
        <v>283</v>
      </c>
      <c r="O609" s="93">
        <f t="shared" ref="O609" si="195">ROUND(IF(N609="m3",I609*J609*K609*L609,IF(N609="m2-LxH",I609*J609*L609,IF(N609="m2-LxW",I609*J609*K609,IF(N609="rm",I609*L609,IF(N609="lm",I609*J609,IF(N609="unit",I609,"NA")))))),2)</f>
        <v>20</v>
      </c>
      <c r="P609" s="188">
        <v>44946</v>
      </c>
      <c r="Q609" s="18"/>
      <c r="R609" s="140">
        <v>1</v>
      </c>
      <c r="S609" s="140">
        <v>1</v>
      </c>
      <c r="T609" s="140">
        <v>0</v>
      </c>
      <c r="U609" s="20">
        <f>IF(ISBLANK(Table1[[#This Row],[OHC Date]]),$B$7-Table1[[#This Row],[HOC Date]]+1,Table1[[#This Row],[OHC Date]]-Table1[[#This Row],[HOC Date]]+1)/7</f>
        <v>0.8571428571428571</v>
      </c>
      <c r="V609" s="107">
        <v>15</v>
      </c>
      <c r="W609" s="107">
        <v>0.91</v>
      </c>
      <c r="X609" s="21">
        <f>ROUND(0.7*Table1[[#This Row],[E&amp;D Rate per unit]]*R609*Table1[[#This Row],[Quantity]],2)</f>
        <v>210</v>
      </c>
      <c r="Y609" s="21">
        <f t="shared" ref="Y609" si="196">ROUND(O609*U609*W609*S609,2)</f>
        <v>15.6</v>
      </c>
      <c r="Z609" s="21">
        <f>ROUND(0.3*T609*Table1[[#This Row],[E&amp;D Rate per unit]]*Table1[[#This Row],[Quantity]],2)</f>
        <v>0</v>
      </c>
      <c r="AA609" s="21">
        <f t="shared" ref="AA609" si="197">ROUND(X609+Z609+Y609,2)</f>
        <v>225.6</v>
      </c>
      <c r="AB609" s="129"/>
      <c r="AC609" s="129">
        <f>Table1[[#This Row],[Total Amount]]-Table1[[#This Row],[Previous Amount]]</f>
        <v>225.6</v>
      </c>
      <c r="AD609" s="153"/>
    </row>
    <row r="610" spans="1:30" ht="30" customHeight="1" x14ac:dyDescent="0.3">
      <c r="A610" s="92" t="s">
        <v>89</v>
      </c>
      <c r="B610" s="92" t="s">
        <v>97</v>
      </c>
      <c r="C610" s="16">
        <v>214</v>
      </c>
      <c r="D610" s="187">
        <v>75865</v>
      </c>
      <c r="E610" s="16"/>
      <c r="F610" s="17" t="s">
        <v>847</v>
      </c>
      <c r="G610" s="17" t="s">
        <v>200</v>
      </c>
      <c r="H610" s="16" t="s">
        <v>220</v>
      </c>
      <c r="I610" s="16">
        <v>1</v>
      </c>
      <c r="J610" s="187">
        <v>2.5</v>
      </c>
      <c r="K610" s="187">
        <v>1.3</v>
      </c>
      <c r="L610" s="187">
        <v>3.5</v>
      </c>
      <c r="M610" s="16">
        <v>1</v>
      </c>
      <c r="N610" s="93" t="s">
        <v>221</v>
      </c>
      <c r="O610" s="93">
        <f t="shared" ref="O610" si="198">ROUND(IF(N610="m3",I610*J610*K610*L610,IF(N610="m2-LxH",I610*J610*L610,IF(N610="m2-LxW",I610*J610*K610,IF(N610="rm",I610*L610,IF(N610="lm",I610*J610,IF(N610="unit",I610,"NA")))))),2)</f>
        <v>3.5</v>
      </c>
      <c r="P610" s="188">
        <v>44946</v>
      </c>
      <c r="Q610" s="18"/>
      <c r="R610" s="140">
        <v>1</v>
      </c>
      <c r="S610" s="140">
        <v>1</v>
      </c>
      <c r="T610" s="140">
        <v>0</v>
      </c>
      <c r="U610" s="20">
        <f>IF(ISBLANK(Table1[[#This Row],[OHC Date]]),$B$7-Table1[[#This Row],[HOC Date]]+1,Table1[[#This Row],[OHC Date]]-Table1[[#This Row],[HOC Date]]+1)/7</f>
        <v>0.8571428571428571</v>
      </c>
      <c r="V610" s="107">
        <v>63.34</v>
      </c>
      <c r="W610" s="107">
        <v>7.28</v>
      </c>
      <c r="X610" s="21">
        <f>ROUND(0.7*Table1[[#This Row],[E&amp;D Rate per unit]]*R610*Table1[[#This Row],[Quantity]],2)</f>
        <v>155.18</v>
      </c>
      <c r="Y610" s="21">
        <f t="shared" ref="Y610" si="199">ROUND(O610*U610*W610*S610,2)</f>
        <v>21.84</v>
      </c>
      <c r="Z610" s="21">
        <f>ROUND(0.3*T610*Table1[[#This Row],[E&amp;D Rate per unit]]*Table1[[#This Row],[Quantity]],2)</f>
        <v>0</v>
      </c>
      <c r="AA610" s="21">
        <f t="shared" ref="AA610" si="200">ROUND(X610+Z610+Y610,2)</f>
        <v>177.02</v>
      </c>
      <c r="AB610" s="129"/>
      <c r="AC610" s="129">
        <f>Table1[[#This Row],[Total Amount]]-Table1[[#This Row],[Previous Amount]]</f>
        <v>177.02</v>
      </c>
      <c r="AD610" s="153"/>
    </row>
    <row r="611" spans="1:30" ht="30" customHeight="1" x14ac:dyDescent="0.3">
      <c r="A611" s="92" t="s">
        <v>89</v>
      </c>
      <c r="B611" s="92" t="s">
        <v>97</v>
      </c>
      <c r="C611" s="16">
        <v>214</v>
      </c>
      <c r="D611" s="187">
        <v>75865</v>
      </c>
      <c r="E611" s="16"/>
      <c r="F611" s="17" t="s">
        <v>847</v>
      </c>
      <c r="G611" s="17" t="s">
        <v>200</v>
      </c>
      <c r="H611" s="16" t="s">
        <v>176</v>
      </c>
      <c r="I611" s="16">
        <v>1</v>
      </c>
      <c r="J611" s="187">
        <v>2.5</v>
      </c>
      <c r="K611" s="187">
        <v>1.3</v>
      </c>
      <c r="L611" s="187"/>
      <c r="M611" s="16">
        <v>1</v>
      </c>
      <c r="N611" s="93" t="s">
        <v>160</v>
      </c>
      <c r="O611" s="93">
        <f t="shared" ref="O611" si="201">ROUND(IF(N611="m3",I611*J611*K611*L611,IF(N611="m2-LxH",I611*J611*L611,IF(N611="m2-LxW",I611*J611*K611,IF(N611="rm",I611*L611,IF(N611="lm",I611*J611,IF(N611="unit",I611,"NA")))))),2)</f>
        <v>3.25</v>
      </c>
      <c r="P611" s="188">
        <v>44946</v>
      </c>
      <c r="Q611" s="18"/>
      <c r="R611" s="140">
        <v>1</v>
      </c>
      <c r="S611" s="140">
        <v>1</v>
      </c>
      <c r="T611" s="140">
        <v>0</v>
      </c>
      <c r="U611" s="20">
        <f>IF(ISBLANK(Table1[[#This Row],[OHC Date]]),$B$7-Table1[[#This Row],[HOC Date]]+1,Table1[[#This Row],[OHC Date]]-Table1[[#This Row],[HOC Date]]+1)/7</f>
        <v>0.8571428571428571</v>
      </c>
      <c r="V611" s="107">
        <v>6.63</v>
      </c>
      <c r="W611" s="107">
        <v>0.7</v>
      </c>
      <c r="X611" s="21">
        <f>ROUND(0.7*Table1[[#This Row],[E&amp;D Rate per unit]]*R611*Table1[[#This Row],[Quantity]],2)</f>
        <v>15.08</v>
      </c>
      <c r="Y611" s="21">
        <f t="shared" ref="Y611" si="202">ROUND(O611*U611*W611*S611,2)</f>
        <v>1.95</v>
      </c>
      <c r="Z611" s="21">
        <f>ROUND(0.3*T611*Table1[[#This Row],[E&amp;D Rate per unit]]*Table1[[#This Row],[Quantity]],2)</f>
        <v>0</v>
      </c>
      <c r="AA611" s="21">
        <f t="shared" ref="AA611" si="203">ROUND(X611+Z611+Y611,2)</f>
        <v>17.03</v>
      </c>
      <c r="AB611" s="129"/>
      <c r="AC611" s="129">
        <f>Table1[[#This Row],[Total Amount]]-Table1[[#This Row],[Previous Amount]]</f>
        <v>17.03</v>
      </c>
      <c r="AD611" s="153"/>
    </row>
    <row r="612" spans="1:30" ht="30" customHeight="1" x14ac:dyDescent="0.3">
      <c r="A612" s="92" t="s">
        <v>89</v>
      </c>
      <c r="B612" s="92" t="s">
        <v>97</v>
      </c>
      <c r="C612" s="16">
        <v>215</v>
      </c>
      <c r="D612" s="187">
        <v>75866</v>
      </c>
      <c r="E612" s="16"/>
      <c r="F612" s="17" t="s">
        <v>847</v>
      </c>
      <c r="G612" s="17" t="s">
        <v>200</v>
      </c>
      <c r="H612" s="16" t="s">
        <v>220</v>
      </c>
      <c r="I612" s="16">
        <v>1</v>
      </c>
      <c r="J612" s="187">
        <v>1.8</v>
      </c>
      <c r="K612" s="187">
        <v>1.3</v>
      </c>
      <c r="L612" s="187">
        <v>3.5</v>
      </c>
      <c r="M612" s="16">
        <v>1</v>
      </c>
      <c r="N612" s="93" t="s">
        <v>221</v>
      </c>
      <c r="O612" s="93">
        <f t="shared" ref="O612" si="204">ROUND(IF(N612="m3",I612*J612*K612*L612,IF(N612="m2-LxH",I612*J612*L612,IF(N612="m2-LxW",I612*J612*K612,IF(N612="rm",I612*L612,IF(N612="lm",I612*J612,IF(N612="unit",I612,"NA")))))),2)</f>
        <v>3.5</v>
      </c>
      <c r="P612" s="188">
        <v>44946</v>
      </c>
      <c r="Q612" s="18"/>
      <c r="R612" s="140">
        <v>1</v>
      </c>
      <c r="S612" s="140">
        <v>1</v>
      </c>
      <c r="T612" s="140">
        <v>0</v>
      </c>
      <c r="U612" s="20">
        <f>IF(ISBLANK(Table1[[#This Row],[OHC Date]]),$B$7-Table1[[#This Row],[HOC Date]]+1,Table1[[#This Row],[OHC Date]]-Table1[[#This Row],[HOC Date]]+1)/7</f>
        <v>0.8571428571428571</v>
      </c>
      <c r="V612" s="107">
        <v>63.34</v>
      </c>
      <c r="W612" s="107">
        <v>7.28</v>
      </c>
      <c r="X612" s="21">
        <f>ROUND(0.7*Table1[[#This Row],[E&amp;D Rate per unit]]*R612*Table1[[#This Row],[Quantity]],2)</f>
        <v>155.18</v>
      </c>
      <c r="Y612" s="21">
        <f t="shared" ref="Y612" si="205">ROUND(O612*U612*W612*S612,2)</f>
        <v>21.84</v>
      </c>
      <c r="Z612" s="21">
        <f>ROUND(0.3*T612*Table1[[#This Row],[E&amp;D Rate per unit]]*Table1[[#This Row],[Quantity]],2)</f>
        <v>0</v>
      </c>
      <c r="AA612" s="21">
        <f t="shared" ref="AA612" si="206">ROUND(X612+Z612+Y612,2)</f>
        <v>177.02</v>
      </c>
      <c r="AB612" s="129"/>
      <c r="AC612" s="129">
        <f>Table1[[#This Row],[Total Amount]]-Table1[[#This Row],[Previous Amount]]</f>
        <v>177.02</v>
      </c>
      <c r="AD612" s="153"/>
    </row>
    <row r="613" spans="1:30" ht="30" customHeight="1" x14ac:dyDescent="0.3">
      <c r="A613" s="92" t="s">
        <v>89</v>
      </c>
      <c r="B613" s="92" t="s">
        <v>97</v>
      </c>
      <c r="C613" s="16">
        <v>215</v>
      </c>
      <c r="D613" s="187">
        <v>75866</v>
      </c>
      <c r="E613" s="16"/>
      <c r="F613" s="17" t="s">
        <v>847</v>
      </c>
      <c r="G613" s="17" t="s">
        <v>200</v>
      </c>
      <c r="H613" s="16" t="s">
        <v>176</v>
      </c>
      <c r="I613" s="16">
        <v>1</v>
      </c>
      <c r="J613" s="187">
        <v>1.8</v>
      </c>
      <c r="K613" s="187">
        <v>1.3</v>
      </c>
      <c r="L613" s="187"/>
      <c r="M613" s="16">
        <v>1</v>
      </c>
      <c r="N613" s="93" t="s">
        <v>160</v>
      </c>
      <c r="O613" s="93">
        <f t="shared" ref="O613" si="207">ROUND(IF(N613="m3",I613*J613*K613*L613,IF(N613="m2-LxH",I613*J613*L613,IF(N613="m2-LxW",I613*J613*K613,IF(N613="rm",I613*L613,IF(N613="lm",I613*J613,IF(N613="unit",I613,"NA")))))),2)</f>
        <v>2.34</v>
      </c>
      <c r="P613" s="188">
        <v>44946</v>
      </c>
      <c r="Q613" s="18"/>
      <c r="R613" s="140">
        <v>1</v>
      </c>
      <c r="S613" s="140">
        <v>1</v>
      </c>
      <c r="T613" s="140">
        <v>0</v>
      </c>
      <c r="U613" s="20">
        <f>IF(ISBLANK(Table1[[#This Row],[OHC Date]]),$B$7-Table1[[#This Row],[HOC Date]]+1,Table1[[#This Row],[OHC Date]]-Table1[[#This Row],[HOC Date]]+1)/7</f>
        <v>0.8571428571428571</v>
      </c>
      <c r="V613" s="107">
        <v>6.63</v>
      </c>
      <c r="W613" s="107">
        <v>0.7</v>
      </c>
      <c r="X613" s="21">
        <f>ROUND(0.7*Table1[[#This Row],[E&amp;D Rate per unit]]*R613*Table1[[#This Row],[Quantity]],2)</f>
        <v>10.86</v>
      </c>
      <c r="Y613" s="21">
        <f t="shared" ref="Y613" si="208">ROUND(O613*U613*W613*S613,2)</f>
        <v>1.4</v>
      </c>
      <c r="Z613" s="21">
        <f>ROUND(0.3*T613*Table1[[#This Row],[E&amp;D Rate per unit]]*Table1[[#This Row],[Quantity]],2)</f>
        <v>0</v>
      </c>
      <c r="AA613" s="21">
        <f t="shared" ref="AA613" si="209">ROUND(X613+Z613+Y613,2)</f>
        <v>12.26</v>
      </c>
      <c r="AB613" s="129"/>
      <c r="AC613" s="129">
        <f>Table1[[#This Row],[Total Amount]]-Table1[[#This Row],[Previous Amount]]</f>
        <v>12.26</v>
      </c>
      <c r="AD613" s="153"/>
    </row>
    <row r="614" spans="1:30" ht="30" customHeight="1" x14ac:dyDescent="0.3">
      <c r="A614" s="92" t="s">
        <v>89</v>
      </c>
      <c r="B614" s="92" t="s">
        <v>97</v>
      </c>
      <c r="C614" s="16">
        <v>216</v>
      </c>
      <c r="D614" s="187">
        <v>75867</v>
      </c>
      <c r="E614" s="16"/>
      <c r="F614" s="17" t="s">
        <v>834</v>
      </c>
      <c r="G614" s="17" t="s">
        <v>355</v>
      </c>
      <c r="H614" s="102" t="s">
        <v>205</v>
      </c>
      <c r="I614" s="16">
        <v>1</v>
      </c>
      <c r="J614" s="187">
        <v>3.8</v>
      </c>
      <c r="K614" s="187">
        <v>0.9</v>
      </c>
      <c r="L614" s="187">
        <v>1.5</v>
      </c>
      <c r="M614" s="16">
        <v>1</v>
      </c>
      <c r="N614" s="93" t="s">
        <v>206</v>
      </c>
      <c r="O614" s="93">
        <f t="shared" ref="O614" si="210">ROUND(IF(N614="m3",I614*J614*K614*L614,IF(N614="m2-LxH",I614*J614*L614,IF(N614="m2-LxW",I614*J614*K614,IF(N614="rm",I614*L614,IF(N614="lm",I614*J614,IF(N614="unit",I614,"NA")))))),2)</f>
        <v>5.7</v>
      </c>
      <c r="P614" s="188">
        <v>44947</v>
      </c>
      <c r="Q614" s="18"/>
      <c r="R614" s="140">
        <v>1</v>
      </c>
      <c r="S614" s="140">
        <v>1</v>
      </c>
      <c r="T614" s="140">
        <v>0</v>
      </c>
      <c r="U614" s="20">
        <f>IF(ISBLANK(Table1[[#This Row],[OHC Date]]),$B$7-Table1[[#This Row],[HOC Date]]+1,Table1[[#This Row],[OHC Date]]-Table1[[#This Row],[HOC Date]]+1)/7</f>
        <v>0.7142857142857143</v>
      </c>
      <c r="V614" s="142">
        <v>12.01</v>
      </c>
      <c r="W614" s="142">
        <v>0.49</v>
      </c>
      <c r="X614" s="21">
        <f>ROUND(0.7*Table1[[#This Row],[E&amp;D Rate per unit]]*R614*Table1[[#This Row],[Quantity]],2)</f>
        <v>47.92</v>
      </c>
      <c r="Y614" s="21">
        <f t="shared" ref="Y614" si="211">ROUND(O614*U614*W614*S614,2)</f>
        <v>2</v>
      </c>
      <c r="Z614" s="21">
        <f>ROUND(0.3*T614*Table1[[#This Row],[E&amp;D Rate per unit]]*Table1[[#This Row],[Quantity]],2)</f>
        <v>0</v>
      </c>
      <c r="AA614" s="21">
        <f t="shared" ref="AA614" si="212">ROUND(X614+Z614+Y614,2)</f>
        <v>49.92</v>
      </c>
      <c r="AB614" s="129"/>
      <c r="AC614" s="129">
        <f>Table1[[#This Row],[Total Amount]]-Table1[[#This Row],[Previous Amount]]</f>
        <v>49.92</v>
      </c>
      <c r="AD614" s="153"/>
    </row>
    <row r="615" spans="1:30" ht="30" customHeight="1" x14ac:dyDescent="0.3">
      <c r="A615" s="92" t="s">
        <v>89</v>
      </c>
      <c r="B615" s="92" t="s">
        <v>97</v>
      </c>
      <c r="C615" s="16" t="s">
        <v>848</v>
      </c>
      <c r="D615" s="187">
        <v>75867</v>
      </c>
      <c r="E615" s="16"/>
      <c r="F615" s="17" t="s">
        <v>834</v>
      </c>
      <c r="G615" s="17" t="s">
        <v>355</v>
      </c>
      <c r="H615" s="102" t="s">
        <v>205</v>
      </c>
      <c r="I615" s="16">
        <v>1</v>
      </c>
      <c r="J615" s="187">
        <v>7</v>
      </c>
      <c r="K615" s="187">
        <v>0.9</v>
      </c>
      <c r="L615" s="187">
        <v>2</v>
      </c>
      <c r="M615" s="16">
        <v>1</v>
      </c>
      <c r="N615" s="93" t="s">
        <v>206</v>
      </c>
      <c r="O615" s="93">
        <f t="shared" ref="O615" si="213">ROUND(IF(N615="m3",I615*J615*K615*L615,IF(N615="m2-LxH",I615*J615*L615,IF(N615="m2-LxW",I615*J615*K615,IF(N615="rm",I615*L615,IF(N615="lm",I615*J615,IF(N615="unit",I615,"NA")))))),2)</f>
        <v>14</v>
      </c>
      <c r="P615" s="188">
        <v>44947</v>
      </c>
      <c r="Q615" s="18"/>
      <c r="R615" s="140">
        <v>1</v>
      </c>
      <c r="S615" s="140">
        <v>1</v>
      </c>
      <c r="T615" s="140">
        <v>0</v>
      </c>
      <c r="U615" s="20">
        <f>IF(ISBLANK(Table1[[#This Row],[OHC Date]]),$B$7-Table1[[#This Row],[HOC Date]]+1,Table1[[#This Row],[OHC Date]]-Table1[[#This Row],[HOC Date]]+1)/7</f>
        <v>0.7142857142857143</v>
      </c>
      <c r="V615" s="142">
        <v>12.01</v>
      </c>
      <c r="W615" s="142">
        <v>0.49</v>
      </c>
      <c r="X615" s="21">
        <f>ROUND(0.7*Table1[[#This Row],[E&amp;D Rate per unit]]*R615*Table1[[#This Row],[Quantity]],2)</f>
        <v>117.7</v>
      </c>
      <c r="Y615" s="21">
        <f t="shared" ref="Y615" si="214">ROUND(O615*U615*W615*S615,2)</f>
        <v>4.9000000000000004</v>
      </c>
      <c r="Z615" s="21">
        <f>ROUND(0.3*T615*Table1[[#This Row],[E&amp;D Rate per unit]]*Table1[[#This Row],[Quantity]],2)</f>
        <v>0</v>
      </c>
      <c r="AA615" s="21">
        <f t="shared" ref="AA615" si="215">ROUND(X615+Z615+Y615,2)</f>
        <v>122.6</v>
      </c>
      <c r="AB615" s="129"/>
      <c r="AC615" s="129">
        <f>Table1[[#This Row],[Total Amount]]-Table1[[#This Row],[Previous Amount]]</f>
        <v>122.6</v>
      </c>
      <c r="AD615" s="153"/>
    </row>
    <row r="616" spans="1:30" ht="30" customHeight="1" x14ac:dyDescent="0.3">
      <c r="A616" s="92" t="s">
        <v>89</v>
      </c>
      <c r="B616" s="92" t="s">
        <v>97</v>
      </c>
      <c r="C616" s="16" t="s">
        <v>849</v>
      </c>
      <c r="D616" s="187">
        <v>75868</v>
      </c>
      <c r="E616" s="16"/>
      <c r="F616" s="17" t="s">
        <v>834</v>
      </c>
      <c r="G616" s="17" t="s">
        <v>226</v>
      </c>
      <c r="H616" s="102" t="s">
        <v>205</v>
      </c>
      <c r="I616" s="16">
        <v>1</v>
      </c>
      <c r="J616" s="187">
        <v>7.5</v>
      </c>
      <c r="K616" s="187">
        <v>0.9</v>
      </c>
      <c r="L616" s="187">
        <v>2.5</v>
      </c>
      <c r="M616" s="16">
        <v>1</v>
      </c>
      <c r="N616" s="93" t="s">
        <v>206</v>
      </c>
      <c r="O616" s="93">
        <f t="shared" ref="O616" si="216">ROUND(IF(N616="m3",I616*J616*K616*L616,IF(N616="m2-LxH",I616*J616*L616,IF(N616="m2-LxW",I616*J616*K616,IF(N616="rm",I616*L616,IF(N616="lm",I616*J616,IF(N616="unit",I616,"NA")))))),2)</f>
        <v>18.75</v>
      </c>
      <c r="P616" s="188">
        <v>44947</v>
      </c>
      <c r="Q616" s="18"/>
      <c r="R616" s="140">
        <v>1</v>
      </c>
      <c r="S616" s="140">
        <v>1</v>
      </c>
      <c r="T616" s="140">
        <v>0</v>
      </c>
      <c r="U616" s="20">
        <f>IF(ISBLANK(Table1[[#This Row],[OHC Date]]),$B$7-Table1[[#This Row],[HOC Date]]+1,Table1[[#This Row],[OHC Date]]-Table1[[#This Row],[HOC Date]]+1)/7</f>
        <v>0.7142857142857143</v>
      </c>
      <c r="V616" s="142">
        <v>12.01</v>
      </c>
      <c r="W616" s="142">
        <v>0.49</v>
      </c>
      <c r="X616" s="21">
        <f>ROUND(0.7*Table1[[#This Row],[E&amp;D Rate per unit]]*R616*Table1[[#This Row],[Quantity]],2)</f>
        <v>157.63</v>
      </c>
      <c r="Y616" s="21">
        <f t="shared" ref="Y616" si="217">ROUND(O616*U616*W616*S616,2)</f>
        <v>6.56</v>
      </c>
      <c r="Z616" s="21">
        <f>ROUND(0.3*T616*Table1[[#This Row],[E&amp;D Rate per unit]]*Table1[[#This Row],[Quantity]],2)</f>
        <v>0</v>
      </c>
      <c r="AA616" s="21">
        <f t="shared" ref="AA616" si="218">ROUND(X616+Z616+Y616,2)</f>
        <v>164.19</v>
      </c>
      <c r="AB616" s="129"/>
      <c r="AC616" s="129">
        <f>Table1[[#This Row],[Total Amount]]-Table1[[#This Row],[Previous Amount]]</f>
        <v>164.19</v>
      </c>
      <c r="AD616" s="153"/>
    </row>
    <row r="617" spans="1:30" ht="30" customHeight="1" x14ac:dyDescent="0.3">
      <c r="A617" s="92" t="s">
        <v>89</v>
      </c>
      <c r="B617" s="92" t="s">
        <v>97</v>
      </c>
      <c r="C617" s="16" t="s">
        <v>849</v>
      </c>
      <c r="D617" s="187">
        <v>75868</v>
      </c>
      <c r="E617" s="16"/>
      <c r="F617" s="17" t="s">
        <v>834</v>
      </c>
      <c r="G617" s="17" t="s">
        <v>226</v>
      </c>
      <c r="H617" s="16" t="s">
        <v>176</v>
      </c>
      <c r="I617" s="16">
        <v>1</v>
      </c>
      <c r="J617" s="187">
        <v>7.5</v>
      </c>
      <c r="K617" s="187">
        <v>0.9</v>
      </c>
      <c r="L617" s="187"/>
      <c r="M617" s="16">
        <v>1</v>
      </c>
      <c r="N617" s="93" t="s">
        <v>160</v>
      </c>
      <c r="O617" s="93">
        <f t="shared" ref="O617:O618" si="219">ROUND(IF(N617="m3",I617*J617*K617*L617,IF(N617="m2-LxH",I617*J617*L617,IF(N617="m2-LxW",I617*J617*K617,IF(N617="rm",I617*L617,IF(N617="lm",I617*J617,IF(N617="unit",I617,"NA")))))),2)</f>
        <v>6.75</v>
      </c>
      <c r="P617" s="188">
        <v>44947</v>
      </c>
      <c r="Q617" s="18"/>
      <c r="R617" s="140">
        <v>1</v>
      </c>
      <c r="S617" s="140">
        <v>1</v>
      </c>
      <c r="T617" s="140">
        <v>0</v>
      </c>
      <c r="U617" s="20">
        <f>IF(ISBLANK(Table1[[#This Row],[OHC Date]]),$B$7-Table1[[#This Row],[HOC Date]]+1,Table1[[#This Row],[OHC Date]]-Table1[[#This Row],[HOC Date]]+1)/7</f>
        <v>0.7142857142857143</v>
      </c>
      <c r="V617" s="107">
        <v>6.63</v>
      </c>
      <c r="W617" s="107">
        <v>0.7</v>
      </c>
      <c r="X617" s="21">
        <f>ROUND(0.7*Table1[[#This Row],[E&amp;D Rate per unit]]*R617*Table1[[#This Row],[Quantity]],2)</f>
        <v>31.33</v>
      </c>
      <c r="Y617" s="21">
        <f t="shared" ref="Y617:Y618" si="220">ROUND(O617*U617*W617*S617,2)</f>
        <v>3.38</v>
      </c>
      <c r="Z617" s="21">
        <f>ROUND(0.3*T617*Table1[[#This Row],[E&amp;D Rate per unit]]*Table1[[#This Row],[Quantity]],2)</f>
        <v>0</v>
      </c>
      <c r="AA617" s="21">
        <f t="shared" ref="AA617:AA618" si="221">ROUND(X617+Z617+Y617,2)</f>
        <v>34.71</v>
      </c>
      <c r="AB617" s="129"/>
      <c r="AC617" s="129">
        <f>Table1[[#This Row],[Total Amount]]-Table1[[#This Row],[Previous Amount]]</f>
        <v>34.71</v>
      </c>
      <c r="AD617" s="153"/>
    </row>
    <row r="618" spans="1:30" ht="30" customHeight="1" x14ac:dyDescent="0.3">
      <c r="A618" s="92" t="s">
        <v>89</v>
      </c>
      <c r="B618" s="92" t="s">
        <v>97</v>
      </c>
      <c r="C618" s="16" t="s">
        <v>850</v>
      </c>
      <c r="D618" s="187">
        <v>75869</v>
      </c>
      <c r="E618" s="16"/>
      <c r="F618" s="17" t="s">
        <v>834</v>
      </c>
      <c r="G618" s="17" t="s">
        <v>226</v>
      </c>
      <c r="H618" s="102" t="s">
        <v>205</v>
      </c>
      <c r="I618" s="16">
        <v>1</v>
      </c>
      <c r="J618" s="187">
        <v>7.5</v>
      </c>
      <c r="K618" s="187">
        <v>0.9</v>
      </c>
      <c r="L618" s="187">
        <v>2.5</v>
      </c>
      <c r="M618" s="16">
        <v>1</v>
      </c>
      <c r="N618" s="93" t="s">
        <v>206</v>
      </c>
      <c r="O618" s="93">
        <f t="shared" si="219"/>
        <v>18.75</v>
      </c>
      <c r="P618" s="188">
        <v>44947</v>
      </c>
      <c r="Q618" s="18"/>
      <c r="R618" s="140">
        <v>1</v>
      </c>
      <c r="S618" s="140">
        <v>1</v>
      </c>
      <c r="T618" s="140">
        <v>0</v>
      </c>
      <c r="U618" s="20">
        <f>IF(ISBLANK(Table1[[#This Row],[OHC Date]]),$B$7-Table1[[#This Row],[HOC Date]]+1,Table1[[#This Row],[OHC Date]]-Table1[[#This Row],[HOC Date]]+1)/7</f>
        <v>0.7142857142857143</v>
      </c>
      <c r="V618" s="142">
        <v>12.01</v>
      </c>
      <c r="W618" s="142">
        <v>0.49</v>
      </c>
      <c r="X618" s="21">
        <f>ROUND(0.7*Table1[[#This Row],[E&amp;D Rate per unit]]*R618*Table1[[#This Row],[Quantity]],2)</f>
        <v>157.63</v>
      </c>
      <c r="Y618" s="21">
        <f t="shared" si="220"/>
        <v>6.56</v>
      </c>
      <c r="Z618" s="21">
        <f>ROUND(0.3*T618*Table1[[#This Row],[E&amp;D Rate per unit]]*Table1[[#This Row],[Quantity]],2)</f>
        <v>0</v>
      </c>
      <c r="AA618" s="21">
        <f t="shared" si="221"/>
        <v>164.19</v>
      </c>
      <c r="AB618" s="129"/>
      <c r="AC618" s="129">
        <f>Table1[[#This Row],[Total Amount]]-Table1[[#This Row],[Previous Amount]]</f>
        <v>164.19</v>
      </c>
      <c r="AD618" s="153"/>
    </row>
    <row r="619" spans="1:30" ht="30" customHeight="1" x14ac:dyDescent="0.3">
      <c r="A619" s="92" t="s">
        <v>89</v>
      </c>
      <c r="B619" s="92" t="s">
        <v>97</v>
      </c>
      <c r="C619" s="16" t="s">
        <v>850</v>
      </c>
      <c r="D619" s="187">
        <v>75869</v>
      </c>
      <c r="E619" s="16"/>
      <c r="F619" s="17" t="s">
        <v>834</v>
      </c>
      <c r="G619" s="17" t="s">
        <v>226</v>
      </c>
      <c r="H619" s="16" t="s">
        <v>176</v>
      </c>
      <c r="I619" s="16">
        <v>1</v>
      </c>
      <c r="J619" s="187">
        <v>7.5</v>
      </c>
      <c r="K619" s="187">
        <v>0.9</v>
      </c>
      <c r="L619" s="187"/>
      <c r="M619" s="16">
        <v>1</v>
      </c>
      <c r="N619" s="93" t="s">
        <v>160</v>
      </c>
      <c r="O619" s="93">
        <f t="shared" ref="O619" si="222">ROUND(IF(N619="m3",I619*J619*K619*L619,IF(N619="m2-LxH",I619*J619*L619,IF(N619="m2-LxW",I619*J619*K619,IF(N619="rm",I619*L619,IF(N619="lm",I619*J619,IF(N619="unit",I619,"NA")))))),2)</f>
        <v>6.75</v>
      </c>
      <c r="P619" s="188">
        <v>44947</v>
      </c>
      <c r="Q619" s="18"/>
      <c r="R619" s="140">
        <v>1</v>
      </c>
      <c r="S619" s="140">
        <v>1</v>
      </c>
      <c r="T619" s="140">
        <v>0</v>
      </c>
      <c r="U619" s="20">
        <f>IF(ISBLANK(Table1[[#This Row],[OHC Date]]),$B$7-Table1[[#This Row],[HOC Date]]+1,Table1[[#This Row],[OHC Date]]-Table1[[#This Row],[HOC Date]]+1)/7</f>
        <v>0.7142857142857143</v>
      </c>
      <c r="V619" s="107">
        <v>6.63</v>
      </c>
      <c r="W619" s="107">
        <v>0.7</v>
      </c>
      <c r="X619" s="21">
        <f>ROUND(0.7*Table1[[#This Row],[E&amp;D Rate per unit]]*R619*Table1[[#This Row],[Quantity]],2)</f>
        <v>31.33</v>
      </c>
      <c r="Y619" s="21">
        <f t="shared" ref="Y619" si="223">ROUND(O619*U619*W619*S619,2)</f>
        <v>3.38</v>
      </c>
      <c r="Z619" s="21">
        <f>ROUND(0.3*T619*Table1[[#This Row],[E&amp;D Rate per unit]]*Table1[[#This Row],[Quantity]],2)</f>
        <v>0</v>
      </c>
      <c r="AA619" s="21">
        <f t="shared" ref="AA619" si="224">ROUND(X619+Z619+Y619,2)</f>
        <v>34.71</v>
      </c>
      <c r="AB619" s="129"/>
      <c r="AC619" s="129">
        <f>Table1[[#This Row],[Total Amount]]-Table1[[#This Row],[Previous Amount]]</f>
        <v>34.71</v>
      </c>
      <c r="AD619" s="153"/>
    </row>
    <row r="620" spans="1:30" ht="30" customHeight="1" x14ac:dyDescent="0.3">
      <c r="A620" s="92" t="s">
        <v>89</v>
      </c>
      <c r="B620" s="92" t="s">
        <v>97</v>
      </c>
      <c r="C620" s="16" t="s">
        <v>851</v>
      </c>
      <c r="D620" s="187">
        <v>75869</v>
      </c>
      <c r="E620" s="16"/>
      <c r="F620" s="17" t="s">
        <v>834</v>
      </c>
      <c r="G620" s="17" t="s">
        <v>226</v>
      </c>
      <c r="H620" s="102" t="s">
        <v>205</v>
      </c>
      <c r="I620" s="16">
        <v>1</v>
      </c>
      <c r="J620" s="187">
        <v>6</v>
      </c>
      <c r="K620" s="187">
        <v>0.9</v>
      </c>
      <c r="L620" s="187">
        <v>2.5</v>
      </c>
      <c r="M620" s="16">
        <v>1</v>
      </c>
      <c r="N620" s="93" t="s">
        <v>206</v>
      </c>
      <c r="O620" s="93">
        <f t="shared" ref="O620" si="225">ROUND(IF(N620="m3",I620*J620*K620*L620,IF(N620="m2-LxH",I620*J620*L620,IF(N620="m2-LxW",I620*J620*K620,IF(N620="rm",I620*L620,IF(N620="lm",I620*J620,IF(N620="unit",I620,"NA")))))),2)</f>
        <v>15</v>
      </c>
      <c r="P620" s="188">
        <v>44947</v>
      </c>
      <c r="Q620" s="18"/>
      <c r="R620" s="140">
        <v>1</v>
      </c>
      <c r="S620" s="140">
        <v>1</v>
      </c>
      <c r="T620" s="140">
        <v>0</v>
      </c>
      <c r="U620" s="20">
        <f>IF(ISBLANK(Table1[[#This Row],[OHC Date]]),$B$7-Table1[[#This Row],[HOC Date]]+1,Table1[[#This Row],[OHC Date]]-Table1[[#This Row],[HOC Date]]+1)/7</f>
        <v>0.7142857142857143</v>
      </c>
      <c r="V620" s="142">
        <v>12.01</v>
      </c>
      <c r="W620" s="142">
        <v>0.49</v>
      </c>
      <c r="X620" s="21">
        <f>ROUND(0.7*Table1[[#This Row],[E&amp;D Rate per unit]]*R620*Table1[[#This Row],[Quantity]],2)</f>
        <v>126.11</v>
      </c>
      <c r="Y620" s="21">
        <f t="shared" ref="Y620" si="226">ROUND(O620*U620*W620*S620,2)</f>
        <v>5.25</v>
      </c>
      <c r="Z620" s="21">
        <f>ROUND(0.3*T620*Table1[[#This Row],[E&amp;D Rate per unit]]*Table1[[#This Row],[Quantity]],2)</f>
        <v>0</v>
      </c>
      <c r="AA620" s="21">
        <f t="shared" ref="AA620" si="227">ROUND(X620+Z620+Y620,2)</f>
        <v>131.36000000000001</v>
      </c>
      <c r="AB620" s="129"/>
      <c r="AC620" s="129">
        <f>Table1[[#This Row],[Total Amount]]-Table1[[#This Row],[Previous Amount]]</f>
        <v>131.36000000000001</v>
      </c>
      <c r="AD620" s="153"/>
    </row>
    <row r="621" spans="1:30" ht="30" customHeight="1" x14ac:dyDescent="0.3">
      <c r="A621" s="92" t="s">
        <v>89</v>
      </c>
      <c r="B621" s="92" t="s">
        <v>97</v>
      </c>
      <c r="C621" s="16" t="s">
        <v>851</v>
      </c>
      <c r="D621" s="187">
        <v>75869</v>
      </c>
      <c r="E621" s="16"/>
      <c r="F621" s="17" t="s">
        <v>834</v>
      </c>
      <c r="G621" s="17" t="s">
        <v>226</v>
      </c>
      <c r="H621" s="16" t="s">
        <v>176</v>
      </c>
      <c r="I621" s="16">
        <v>1</v>
      </c>
      <c r="J621" s="187">
        <v>6</v>
      </c>
      <c r="K621" s="187">
        <v>0.9</v>
      </c>
      <c r="L621" s="187"/>
      <c r="M621" s="16">
        <v>1</v>
      </c>
      <c r="N621" s="93" t="s">
        <v>160</v>
      </c>
      <c r="O621" s="93">
        <f t="shared" ref="O621" si="228">ROUND(IF(N621="m3",I621*J621*K621*L621,IF(N621="m2-LxH",I621*J621*L621,IF(N621="m2-LxW",I621*J621*K621,IF(N621="rm",I621*L621,IF(N621="lm",I621*J621,IF(N621="unit",I621,"NA")))))),2)</f>
        <v>5.4</v>
      </c>
      <c r="P621" s="188">
        <v>44947</v>
      </c>
      <c r="Q621" s="18"/>
      <c r="R621" s="140">
        <v>1</v>
      </c>
      <c r="S621" s="140">
        <v>1</v>
      </c>
      <c r="T621" s="140">
        <v>0</v>
      </c>
      <c r="U621" s="20">
        <f>IF(ISBLANK(Table1[[#This Row],[OHC Date]]),$B$7-Table1[[#This Row],[HOC Date]]+1,Table1[[#This Row],[OHC Date]]-Table1[[#This Row],[HOC Date]]+1)/7</f>
        <v>0.7142857142857143</v>
      </c>
      <c r="V621" s="107">
        <v>6.63</v>
      </c>
      <c r="W621" s="107">
        <v>0.7</v>
      </c>
      <c r="X621" s="21">
        <f>ROUND(0.7*Table1[[#This Row],[E&amp;D Rate per unit]]*R621*Table1[[#This Row],[Quantity]],2)</f>
        <v>25.06</v>
      </c>
      <c r="Y621" s="21">
        <f t="shared" ref="Y621" si="229">ROUND(O621*U621*W621*S621,2)</f>
        <v>2.7</v>
      </c>
      <c r="Z621" s="21">
        <f>ROUND(0.3*T621*Table1[[#This Row],[E&amp;D Rate per unit]]*Table1[[#This Row],[Quantity]],2)</f>
        <v>0</v>
      </c>
      <c r="AA621" s="21">
        <f t="shared" ref="AA621" si="230">ROUND(X621+Z621+Y621,2)</f>
        <v>27.76</v>
      </c>
      <c r="AB621" s="129"/>
      <c r="AC621" s="129">
        <f>Table1[[#This Row],[Total Amount]]-Table1[[#This Row],[Previous Amount]]</f>
        <v>27.76</v>
      </c>
      <c r="AD621" s="153"/>
    </row>
    <row r="622" spans="1:30" ht="30" customHeight="1" x14ac:dyDescent="0.3">
      <c r="A622" s="92" t="s">
        <v>89</v>
      </c>
      <c r="B622" s="92" t="s">
        <v>97</v>
      </c>
      <c r="C622" s="16" t="s">
        <v>852</v>
      </c>
      <c r="D622" s="187">
        <v>75870</v>
      </c>
      <c r="E622" s="16"/>
      <c r="F622" s="17" t="s">
        <v>834</v>
      </c>
      <c r="G622" s="17" t="s">
        <v>226</v>
      </c>
      <c r="H622" s="102" t="s">
        <v>205</v>
      </c>
      <c r="I622" s="16">
        <v>1</v>
      </c>
      <c r="J622" s="187">
        <v>6.3</v>
      </c>
      <c r="K622" s="187">
        <v>0.9</v>
      </c>
      <c r="L622" s="187">
        <v>2.5</v>
      </c>
      <c r="M622" s="16">
        <v>1</v>
      </c>
      <c r="N622" s="93" t="s">
        <v>206</v>
      </c>
      <c r="O622" s="93">
        <f t="shared" ref="O622" si="231">ROUND(IF(N622="m3",I622*J622*K622*L622,IF(N622="m2-LxH",I622*J622*L622,IF(N622="m2-LxW",I622*J622*K622,IF(N622="rm",I622*L622,IF(N622="lm",I622*J622,IF(N622="unit",I622,"NA")))))),2)</f>
        <v>15.75</v>
      </c>
      <c r="P622" s="188">
        <v>44947</v>
      </c>
      <c r="Q622" s="18"/>
      <c r="R622" s="140">
        <v>1</v>
      </c>
      <c r="S622" s="140">
        <v>1</v>
      </c>
      <c r="T622" s="140">
        <v>0</v>
      </c>
      <c r="U622" s="20">
        <f>IF(ISBLANK(Table1[[#This Row],[OHC Date]]),$B$7-Table1[[#This Row],[HOC Date]]+1,Table1[[#This Row],[OHC Date]]-Table1[[#This Row],[HOC Date]]+1)/7</f>
        <v>0.7142857142857143</v>
      </c>
      <c r="V622" s="142">
        <v>12.01</v>
      </c>
      <c r="W622" s="142">
        <v>0.49</v>
      </c>
      <c r="X622" s="21">
        <f>ROUND(0.7*Table1[[#This Row],[E&amp;D Rate per unit]]*R622*Table1[[#This Row],[Quantity]],2)</f>
        <v>132.41</v>
      </c>
      <c r="Y622" s="21">
        <f t="shared" ref="Y622" si="232">ROUND(O622*U622*W622*S622,2)</f>
        <v>5.51</v>
      </c>
      <c r="Z622" s="21">
        <f>ROUND(0.3*T622*Table1[[#This Row],[E&amp;D Rate per unit]]*Table1[[#This Row],[Quantity]],2)</f>
        <v>0</v>
      </c>
      <c r="AA622" s="21">
        <f t="shared" ref="AA622" si="233">ROUND(X622+Z622+Y622,2)</f>
        <v>137.91999999999999</v>
      </c>
      <c r="AB622" s="129"/>
      <c r="AC622" s="129">
        <f>Table1[[#This Row],[Total Amount]]-Table1[[#This Row],[Previous Amount]]</f>
        <v>137.91999999999999</v>
      </c>
      <c r="AD622" s="153"/>
    </row>
    <row r="623" spans="1:30" ht="30" customHeight="1" x14ac:dyDescent="0.3">
      <c r="A623" s="92" t="s">
        <v>89</v>
      </c>
      <c r="B623" s="92" t="s">
        <v>97</v>
      </c>
      <c r="C623" s="16" t="s">
        <v>852</v>
      </c>
      <c r="D623" s="187">
        <v>75870</v>
      </c>
      <c r="E623" s="16"/>
      <c r="F623" s="17" t="s">
        <v>834</v>
      </c>
      <c r="G623" s="17" t="s">
        <v>226</v>
      </c>
      <c r="H623" s="16" t="s">
        <v>176</v>
      </c>
      <c r="I623" s="16">
        <v>1</v>
      </c>
      <c r="J623" s="187">
        <v>6.3</v>
      </c>
      <c r="K623" s="187">
        <v>0.9</v>
      </c>
      <c r="L623" s="187"/>
      <c r="M623" s="16">
        <v>1</v>
      </c>
      <c r="N623" s="93" t="s">
        <v>160</v>
      </c>
      <c r="O623" s="93">
        <f t="shared" ref="O623:O624" si="234">ROUND(IF(N623="m3",I623*J623*K623*L623,IF(N623="m2-LxH",I623*J623*L623,IF(N623="m2-LxW",I623*J623*K623,IF(N623="rm",I623*L623,IF(N623="lm",I623*J623,IF(N623="unit",I623,"NA")))))),2)</f>
        <v>5.67</v>
      </c>
      <c r="P623" s="188">
        <v>44947</v>
      </c>
      <c r="Q623" s="18"/>
      <c r="R623" s="140">
        <v>1</v>
      </c>
      <c r="S623" s="140">
        <v>1</v>
      </c>
      <c r="T623" s="140">
        <v>0</v>
      </c>
      <c r="U623" s="20">
        <f>IF(ISBLANK(Table1[[#This Row],[OHC Date]]),$B$7-Table1[[#This Row],[HOC Date]]+1,Table1[[#This Row],[OHC Date]]-Table1[[#This Row],[HOC Date]]+1)/7</f>
        <v>0.7142857142857143</v>
      </c>
      <c r="V623" s="107">
        <v>6.63</v>
      </c>
      <c r="W623" s="107">
        <v>0.7</v>
      </c>
      <c r="X623" s="21">
        <f>ROUND(0.7*Table1[[#This Row],[E&amp;D Rate per unit]]*R623*Table1[[#This Row],[Quantity]],2)</f>
        <v>26.31</v>
      </c>
      <c r="Y623" s="21">
        <f t="shared" ref="Y623:Y624" si="235">ROUND(O623*U623*W623*S623,2)</f>
        <v>2.84</v>
      </c>
      <c r="Z623" s="21">
        <f>ROUND(0.3*T623*Table1[[#This Row],[E&amp;D Rate per unit]]*Table1[[#This Row],[Quantity]],2)</f>
        <v>0</v>
      </c>
      <c r="AA623" s="21">
        <f t="shared" ref="AA623:AA624" si="236">ROUND(X623+Z623+Y623,2)</f>
        <v>29.15</v>
      </c>
      <c r="AB623" s="129"/>
      <c r="AC623" s="129">
        <f>Table1[[#This Row],[Total Amount]]-Table1[[#This Row],[Previous Amount]]</f>
        <v>29.15</v>
      </c>
      <c r="AD623" s="153"/>
    </row>
    <row r="624" spans="1:30" ht="30" customHeight="1" x14ac:dyDescent="0.3">
      <c r="A624" s="92" t="s">
        <v>89</v>
      </c>
      <c r="B624" s="92" t="s">
        <v>97</v>
      </c>
      <c r="C624" s="16">
        <v>217</v>
      </c>
      <c r="D624" s="187">
        <v>75871</v>
      </c>
      <c r="E624" s="16"/>
      <c r="F624" s="17" t="s">
        <v>744</v>
      </c>
      <c r="G624" s="17" t="s">
        <v>200</v>
      </c>
      <c r="H624" s="102" t="s">
        <v>205</v>
      </c>
      <c r="I624" s="16">
        <v>1</v>
      </c>
      <c r="J624" s="187">
        <v>5.0999999999999996</v>
      </c>
      <c r="K624" s="187">
        <v>1.3</v>
      </c>
      <c r="L624" s="187">
        <v>1</v>
      </c>
      <c r="M624" s="16">
        <v>1</v>
      </c>
      <c r="N624" s="93" t="s">
        <v>206</v>
      </c>
      <c r="O624" s="93">
        <f t="shared" si="234"/>
        <v>5.0999999999999996</v>
      </c>
      <c r="P624" s="188">
        <v>44947</v>
      </c>
      <c r="Q624" s="18"/>
      <c r="R624" s="140">
        <v>1</v>
      </c>
      <c r="S624" s="140">
        <v>1</v>
      </c>
      <c r="T624" s="140">
        <v>0</v>
      </c>
      <c r="U624" s="20">
        <f>IF(ISBLANK(Table1[[#This Row],[OHC Date]]),$B$7-Table1[[#This Row],[HOC Date]]+1,Table1[[#This Row],[OHC Date]]-Table1[[#This Row],[HOC Date]]+1)/7</f>
        <v>0.7142857142857143</v>
      </c>
      <c r="V624" s="142">
        <v>12.01</v>
      </c>
      <c r="W624" s="142">
        <v>0.49</v>
      </c>
      <c r="X624" s="21">
        <f>ROUND(0.7*Table1[[#This Row],[E&amp;D Rate per unit]]*R624*Table1[[#This Row],[Quantity]],2)</f>
        <v>42.88</v>
      </c>
      <c r="Y624" s="21">
        <f t="shared" si="235"/>
        <v>1.79</v>
      </c>
      <c r="Z624" s="21">
        <f>ROUND(0.3*T624*Table1[[#This Row],[E&amp;D Rate per unit]]*Table1[[#This Row],[Quantity]],2)</f>
        <v>0</v>
      </c>
      <c r="AA624" s="21">
        <f t="shared" si="236"/>
        <v>44.67</v>
      </c>
      <c r="AB624" s="129"/>
      <c r="AC624" s="129">
        <f>Table1[[#This Row],[Total Amount]]-Table1[[#This Row],[Previous Amount]]</f>
        <v>44.67</v>
      </c>
      <c r="AD624" s="153"/>
    </row>
    <row r="625" spans="1:30" ht="30" customHeight="1" x14ac:dyDescent="0.3">
      <c r="A625" s="92" t="s">
        <v>89</v>
      </c>
      <c r="B625" s="92" t="s">
        <v>97</v>
      </c>
      <c r="C625" s="16">
        <v>218</v>
      </c>
      <c r="D625" s="187">
        <v>75872</v>
      </c>
      <c r="E625" s="16"/>
      <c r="F625" s="17" t="s">
        <v>434</v>
      </c>
      <c r="G625" s="17" t="s">
        <v>200</v>
      </c>
      <c r="H625" s="102" t="s">
        <v>205</v>
      </c>
      <c r="I625" s="16">
        <v>1</v>
      </c>
      <c r="J625" s="187">
        <v>6</v>
      </c>
      <c r="K625" s="187">
        <v>0.9</v>
      </c>
      <c r="L625" s="187">
        <v>2.5</v>
      </c>
      <c r="M625" s="16">
        <v>1</v>
      </c>
      <c r="N625" s="93" t="s">
        <v>206</v>
      </c>
      <c r="O625" s="93">
        <f t="shared" ref="O625" si="237">ROUND(IF(N625="m3",I625*J625*K625*L625,IF(N625="m2-LxH",I625*J625*L625,IF(N625="m2-LxW",I625*J625*K625,IF(N625="rm",I625*L625,IF(N625="lm",I625*J625,IF(N625="unit",I625,"NA")))))),2)</f>
        <v>15</v>
      </c>
      <c r="P625" s="188">
        <v>44949</v>
      </c>
      <c r="Q625" s="18"/>
      <c r="R625" s="140">
        <v>1</v>
      </c>
      <c r="S625" s="140">
        <v>1</v>
      </c>
      <c r="T625" s="140">
        <v>0</v>
      </c>
      <c r="U625" s="20">
        <f>IF(ISBLANK(Table1[[#This Row],[OHC Date]]),$B$7-Table1[[#This Row],[HOC Date]]+1,Table1[[#This Row],[OHC Date]]-Table1[[#This Row],[HOC Date]]+1)/7</f>
        <v>0.42857142857142855</v>
      </c>
      <c r="V625" s="142">
        <v>12.01</v>
      </c>
      <c r="W625" s="142">
        <v>0.49</v>
      </c>
      <c r="X625" s="21">
        <f>ROUND(0.7*Table1[[#This Row],[E&amp;D Rate per unit]]*R625*Table1[[#This Row],[Quantity]],2)</f>
        <v>126.11</v>
      </c>
      <c r="Y625" s="21">
        <f t="shared" ref="Y625" si="238">ROUND(O625*U625*W625*S625,2)</f>
        <v>3.15</v>
      </c>
      <c r="Z625" s="21">
        <f>ROUND(0.3*T625*Table1[[#This Row],[E&amp;D Rate per unit]]*Table1[[#This Row],[Quantity]],2)</f>
        <v>0</v>
      </c>
      <c r="AA625" s="21">
        <f t="shared" ref="AA625" si="239">ROUND(X625+Z625+Y625,2)</f>
        <v>129.26</v>
      </c>
      <c r="AB625" s="129"/>
      <c r="AC625" s="129">
        <f>Table1[[#This Row],[Total Amount]]-Table1[[#This Row],[Previous Amount]]</f>
        <v>129.26</v>
      </c>
      <c r="AD625" s="153"/>
    </row>
    <row r="626" spans="1:30" ht="30" customHeight="1" x14ac:dyDescent="0.3">
      <c r="A626" s="92" t="s">
        <v>89</v>
      </c>
      <c r="B626" s="92" t="s">
        <v>97</v>
      </c>
      <c r="C626" s="16">
        <v>218</v>
      </c>
      <c r="D626" s="187">
        <v>75872</v>
      </c>
      <c r="E626" s="16"/>
      <c r="F626" s="17" t="s">
        <v>434</v>
      </c>
      <c r="G626" s="17" t="s">
        <v>200</v>
      </c>
      <c r="H626" s="16" t="s">
        <v>176</v>
      </c>
      <c r="I626" s="16">
        <v>1</v>
      </c>
      <c r="J626" s="187">
        <v>6</v>
      </c>
      <c r="K626" s="187">
        <v>0.9</v>
      </c>
      <c r="L626" s="187"/>
      <c r="M626" s="16">
        <v>1</v>
      </c>
      <c r="N626" s="93" t="s">
        <v>160</v>
      </c>
      <c r="O626" s="93">
        <f t="shared" ref="O626:O627" si="240">ROUND(IF(N626="m3",I626*J626*K626*L626,IF(N626="m2-LxH",I626*J626*L626,IF(N626="m2-LxW",I626*J626*K626,IF(N626="rm",I626*L626,IF(N626="lm",I626*J626,IF(N626="unit",I626,"NA")))))),2)</f>
        <v>5.4</v>
      </c>
      <c r="P626" s="188">
        <v>44949</v>
      </c>
      <c r="Q626" s="18"/>
      <c r="R626" s="140">
        <v>1</v>
      </c>
      <c r="S626" s="140">
        <v>1</v>
      </c>
      <c r="T626" s="140">
        <v>0</v>
      </c>
      <c r="U626" s="20">
        <f>IF(ISBLANK(Table1[[#This Row],[OHC Date]]),$B$7-Table1[[#This Row],[HOC Date]]+1,Table1[[#This Row],[OHC Date]]-Table1[[#This Row],[HOC Date]]+1)/7</f>
        <v>0.42857142857142855</v>
      </c>
      <c r="V626" s="107">
        <v>6.63</v>
      </c>
      <c r="W626" s="107">
        <v>0.7</v>
      </c>
      <c r="X626" s="21">
        <f>ROUND(0.7*Table1[[#This Row],[E&amp;D Rate per unit]]*R626*Table1[[#This Row],[Quantity]],2)</f>
        <v>25.06</v>
      </c>
      <c r="Y626" s="21">
        <f t="shared" ref="Y626:Y627" si="241">ROUND(O626*U626*W626*S626,2)</f>
        <v>1.62</v>
      </c>
      <c r="Z626" s="21">
        <f>ROUND(0.3*T626*Table1[[#This Row],[E&amp;D Rate per unit]]*Table1[[#This Row],[Quantity]],2)</f>
        <v>0</v>
      </c>
      <c r="AA626" s="21">
        <f t="shared" ref="AA626:AA627" si="242">ROUND(X626+Z626+Y626,2)</f>
        <v>26.68</v>
      </c>
      <c r="AB626" s="129"/>
      <c r="AC626" s="129">
        <f>Table1[[#This Row],[Total Amount]]-Table1[[#This Row],[Previous Amount]]</f>
        <v>26.68</v>
      </c>
      <c r="AD626" s="153"/>
    </row>
    <row r="627" spans="1:30" ht="30" customHeight="1" x14ac:dyDescent="0.3">
      <c r="A627" s="92" t="s">
        <v>89</v>
      </c>
      <c r="B627" s="92" t="s">
        <v>97</v>
      </c>
      <c r="C627" s="16" t="s">
        <v>853</v>
      </c>
      <c r="D627" s="187">
        <v>75873</v>
      </c>
      <c r="E627" s="16"/>
      <c r="F627" s="17" t="s">
        <v>434</v>
      </c>
      <c r="G627" s="17" t="s">
        <v>200</v>
      </c>
      <c r="H627" s="102" t="s">
        <v>205</v>
      </c>
      <c r="I627" s="16">
        <v>1</v>
      </c>
      <c r="J627" s="187">
        <v>6.8</v>
      </c>
      <c r="K627" s="187">
        <v>0.9</v>
      </c>
      <c r="L627" s="187">
        <v>2.5</v>
      </c>
      <c r="M627" s="16">
        <v>1</v>
      </c>
      <c r="N627" s="93" t="s">
        <v>206</v>
      </c>
      <c r="O627" s="93">
        <f t="shared" si="240"/>
        <v>17</v>
      </c>
      <c r="P627" s="188">
        <v>44949</v>
      </c>
      <c r="Q627" s="18"/>
      <c r="R627" s="140">
        <v>1</v>
      </c>
      <c r="S627" s="140">
        <v>1</v>
      </c>
      <c r="T627" s="140">
        <v>0</v>
      </c>
      <c r="U627" s="20">
        <f>IF(ISBLANK(Table1[[#This Row],[OHC Date]]),$B$7-Table1[[#This Row],[HOC Date]]+1,Table1[[#This Row],[OHC Date]]-Table1[[#This Row],[HOC Date]]+1)/7</f>
        <v>0.42857142857142855</v>
      </c>
      <c r="V627" s="142">
        <v>12.01</v>
      </c>
      <c r="W627" s="142">
        <v>0.49</v>
      </c>
      <c r="X627" s="21">
        <f>ROUND(0.7*Table1[[#This Row],[E&amp;D Rate per unit]]*R627*Table1[[#This Row],[Quantity]],2)</f>
        <v>142.91999999999999</v>
      </c>
      <c r="Y627" s="21">
        <f t="shared" si="241"/>
        <v>3.57</v>
      </c>
      <c r="Z627" s="21">
        <f>ROUND(0.3*T627*Table1[[#This Row],[E&amp;D Rate per unit]]*Table1[[#This Row],[Quantity]],2)</f>
        <v>0</v>
      </c>
      <c r="AA627" s="21">
        <f t="shared" si="242"/>
        <v>146.49</v>
      </c>
      <c r="AB627" s="129"/>
      <c r="AC627" s="129">
        <f>Table1[[#This Row],[Total Amount]]-Table1[[#This Row],[Previous Amount]]</f>
        <v>146.49</v>
      </c>
      <c r="AD627" s="153"/>
    </row>
    <row r="628" spans="1:30" ht="30" customHeight="1" x14ac:dyDescent="0.3">
      <c r="A628" s="92" t="s">
        <v>89</v>
      </c>
      <c r="B628" s="92" t="s">
        <v>97</v>
      </c>
      <c r="C628" s="16" t="s">
        <v>853</v>
      </c>
      <c r="D628" s="187">
        <v>75873</v>
      </c>
      <c r="E628" s="16"/>
      <c r="F628" s="17" t="s">
        <v>434</v>
      </c>
      <c r="G628" s="17" t="s">
        <v>200</v>
      </c>
      <c r="H628" s="16" t="s">
        <v>176</v>
      </c>
      <c r="I628" s="16">
        <v>1</v>
      </c>
      <c r="J628" s="187">
        <v>6.8</v>
      </c>
      <c r="K628" s="187">
        <v>0.9</v>
      </c>
      <c r="L628" s="187"/>
      <c r="M628" s="16">
        <v>1</v>
      </c>
      <c r="N628" s="93" t="s">
        <v>160</v>
      </c>
      <c r="O628" s="93">
        <f t="shared" ref="O628" si="243">ROUND(IF(N628="m3",I628*J628*K628*L628,IF(N628="m2-LxH",I628*J628*L628,IF(N628="m2-LxW",I628*J628*K628,IF(N628="rm",I628*L628,IF(N628="lm",I628*J628,IF(N628="unit",I628,"NA")))))),2)</f>
        <v>6.12</v>
      </c>
      <c r="P628" s="188">
        <v>44949</v>
      </c>
      <c r="Q628" s="18"/>
      <c r="R628" s="140">
        <v>1</v>
      </c>
      <c r="S628" s="140">
        <v>1</v>
      </c>
      <c r="T628" s="140">
        <v>0</v>
      </c>
      <c r="U628" s="20">
        <f>IF(ISBLANK(Table1[[#This Row],[OHC Date]]),$B$7-Table1[[#This Row],[HOC Date]]+1,Table1[[#This Row],[OHC Date]]-Table1[[#This Row],[HOC Date]]+1)/7</f>
        <v>0.42857142857142855</v>
      </c>
      <c r="V628" s="107">
        <v>6.63</v>
      </c>
      <c r="W628" s="107">
        <v>0.7</v>
      </c>
      <c r="X628" s="21">
        <f>ROUND(0.7*Table1[[#This Row],[E&amp;D Rate per unit]]*R628*Table1[[#This Row],[Quantity]],2)</f>
        <v>28.4</v>
      </c>
      <c r="Y628" s="21">
        <f t="shared" ref="Y628" si="244">ROUND(O628*U628*W628*S628,2)</f>
        <v>1.84</v>
      </c>
      <c r="Z628" s="21">
        <f>ROUND(0.3*T628*Table1[[#This Row],[E&amp;D Rate per unit]]*Table1[[#This Row],[Quantity]],2)</f>
        <v>0</v>
      </c>
      <c r="AA628" s="21">
        <f t="shared" ref="AA628" si="245">ROUND(X628+Z628+Y628,2)</f>
        <v>30.24</v>
      </c>
      <c r="AB628" s="129"/>
      <c r="AC628" s="129">
        <f>Table1[[#This Row],[Total Amount]]-Table1[[#This Row],[Previous Amount]]</f>
        <v>30.24</v>
      </c>
      <c r="AD628" s="153"/>
    </row>
    <row r="629" spans="1:30" ht="30" customHeight="1" x14ac:dyDescent="0.3">
      <c r="A629" s="92" t="s">
        <v>89</v>
      </c>
      <c r="B629" s="92" t="s">
        <v>97</v>
      </c>
      <c r="C629" s="16" t="s">
        <v>854</v>
      </c>
      <c r="D629" s="187">
        <v>75874</v>
      </c>
      <c r="E629" s="16"/>
      <c r="F629" s="17" t="s">
        <v>434</v>
      </c>
      <c r="G629" s="17" t="s">
        <v>463</v>
      </c>
      <c r="H629" s="102" t="s">
        <v>205</v>
      </c>
      <c r="I629" s="16">
        <v>1</v>
      </c>
      <c r="J629" s="187">
        <v>5</v>
      </c>
      <c r="K629" s="187">
        <v>0.9</v>
      </c>
      <c r="L629" s="187">
        <v>2</v>
      </c>
      <c r="M629" s="16">
        <v>1</v>
      </c>
      <c r="N629" s="93" t="s">
        <v>206</v>
      </c>
      <c r="O629" s="93">
        <f t="shared" ref="O629" si="246">ROUND(IF(N629="m3",I629*J629*K629*L629,IF(N629="m2-LxH",I629*J629*L629,IF(N629="m2-LxW",I629*J629*K629,IF(N629="rm",I629*L629,IF(N629="lm",I629*J629,IF(N629="unit",I629,"NA")))))),2)</f>
        <v>10</v>
      </c>
      <c r="P629" s="188">
        <v>44949</v>
      </c>
      <c r="Q629" s="18"/>
      <c r="R629" s="140">
        <v>1</v>
      </c>
      <c r="S629" s="140">
        <v>1</v>
      </c>
      <c r="T629" s="140">
        <v>0</v>
      </c>
      <c r="U629" s="20">
        <f>IF(ISBLANK(Table1[[#This Row],[OHC Date]]),$B$7-Table1[[#This Row],[HOC Date]]+1,Table1[[#This Row],[OHC Date]]-Table1[[#This Row],[HOC Date]]+1)/7</f>
        <v>0.42857142857142855</v>
      </c>
      <c r="V629" s="142">
        <v>12.01</v>
      </c>
      <c r="W629" s="142">
        <v>0.49</v>
      </c>
      <c r="X629" s="21">
        <f>ROUND(0.7*Table1[[#This Row],[E&amp;D Rate per unit]]*R629*Table1[[#This Row],[Quantity]],2)</f>
        <v>84.07</v>
      </c>
      <c r="Y629" s="21">
        <f t="shared" ref="Y629" si="247">ROUND(O629*U629*W629*S629,2)</f>
        <v>2.1</v>
      </c>
      <c r="Z629" s="21">
        <f>ROUND(0.3*T629*Table1[[#This Row],[E&amp;D Rate per unit]]*Table1[[#This Row],[Quantity]],2)</f>
        <v>0</v>
      </c>
      <c r="AA629" s="21">
        <f t="shared" ref="AA629" si="248">ROUND(X629+Z629+Y629,2)</f>
        <v>86.17</v>
      </c>
      <c r="AB629" s="129"/>
      <c r="AC629" s="129">
        <f>Table1[[#This Row],[Total Amount]]-Table1[[#This Row],[Previous Amount]]</f>
        <v>86.17</v>
      </c>
      <c r="AD629" s="153"/>
    </row>
    <row r="630" spans="1:30" ht="30" customHeight="1" x14ac:dyDescent="0.3">
      <c r="A630" s="92" t="s">
        <v>89</v>
      </c>
      <c r="B630" s="92" t="s">
        <v>97</v>
      </c>
      <c r="C630" s="16">
        <v>219</v>
      </c>
      <c r="D630" s="187">
        <v>75875</v>
      </c>
      <c r="E630" s="16"/>
      <c r="F630" s="17" t="s">
        <v>434</v>
      </c>
      <c r="G630" s="17" t="s">
        <v>216</v>
      </c>
      <c r="H630" s="102" t="s">
        <v>205</v>
      </c>
      <c r="I630" s="16">
        <v>1</v>
      </c>
      <c r="J630" s="187">
        <v>6</v>
      </c>
      <c r="K630" s="187">
        <v>0.9</v>
      </c>
      <c r="L630" s="187">
        <v>2.5</v>
      </c>
      <c r="M630" s="16">
        <v>1</v>
      </c>
      <c r="N630" s="93" t="s">
        <v>206</v>
      </c>
      <c r="O630" s="93">
        <f t="shared" ref="O630" si="249">ROUND(IF(N630="m3",I630*J630*K630*L630,IF(N630="m2-LxH",I630*J630*L630,IF(N630="m2-LxW",I630*J630*K630,IF(N630="rm",I630*L630,IF(N630="lm",I630*J630,IF(N630="unit",I630,"NA")))))),2)</f>
        <v>15</v>
      </c>
      <c r="P630" s="188">
        <v>44949</v>
      </c>
      <c r="Q630" s="18"/>
      <c r="R630" s="140">
        <v>1</v>
      </c>
      <c r="S630" s="140">
        <v>1</v>
      </c>
      <c r="T630" s="140">
        <v>0</v>
      </c>
      <c r="U630" s="20">
        <f>IF(ISBLANK(Table1[[#This Row],[OHC Date]]),$B$7-Table1[[#This Row],[HOC Date]]+1,Table1[[#This Row],[OHC Date]]-Table1[[#This Row],[HOC Date]]+1)/7</f>
        <v>0.42857142857142855</v>
      </c>
      <c r="V630" s="142">
        <v>12.01</v>
      </c>
      <c r="W630" s="142">
        <v>0.49</v>
      </c>
      <c r="X630" s="21">
        <f>ROUND(0.7*Table1[[#This Row],[E&amp;D Rate per unit]]*R630*Table1[[#This Row],[Quantity]],2)</f>
        <v>126.11</v>
      </c>
      <c r="Y630" s="21">
        <f t="shared" ref="Y630" si="250">ROUND(O630*U630*W630*S630,2)</f>
        <v>3.15</v>
      </c>
      <c r="Z630" s="21">
        <f>ROUND(0.3*T630*Table1[[#This Row],[E&amp;D Rate per unit]]*Table1[[#This Row],[Quantity]],2)</f>
        <v>0</v>
      </c>
      <c r="AA630" s="21">
        <f t="shared" ref="AA630" si="251">ROUND(X630+Z630+Y630,2)</f>
        <v>129.26</v>
      </c>
      <c r="AB630" s="129"/>
      <c r="AC630" s="129">
        <f>Table1[[#This Row],[Total Amount]]-Table1[[#This Row],[Previous Amount]]</f>
        <v>129.26</v>
      </c>
      <c r="AD630" s="153"/>
    </row>
    <row r="631" spans="1:30" ht="30" customHeight="1" x14ac:dyDescent="0.3">
      <c r="A631" s="92" t="s">
        <v>89</v>
      </c>
      <c r="B631" s="92" t="s">
        <v>97</v>
      </c>
      <c r="C631" s="16">
        <v>219</v>
      </c>
      <c r="D631" s="187">
        <v>75875</v>
      </c>
      <c r="E631" s="16"/>
      <c r="F631" s="17" t="s">
        <v>434</v>
      </c>
      <c r="G631" s="17" t="s">
        <v>216</v>
      </c>
      <c r="H631" s="16" t="s">
        <v>176</v>
      </c>
      <c r="I631" s="16">
        <v>1</v>
      </c>
      <c r="J631" s="187">
        <v>6</v>
      </c>
      <c r="K631" s="187">
        <v>0.9</v>
      </c>
      <c r="L631" s="187"/>
      <c r="M631" s="16">
        <v>1</v>
      </c>
      <c r="N631" s="93" t="s">
        <v>160</v>
      </c>
      <c r="O631" s="93">
        <f t="shared" ref="O631" si="252">ROUND(IF(N631="m3",I631*J631*K631*L631,IF(N631="m2-LxH",I631*J631*L631,IF(N631="m2-LxW",I631*J631*K631,IF(N631="rm",I631*L631,IF(N631="lm",I631*J631,IF(N631="unit",I631,"NA")))))),2)</f>
        <v>5.4</v>
      </c>
      <c r="P631" s="188">
        <v>44949</v>
      </c>
      <c r="Q631" s="18"/>
      <c r="R631" s="140">
        <v>1</v>
      </c>
      <c r="S631" s="140">
        <v>1</v>
      </c>
      <c r="T631" s="140">
        <v>0</v>
      </c>
      <c r="U631" s="20">
        <f>IF(ISBLANK(Table1[[#This Row],[OHC Date]]),$B$7-Table1[[#This Row],[HOC Date]]+1,Table1[[#This Row],[OHC Date]]-Table1[[#This Row],[HOC Date]]+1)/7</f>
        <v>0.42857142857142855</v>
      </c>
      <c r="V631" s="107">
        <v>6.63</v>
      </c>
      <c r="W631" s="107">
        <v>0.7</v>
      </c>
      <c r="X631" s="21">
        <f>ROUND(0.7*Table1[[#This Row],[E&amp;D Rate per unit]]*R631*Table1[[#This Row],[Quantity]],2)</f>
        <v>25.06</v>
      </c>
      <c r="Y631" s="21">
        <f t="shared" ref="Y631" si="253">ROUND(O631*U631*W631*S631,2)</f>
        <v>1.62</v>
      </c>
      <c r="Z631" s="21">
        <f>ROUND(0.3*T631*Table1[[#This Row],[E&amp;D Rate per unit]]*Table1[[#This Row],[Quantity]],2)</f>
        <v>0</v>
      </c>
      <c r="AA631" s="21">
        <f t="shared" ref="AA631" si="254">ROUND(X631+Z631+Y631,2)</f>
        <v>26.68</v>
      </c>
      <c r="AB631" s="129"/>
      <c r="AC631" s="129">
        <f>Table1[[#This Row],[Total Amount]]-Table1[[#This Row],[Previous Amount]]</f>
        <v>26.68</v>
      </c>
      <c r="AD631" s="153"/>
    </row>
    <row r="632" spans="1:30" ht="30" customHeight="1" x14ac:dyDescent="0.3">
      <c r="A632" s="92" t="s">
        <v>89</v>
      </c>
      <c r="B632" s="92" t="s">
        <v>97</v>
      </c>
      <c r="C632" s="16">
        <v>220</v>
      </c>
      <c r="D632" s="187">
        <v>75876</v>
      </c>
      <c r="E632" s="16"/>
      <c r="F632" s="17" t="s">
        <v>307</v>
      </c>
      <c r="G632" s="17" t="s">
        <v>200</v>
      </c>
      <c r="H632" s="16" t="s">
        <v>339</v>
      </c>
      <c r="I632" s="16">
        <v>1</v>
      </c>
      <c r="J632" s="187">
        <v>24</v>
      </c>
      <c r="K632" s="16"/>
      <c r="L632" s="16">
        <v>1.5</v>
      </c>
      <c r="M632" s="16"/>
      <c r="N632" s="93" t="s">
        <v>283</v>
      </c>
      <c r="O632" s="93">
        <f t="shared" ref="O632" si="255">ROUND(IF(N632="m3",I632*J632*K632*L632,IF(N632="m2-LxH",I632*J632*L632,IF(N632="m2-LxW",I632*J632*K632,IF(N632="rm",I632*L632,IF(N632="lm",I632*J632,IF(N632="unit",I632,"NA")))))),2)</f>
        <v>24</v>
      </c>
      <c r="P632" s="188">
        <v>44950</v>
      </c>
      <c r="Q632" s="18"/>
      <c r="R632" s="140">
        <v>1</v>
      </c>
      <c r="S632" s="140">
        <v>1</v>
      </c>
      <c r="T632" s="140">
        <v>0</v>
      </c>
      <c r="U632" s="20">
        <f>IF(ISBLANK(Table1[[#This Row],[OHC Date]]),$B$7-Table1[[#This Row],[HOC Date]]+1,Table1[[#This Row],[OHC Date]]-Table1[[#This Row],[HOC Date]]+1)/7</f>
        <v>0.2857142857142857</v>
      </c>
      <c r="V632" s="107">
        <v>15</v>
      </c>
      <c r="W632" s="107">
        <v>0.91</v>
      </c>
      <c r="X632" s="21">
        <f>ROUND(0.7*Table1[[#This Row],[E&amp;D Rate per unit]]*R632*Table1[[#This Row],[Quantity]],2)</f>
        <v>252</v>
      </c>
      <c r="Y632" s="21">
        <f t="shared" ref="Y632" si="256">ROUND(O632*U632*W632*S632,2)</f>
        <v>6.24</v>
      </c>
      <c r="Z632" s="21">
        <f>ROUND(0.3*T632*Table1[[#This Row],[E&amp;D Rate per unit]]*Table1[[#This Row],[Quantity]],2)</f>
        <v>0</v>
      </c>
      <c r="AA632" s="21">
        <f t="shared" ref="AA632" si="257">ROUND(X632+Z632+Y632,2)</f>
        <v>258.24</v>
      </c>
      <c r="AB632" s="129"/>
      <c r="AC632" s="129">
        <f>Table1[[#This Row],[Total Amount]]-Table1[[#This Row],[Previous Amount]]</f>
        <v>258.24</v>
      </c>
      <c r="AD632" s="153"/>
    </row>
    <row r="633" spans="1:30" ht="30" customHeight="1" x14ac:dyDescent="0.3">
      <c r="A633" s="92" t="s">
        <v>89</v>
      </c>
      <c r="B633" s="92" t="s">
        <v>97</v>
      </c>
      <c r="C633" s="16">
        <v>221</v>
      </c>
      <c r="D633" s="187">
        <v>75877</v>
      </c>
      <c r="E633" s="16"/>
      <c r="F633" s="17" t="s">
        <v>869</v>
      </c>
      <c r="G633" s="17" t="s">
        <v>190</v>
      </c>
      <c r="H633" s="102" t="s">
        <v>205</v>
      </c>
      <c r="I633" s="16">
        <v>1</v>
      </c>
      <c r="J633" s="187">
        <v>3.6</v>
      </c>
      <c r="K633" s="187">
        <v>1.3</v>
      </c>
      <c r="L633" s="187">
        <v>4</v>
      </c>
      <c r="M633" s="16">
        <v>1</v>
      </c>
      <c r="N633" s="93" t="s">
        <v>206</v>
      </c>
      <c r="O633" s="93">
        <f t="shared" ref="O633" si="258">ROUND(IF(N633="m3",I633*J633*K633*L633,IF(N633="m2-LxH",I633*J633*L633,IF(N633="m2-LxW",I633*J633*K633,IF(N633="rm",I633*L633,IF(N633="lm",I633*J633,IF(N633="unit",I633,"NA")))))),2)</f>
        <v>14.4</v>
      </c>
      <c r="P633" s="188">
        <v>44951</v>
      </c>
      <c r="Q633" s="18"/>
      <c r="R633" s="140">
        <v>1</v>
      </c>
      <c r="S633" s="140">
        <v>1</v>
      </c>
      <c r="T633" s="140">
        <v>0</v>
      </c>
      <c r="U633" s="20">
        <f>IF(ISBLANK(Table1[[#This Row],[OHC Date]]),$B$7-Table1[[#This Row],[HOC Date]]+1,Table1[[#This Row],[OHC Date]]-Table1[[#This Row],[HOC Date]]+1)/7</f>
        <v>0.14285714285714285</v>
      </c>
      <c r="V633" s="142">
        <v>12.01</v>
      </c>
      <c r="W633" s="142">
        <v>0.49</v>
      </c>
      <c r="X633" s="21">
        <f>ROUND(0.7*Table1[[#This Row],[E&amp;D Rate per unit]]*R633*Table1[[#This Row],[Quantity]],2)</f>
        <v>121.06</v>
      </c>
      <c r="Y633" s="21">
        <f t="shared" ref="Y633" si="259">ROUND(O633*U633*W633*S633,2)</f>
        <v>1.01</v>
      </c>
      <c r="Z633" s="21">
        <f>ROUND(0.3*T633*Table1[[#This Row],[E&amp;D Rate per unit]]*Table1[[#This Row],[Quantity]],2)</f>
        <v>0</v>
      </c>
      <c r="AA633" s="21">
        <f t="shared" ref="AA633" si="260">ROUND(X633+Z633+Y633,2)</f>
        <v>122.07</v>
      </c>
      <c r="AB633" s="129"/>
      <c r="AC633" s="129">
        <f>Table1[[#This Row],[Total Amount]]-Table1[[#This Row],[Previous Amount]]</f>
        <v>122.07</v>
      </c>
      <c r="AD633" s="153"/>
    </row>
    <row r="634" spans="1:30" ht="30" customHeight="1" x14ac:dyDescent="0.3">
      <c r="A634" s="92" t="s">
        <v>89</v>
      </c>
      <c r="B634" s="92" t="s">
        <v>97</v>
      </c>
      <c r="C634" s="16">
        <v>221</v>
      </c>
      <c r="D634" s="187">
        <v>75877</v>
      </c>
      <c r="E634" s="16"/>
      <c r="F634" s="17" t="s">
        <v>869</v>
      </c>
      <c r="G634" s="17" t="s">
        <v>190</v>
      </c>
      <c r="H634" s="16" t="s">
        <v>176</v>
      </c>
      <c r="I634" s="16">
        <v>1</v>
      </c>
      <c r="J634" s="187">
        <v>3.6</v>
      </c>
      <c r="K634" s="187">
        <v>1.3</v>
      </c>
      <c r="L634" s="187"/>
      <c r="M634" s="16">
        <v>1</v>
      </c>
      <c r="N634" s="93" t="s">
        <v>160</v>
      </c>
      <c r="O634" s="93">
        <f t="shared" ref="O634" si="261">ROUND(IF(N634="m3",I634*J634*K634*L634,IF(N634="m2-LxH",I634*J634*L634,IF(N634="m2-LxW",I634*J634*K634,IF(N634="rm",I634*L634,IF(N634="lm",I634*J634,IF(N634="unit",I634,"NA")))))),2)</f>
        <v>4.68</v>
      </c>
      <c r="P634" s="188">
        <v>44951</v>
      </c>
      <c r="Q634" s="18"/>
      <c r="R634" s="140">
        <v>1</v>
      </c>
      <c r="S634" s="140">
        <v>1</v>
      </c>
      <c r="T634" s="140">
        <v>0</v>
      </c>
      <c r="U634" s="20">
        <f>IF(ISBLANK(Table1[[#This Row],[OHC Date]]),$B$7-Table1[[#This Row],[HOC Date]]+1,Table1[[#This Row],[OHC Date]]-Table1[[#This Row],[HOC Date]]+1)/7</f>
        <v>0.14285714285714285</v>
      </c>
      <c r="V634" s="107">
        <v>6.63</v>
      </c>
      <c r="W634" s="107">
        <v>0.7</v>
      </c>
      <c r="X634" s="21">
        <f>ROUND(0.7*Table1[[#This Row],[E&amp;D Rate per unit]]*R634*Table1[[#This Row],[Quantity]],2)</f>
        <v>21.72</v>
      </c>
      <c r="Y634" s="21">
        <f t="shared" ref="Y634" si="262">ROUND(O634*U634*W634*S634,2)</f>
        <v>0.47</v>
      </c>
      <c r="Z634" s="21">
        <f>ROUND(0.3*T634*Table1[[#This Row],[E&amp;D Rate per unit]]*Table1[[#This Row],[Quantity]],2)</f>
        <v>0</v>
      </c>
      <c r="AA634" s="21">
        <f t="shared" ref="AA634" si="263">ROUND(X634+Z634+Y634,2)</f>
        <v>22.19</v>
      </c>
      <c r="AB634" s="129"/>
      <c r="AC634" s="129">
        <f>Table1[[#This Row],[Total Amount]]-Table1[[#This Row],[Previous Amount]]</f>
        <v>22.19</v>
      </c>
      <c r="AD634" s="153"/>
    </row>
    <row r="635" spans="1:30" ht="30" customHeight="1" x14ac:dyDescent="0.3">
      <c r="A635" s="92" t="s">
        <v>89</v>
      </c>
      <c r="B635" s="92" t="s">
        <v>97</v>
      </c>
      <c r="C635" s="16" t="s">
        <v>855</v>
      </c>
      <c r="D635" s="187">
        <v>75877</v>
      </c>
      <c r="E635" s="16"/>
      <c r="F635" s="17" t="s">
        <v>869</v>
      </c>
      <c r="G635" s="17" t="s">
        <v>190</v>
      </c>
      <c r="H635" s="102" t="s">
        <v>127</v>
      </c>
      <c r="I635" s="16">
        <v>1</v>
      </c>
      <c r="J635" s="187">
        <v>4.8</v>
      </c>
      <c r="K635" s="187">
        <v>0.75</v>
      </c>
      <c r="L635" s="187"/>
      <c r="M635" s="16">
        <v>1</v>
      </c>
      <c r="N635" s="93" t="s">
        <v>160</v>
      </c>
      <c r="O635" s="93">
        <f t="shared" ref="O635" si="264">ROUND(IF(N635="m3",I635*J635*K635*L635,IF(N635="m2-LxH",I635*J635*L635,IF(N635="m2-LxW",I635*J635*K635,IF(N635="rm",I635*L635,IF(N635="lm",I635*J635,IF(N635="unit",I635,"NA")))))),2)</f>
        <v>3.6</v>
      </c>
      <c r="P635" s="188">
        <v>44951</v>
      </c>
      <c r="Q635" s="18"/>
      <c r="R635" s="140">
        <v>1</v>
      </c>
      <c r="S635" s="140">
        <v>1</v>
      </c>
      <c r="T635" s="140">
        <v>0</v>
      </c>
      <c r="U635" s="20">
        <f>IF(ISBLANK(Table1[[#This Row],[OHC Date]]),$B$7-Table1[[#This Row],[HOC Date]]+1,Table1[[#This Row],[OHC Date]]-Table1[[#This Row],[HOC Date]]+1)/7</f>
        <v>0.14285714285714285</v>
      </c>
      <c r="V635" s="107">
        <v>36.520000000000003</v>
      </c>
      <c r="W635" s="107">
        <f>0.42*7</f>
        <v>2.94</v>
      </c>
      <c r="X635" s="21">
        <f>ROUND(0.7*Table1[[#This Row],[E&amp;D Rate per unit]]*R635*Table1[[#This Row],[Quantity]],2)</f>
        <v>92.03</v>
      </c>
      <c r="Y635" s="21">
        <f t="shared" ref="Y635" si="265">ROUND(O635*U635*W635*S635,2)</f>
        <v>1.51</v>
      </c>
      <c r="Z635" s="21">
        <f>ROUND(0.3*T635*Table1[[#This Row],[E&amp;D Rate per unit]]*Table1[[#This Row],[Quantity]],2)</f>
        <v>0</v>
      </c>
      <c r="AA635" s="21">
        <f t="shared" ref="AA635" si="266">ROUND(X635+Z635+Y635,2)</f>
        <v>93.54</v>
      </c>
      <c r="AB635" s="129"/>
      <c r="AC635" s="129">
        <f>Table1[[#This Row],[Total Amount]]-Table1[[#This Row],[Previous Amount]]</f>
        <v>93.54</v>
      </c>
      <c r="AD635" s="153"/>
    </row>
    <row r="636" spans="1:30" ht="30" customHeight="1" x14ac:dyDescent="0.3">
      <c r="A636" s="92" t="s">
        <v>89</v>
      </c>
      <c r="B636" s="92" t="s">
        <v>96</v>
      </c>
      <c r="C636" s="16">
        <v>79</v>
      </c>
      <c r="D636" s="187">
        <v>79093</v>
      </c>
      <c r="E636" s="16"/>
      <c r="F636" s="17" t="s">
        <v>732</v>
      </c>
      <c r="G636" s="17" t="s">
        <v>200</v>
      </c>
      <c r="H636" s="102" t="s">
        <v>205</v>
      </c>
      <c r="I636" s="16">
        <v>1</v>
      </c>
      <c r="J636" s="187">
        <v>5.3</v>
      </c>
      <c r="K636" s="187">
        <v>1.3</v>
      </c>
      <c r="L636" s="187">
        <v>3.8</v>
      </c>
      <c r="M636" s="16">
        <v>1</v>
      </c>
      <c r="N636" s="93" t="s">
        <v>206</v>
      </c>
      <c r="O636" s="93">
        <f t="shared" si="75"/>
        <v>20.14</v>
      </c>
      <c r="P636" s="188">
        <v>44921</v>
      </c>
      <c r="Q636" s="18"/>
      <c r="R636" s="140">
        <v>1</v>
      </c>
      <c r="S636" s="140">
        <v>1</v>
      </c>
      <c r="T636" s="140">
        <v>0</v>
      </c>
      <c r="U636" s="20">
        <f>IF(ISBLANK(Table1[[#This Row],[OHC Date]]),$B$7-Table1[[#This Row],[HOC Date]]+1,Table1[[#This Row],[OHC Date]]-Table1[[#This Row],[HOC Date]]+1)/7</f>
        <v>4.4285714285714288</v>
      </c>
      <c r="V636" s="142">
        <v>12.01</v>
      </c>
      <c r="W636" s="142">
        <v>0.49</v>
      </c>
      <c r="X636" s="21">
        <f>ROUND(0.7*Table1[[#This Row],[E&amp;D Rate per unit]]*R636*Table1[[#This Row],[Quantity]],2)</f>
        <v>169.32</v>
      </c>
      <c r="Y636" s="21">
        <f t="shared" ref="Y636:Y666" si="267">ROUND(O636*U636*W636*S636,2)</f>
        <v>43.7</v>
      </c>
      <c r="Z636" s="21">
        <f>ROUND(0.3*T636*Table1[[#This Row],[E&amp;D Rate per unit]]*Table1[[#This Row],[Quantity]],2)</f>
        <v>0</v>
      </c>
      <c r="AA636" s="21">
        <f t="shared" ref="AA636:AA666" si="268">ROUND(X636+Z636+Y636,2)</f>
        <v>213.02</v>
      </c>
      <c r="AB636" s="129"/>
      <c r="AC636" s="129">
        <f>Table1[[#This Row],[Total Amount]]-Table1[[#This Row],[Previous Amount]]</f>
        <v>213.02</v>
      </c>
      <c r="AD636" s="153"/>
    </row>
    <row r="637" spans="1:30" ht="30" customHeight="1" x14ac:dyDescent="0.3">
      <c r="A637" s="92" t="s">
        <v>89</v>
      </c>
      <c r="B637" s="92" t="s">
        <v>96</v>
      </c>
      <c r="C637" s="16">
        <v>79</v>
      </c>
      <c r="D637" s="187">
        <v>79093</v>
      </c>
      <c r="E637" s="16"/>
      <c r="F637" s="17" t="s">
        <v>732</v>
      </c>
      <c r="G637" s="17" t="s">
        <v>200</v>
      </c>
      <c r="H637" s="151" t="s">
        <v>176</v>
      </c>
      <c r="I637" s="16">
        <v>1</v>
      </c>
      <c r="J637" s="187">
        <v>5.3</v>
      </c>
      <c r="K637" s="187">
        <v>1.3</v>
      </c>
      <c r="L637" s="187"/>
      <c r="M637" s="16">
        <v>1</v>
      </c>
      <c r="N637" s="93" t="s">
        <v>160</v>
      </c>
      <c r="O637" s="93">
        <f t="shared" ref="O637" si="269">ROUND(IF(N637="m3",I637*J637*K637*L637,IF(N637="m2-LxH",I637*J637*L637,IF(N637="m2-LxW",I637*J637*K637,IF(N637="rm",I637*L637,IF(N637="lm",I637*J637,IF(N637="unit",I637,"NA")))))),2)</f>
        <v>6.89</v>
      </c>
      <c r="P637" s="188">
        <v>44921</v>
      </c>
      <c r="Q637" s="18"/>
      <c r="R637" s="140">
        <v>1</v>
      </c>
      <c r="S637" s="140">
        <v>1</v>
      </c>
      <c r="T637" s="140">
        <v>0</v>
      </c>
      <c r="U637" s="20">
        <f>IF(ISBLANK(Table1[[#This Row],[OHC Date]]),$B$7-Table1[[#This Row],[HOC Date]]+1,Table1[[#This Row],[OHC Date]]-Table1[[#This Row],[HOC Date]]+1)/7</f>
        <v>4.4285714285714288</v>
      </c>
      <c r="V637" s="142">
        <v>6.63</v>
      </c>
      <c r="W637" s="142">
        <v>0.7</v>
      </c>
      <c r="X637" s="21">
        <f>ROUND(0.7*Table1[[#This Row],[E&amp;D Rate per unit]]*R637*Table1[[#This Row],[Quantity]],2)</f>
        <v>31.98</v>
      </c>
      <c r="Y637" s="21">
        <f t="shared" si="267"/>
        <v>21.36</v>
      </c>
      <c r="Z637" s="21">
        <f>ROUND(0.3*T637*Table1[[#This Row],[E&amp;D Rate per unit]]*Table1[[#This Row],[Quantity]],2)</f>
        <v>0</v>
      </c>
      <c r="AA637" s="21">
        <f t="shared" si="268"/>
        <v>53.34</v>
      </c>
      <c r="AB637" s="129"/>
      <c r="AC637" s="129">
        <f>Table1[[#This Row],[Total Amount]]-Table1[[#This Row],[Previous Amount]]</f>
        <v>53.34</v>
      </c>
      <c r="AD637" s="153"/>
    </row>
    <row r="638" spans="1:30" ht="30" customHeight="1" x14ac:dyDescent="0.3">
      <c r="A638" s="92" t="s">
        <v>89</v>
      </c>
      <c r="B638" s="92" t="s">
        <v>96</v>
      </c>
      <c r="C638" s="16">
        <v>80</v>
      </c>
      <c r="D638" s="187">
        <v>79094</v>
      </c>
      <c r="E638" s="16"/>
      <c r="F638" s="17" t="s">
        <v>733</v>
      </c>
      <c r="G638" s="17" t="s">
        <v>223</v>
      </c>
      <c r="H638" s="102" t="s">
        <v>205</v>
      </c>
      <c r="I638" s="16">
        <v>1</v>
      </c>
      <c r="J638" s="187">
        <v>4.8</v>
      </c>
      <c r="K638" s="187">
        <v>1.3</v>
      </c>
      <c r="L638" s="187">
        <v>5</v>
      </c>
      <c r="M638" s="16">
        <v>1</v>
      </c>
      <c r="N638" s="93" t="s">
        <v>206</v>
      </c>
      <c r="O638" s="93">
        <f t="shared" si="75"/>
        <v>24</v>
      </c>
      <c r="P638" s="188">
        <v>44921</v>
      </c>
      <c r="Q638" s="18"/>
      <c r="R638" s="140">
        <v>1</v>
      </c>
      <c r="S638" s="140">
        <v>1</v>
      </c>
      <c r="T638" s="140">
        <v>0</v>
      </c>
      <c r="U638" s="20">
        <f>IF(ISBLANK(Table1[[#This Row],[OHC Date]]),$B$7-Table1[[#This Row],[HOC Date]]+1,Table1[[#This Row],[OHC Date]]-Table1[[#This Row],[HOC Date]]+1)/7</f>
        <v>4.4285714285714288</v>
      </c>
      <c r="V638" s="142">
        <v>12.01</v>
      </c>
      <c r="W638" s="142">
        <v>0.49</v>
      </c>
      <c r="X638" s="21">
        <f>ROUND(0.7*Table1[[#This Row],[E&amp;D Rate per unit]]*R638*Table1[[#This Row],[Quantity]],2)</f>
        <v>201.77</v>
      </c>
      <c r="Y638" s="21">
        <f t="shared" si="267"/>
        <v>52.08</v>
      </c>
      <c r="Z638" s="21">
        <f>ROUND(0.3*T638*Table1[[#This Row],[E&amp;D Rate per unit]]*Table1[[#This Row],[Quantity]],2)</f>
        <v>0</v>
      </c>
      <c r="AA638" s="21">
        <f t="shared" si="268"/>
        <v>253.85</v>
      </c>
      <c r="AB638" s="129"/>
      <c r="AC638" s="129">
        <f>Table1[[#This Row],[Total Amount]]-Table1[[#This Row],[Previous Amount]]</f>
        <v>253.85</v>
      </c>
      <c r="AD638" s="153"/>
    </row>
    <row r="639" spans="1:30" ht="30" customHeight="1" x14ac:dyDescent="0.3">
      <c r="A639" s="92" t="s">
        <v>89</v>
      </c>
      <c r="B639" s="92" t="s">
        <v>96</v>
      </c>
      <c r="C639" s="16">
        <v>80</v>
      </c>
      <c r="D639" s="187">
        <v>79094</v>
      </c>
      <c r="E639" s="16"/>
      <c r="F639" s="17" t="s">
        <v>733</v>
      </c>
      <c r="G639" s="17" t="s">
        <v>223</v>
      </c>
      <c r="H639" s="151" t="s">
        <v>176</v>
      </c>
      <c r="I639" s="16">
        <v>1</v>
      </c>
      <c r="J639" s="187">
        <v>4.8</v>
      </c>
      <c r="K639" s="187">
        <v>1.3</v>
      </c>
      <c r="L639" s="187"/>
      <c r="M639" s="16">
        <v>1</v>
      </c>
      <c r="N639" s="93" t="s">
        <v>160</v>
      </c>
      <c r="O639" s="93">
        <f t="shared" si="75"/>
        <v>6.24</v>
      </c>
      <c r="P639" s="188">
        <v>44921</v>
      </c>
      <c r="Q639" s="18"/>
      <c r="R639" s="140">
        <v>1</v>
      </c>
      <c r="S639" s="140">
        <v>1</v>
      </c>
      <c r="T639" s="140">
        <v>0</v>
      </c>
      <c r="U639" s="20">
        <f>IF(ISBLANK(Table1[[#This Row],[OHC Date]]),$B$7-Table1[[#This Row],[HOC Date]]+1,Table1[[#This Row],[OHC Date]]-Table1[[#This Row],[HOC Date]]+1)/7</f>
        <v>4.4285714285714288</v>
      </c>
      <c r="V639" s="142">
        <v>6.63</v>
      </c>
      <c r="W639" s="142">
        <v>0.7</v>
      </c>
      <c r="X639" s="21">
        <f>ROUND(0.7*Table1[[#This Row],[E&amp;D Rate per unit]]*R639*Table1[[#This Row],[Quantity]],2)</f>
        <v>28.96</v>
      </c>
      <c r="Y639" s="21">
        <f t="shared" si="267"/>
        <v>19.34</v>
      </c>
      <c r="Z639" s="21">
        <f>ROUND(0.3*T639*Table1[[#This Row],[E&amp;D Rate per unit]]*Table1[[#This Row],[Quantity]],2)</f>
        <v>0</v>
      </c>
      <c r="AA639" s="21">
        <f t="shared" si="268"/>
        <v>48.3</v>
      </c>
      <c r="AB639" s="129"/>
      <c r="AC639" s="129">
        <f>Table1[[#This Row],[Total Amount]]-Table1[[#This Row],[Previous Amount]]</f>
        <v>48.3</v>
      </c>
      <c r="AD639" s="153"/>
    </row>
    <row r="640" spans="1:30" ht="30" customHeight="1" x14ac:dyDescent="0.3">
      <c r="A640" s="92" t="s">
        <v>89</v>
      </c>
      <c r="B640" s="92" t="s">
        <v>96</v>
      </c>
      <c r="C640" s="16" t="s">
        <v>734</v>
      </c>
      <c r="D640" s="187">
        <v>79095</v>
      </c>
      <c r="E640" s="16"/>
      <c r="F640" s="17" t="s">
        <v>733</v>
      </c>
      <c r="G640" s="17" t="s">
        <v>223</v>
      </c>
      <c r="H640" s="148" t="s">
        <v>220</v>
      </c>
      <c r="I640" s="16">
        <v>1</v>
      </c>
      <c r="J640" s="187">
        <v>1.3</v>
      </c>
      <c r="K640" s="187">
        <v>1</v>
      </c>
      <c r="L640" s="187">
        <v>3.5</v>
      </c>
      <c r="M640" s="16">
        <v>1</v>
      </c>
      <c r="N640" s="93" t="s">
        <v>221</v>
      </c>
      <c r="O640" s="93">
        <f t="shared" si="75"/>
        <v>3.5</v>
      </c>
      <c r="P640" s="188">
        <v>44921</v>
      </c>
      <c r="Q640" s="18"/>
      <c r="R640" s="140">
        <v>1</v>
      </c>
      <c r="S640" s="140">
        <v>1</v>
      </c>
      <c r="T640" s="140">
        <v>0</v>
      </c>
      <c r="U640" s="20">
        <f>IF(ISBLANK(Table1[[#This Row],[OHC Date]]),$B$7-Table1[[#This Row],[HOC Date]]+1,Table1[[#This Row],[OHC Date]]-Table1[[#This Row],[HOC Date]]+1)/7</f>
        <v>4.4285714285714288</v>
      </c>
      <c r="V640" s="142">
        <v>63.34</v>
      </c>
      <c r="W640" s="142">
        <v>7.28</v>
      </c>
      <c r="X640" s="21">
        <f>ROUND(0.7*Table1[[#This Row],[E&amp;D Rate per unit]]*R640*Table1[[#This Row],[Quantity]],2)</f>
        <v>155.18</v>
      </c>
      <c r="Y640" s="21">
        <f t="shared" si="267"/>
        <v>112.84</v>
      </c>
      <c r="Z640" s="21">
        <f>ROUND(0.3*T640*Table1[[#This Row],[E&amp;D Rate per unit]]*Table1[[#This Row],[Quantity]],2)</f>
        <v>0</v>
      </c>
      <c r="AA640" s="21">
        <f t="shared" si="268"/>
        <v>268.02</v>
      </c>
      <c r="AB640" s="129"/>
      <c r="AC640" s="129">
        <f>Table1[[#This Row],[Total Amount]]-Table1[[#This Row],[Previous Amount]]</f>
        <v>268.02</v>
      </c>
      <c r="AD640" s="153"/>
    </row>
    <row r="641" spans="1:30" ht="30" customHeight="1" x14ac:dyDescent="0.3">
      <c r="A641" s="92" t="s">
        <v>89</v>
      </c>
      <c r="B641" s="92" t="s">
        <v>96</v>
      </c>
      <c r="C641" s="16" t="s">
        <v>734</v>
      </c>
      <c r="D641" s="187">
        <v>79095</v>
      </c>
      <c r="E641" s="16"/>
      <c r="F641" s="17" t="s">
        <v>733</v>
      </c>
      <c r="G641" s="17" t="s">
        <v>223</v>
      </c>
      <c r="H641" s="151" t="s">
        <v>176</v>
      </c>
      <c r="I641" s="16">
        <v>1</v>
      </c>
      <c r="J641" s="187">
        <v>1</v>
      </c>
      <c r="K641" s="187">
        <v>1</v>
      </c>
      <c r="L641" s="187"/>
      <c r="M641" s="16">
        <v>1</v>
      </c>
      <c r="N641" s="93" t="s">
        <v>160</v>
      </c>
      <c r="O641" s="93">
        <f t="shared" si="75"/>
        <v>1</v>
      </c>
      <c r="P641" s="188">
        <v>44921</v>
      </c>
      <c r="Q641" s="18"/>
      <c r="R641" s="140">
        <v>1</v>
      </c>
      <c r="S641" s="140">
        <v>1</v>
      </c>
      <c r="T641" s="140">
        <v>0</v>
      </c>
      <c r="U641" s="20">
        <f>IF(ISBLANK(Table1[[#This Row],[OHC Date]]),$B$7-Table1[[#This Row],[HOC Date]]+1,Table1[[#This Row],[OHC Date]]-Table1[[#This Row],[HOC Date]]+1)/7</f>
        <v>4.4285714285714288</v>
      </c>
      <c r="V641" s="142">
        <v>6.63</v>
      </c>
      <c r="W641" s="142">
        <v>0.7</v>
      </c>
      <c r="X641" s="21">
        <f>ROUND(0.7*Table1[[#This Row],[E&amp;D Rate per unit]]*R641*Table1[[#This Row],[Quantity]],2)</f>
        <v>4.6399999999999997</v>
      </c>
      <c r="Y641" s="21">
        <f t="shared" si="267"/>
        <v>3.1</v>
      </c>
      <c r="Z641" s="21">
        <f>ROUND(0.3*T641*Table1[[#This Row],[E&amp;D Rate per unit]]*Table1[[#This Row],[Quantity]],2)</f>
        <v>0</v>
      </c>
      <c r="AA641" s="21">
        <f t="shared" si="268"/>
        <v>7.74</v>
      </c>
      <c r="AB641" s="129"/>
      <c r="AC641" s="129">
        <f>Table1[[#This Row],[Total Amount]]-Table1[[#This Row],[Previous Amount]]</f>
        <v>7.74</v>
      </c>
      <c r="AD641" s="153"/>
    </row>
    <row r="642" spans="1:30" ht="30" customHeight="1" x14ac:dyDescent="0.3">
      <c r="A642" s="92" t="s">
        <v>89</v>
      </c>
      <c r="B642" s="92" t="s">
        <v>96</v>
      </c>
      <c r="C642" s="16">
        <v>81</v>
      </c>
      <c r="D642" s="187">
        <v>79096</v>
      </c>
      <c r="E642" s="16"/>
      <c r="F642" s="17" t="s">
        <v>562</v>
      </c>
      <c r="G642" s="17" t="s">
        <v>200</v>
      </c>
      <c r="H642" s="148" t="s">
        <v>220</v>
      </c>
      <c r="I642" s="16">
        <v>1</v>
      </c>
      <c r="J642" s="187">
        <v>1.8</v>
      </c>
      <c r="K642" s="187">
        <v>1</v>
      </c>
      <c r="L642" s="187">
        <v>2.7</v>
      </c>
      <c r="M642" s="16">
        <v>1</v>
      </c>
      <c r="N642" s="93" t="s">
        <v>221</v>
      </c>
      <c r="O642" s="93">
        <f t="shared" si="75"/>
        <v>2.7</v>
      </c>
      <c r="P642" s="188">
        <v>44921</v>
      </c>
      <c r="Q642" s="18"/>
      <c r="R642" s="140">
        <v>1</v>
      </c>
      <c r="S642" s="140">
        <v>1</v>
      </c>
      <c r="T642" s="140">
        <v>0</v>
      </c>
      <c r="U642" s="20">
        <f>IF(ISBLANK(Table1[[#This Row],[OHC Date]]),$B$7-Table1[[#This Row],[HOC Date]]+1,Table1[[#This Row],[OHC Date]]-Table1[[#This Row],[HOC Date]]+1)/7</f>
        <v>4.4285714285714288</v>
      </c>
      <c r="V642" s="142">
        <v>63.34</v>
      </c>
      <c r="W642" s="142">
        <v>7.28</v>
      </c>
      <c r="X642" s="21">
        <f>ROUND(0.7*Table1[[#This Row],[E&amp;D Rate per unit]]*R642*Table1[[#This Row],[Quantity]],2)</f>
        <v>119.71</v>
      </c>
      <c r="Y642" s="21">
        <f t="shared" si="267"/>
        <v>87.05</v>
      </c>
      <c r="Z642" s="21">
        <f>ROUND(0.3*T642*Table1[[#This Row],[E&amp;D Rate per unit]]*Table1[[#This Row],[Quantity]],2)</f>
        <v>0</v>
      </c>
      <c r="AA642" s="21">
        <f t="shared" si="268"/>
        <v>206.76</v>
      </c>
      <c r="AB642" s="129"/>
      <c r="AC642" s="129">
        <f>Table1[[#This Row],[Total Amount]]-Table1[[#This Row],[Previous Amount]]</f>
        <v>206.76</v>
      </c>
      <c r="AD642" s="153"/>
    </row>
    <row r="643" spans="1:30" ht="30" customHeight="1" x14ac:dyDescent="0.3">
      <c r="A643" s="92" t="s">
        <v>89</v>
      </c>
      <c r="B643" s="92" t="s">
        <v>96</v>
      </c>
      <c r="C643" s="16">
        <v>82</v>
      </c>
      <c r="D643" s="187">
        <v>79097</v>
      </c>
      <c r="E643" s="16"/>
      <c r="F643" s="17" t="s">
        <v>735</v>
      </c>
      <c r="G643" s="17" t="s">
        <v>163</v>
      </c>
      <c r="H643" s="102" t="s">
        <v>118</v>
      </c>
      <c r="I643" s="16">
        <v>1</v>
      </c>
      <c r="J643" s="187">
        <v>22.5</v>
      </c>
      <c r="K643" s="187">
        <v>1.8</v>
      </c>
      <c r="L643" s="187">
        <v>8</v>
      </c>
      <c r="M643" s="16">
        <v>1</v>
      </c>
      <c r="N643" s="93" t="s">
        <v>206</v>
      </c>
      <c r="O643" s="93">
        <f t="shared" si="75"/>
        <v>180</v>
      </c>
      <c r="P643" s="188">
        <v>44923</v>
      </c>
      <c r="Q643" s="18"/>
      <c r="R643" s="140">
        <v>1</v>
      </c>
      <c r="S643" s="140">
        <v>1</v>
      </c>
      <c r="T643" s="140">
        <v>0</v>
      </c>
      <c r="U643" s="20">
        <f>IF(ISBLANK(Table1[[#This Row],[OHC Date]]),$B$7-Table1[[#This Row],[HOC Date]]+1,Table1[[#This Row],[OHC Date]]-Table1[[#This Row],[HOC Date]]+1)/7</f>
        <v>4.1428571428571432</v>
      </c>
      <c r="V643" s="142">
        <v>16.760000000000002</v>
      </c>
      <c r="W643" s="142">
        <v>0.77</v>
      </c>
      <c r="X643" s="21">
        <f>ROUND(0.7*Table1[[#This Row],[E&amp;D Rate per unit]]*R643*Table1[[#This Row],[Quantity]],2)</f>
        <v>2111.7600000000002</v>
      </c>
      <c r="Y643" s="21">
        <f t="shared" si="267"/>
        <v>574.20000000000005</v>
      </c>
      <c r="Z643" s="21">
        <f>ROUND(0.3*T643*Table1[[#This Row],[E&amp;D Rate per unit]]*Table1[[#This Row],[Quantity]],2)</f>
        <v>0</v>
      </c>
      <c r="AA643" s="21">
        <f t="shared" si="268"/>
        <v>2685.96</v>
      </c>
      <c r="AB643" s="129"/>
      <c r="AC643" s="129">
        <f>Table1[[#This Row],[Total Amount]]-Table1[[#This Row],[Previous Amount]]</f>
        <v>2685.96</v>
      </c>
      <c r="AD643" s="153"/>
    </row>
    <row r="644" spans="1:30" ht="30" customHeight="1" x14ac:dyDescent="0.3">
      <c r="A644" s="92" t="s">
        <v>89</v>
      </c>
      <c r="B644" s="92" t="s">
        <v>96</v>
      </c>
      <c r="C644" s="16" t="s">
        <v>736</v>
      </c>
      <c r="D644" s="187">
        <v>79097</v>
      </c>
      <c r="E644" s="16"/>
      <c r="F644" s="17" t="s">
        <v>735</v>
      </c>
      <c r="G644" s="17" t="s">
        <v>163</v>
      </c>
      <c r="H644" s="16" t="s">
        <v>126</v>
      </c>
      <c r="I644" s="16">
        <v>1</v>
      </c>
      <c r="J644" s="187">
        <v>22.5</v>
      </c>
      <c r="K644" s="187">
        <v>0.5</v>
      </c>
      <c r="L644" s="187">
        <v>1</v>
      </c>
      <c r="M644" s="16">
        <v>1</v>
      </c>
      <c r="N644" s="93" t="s">
        <v>160</v>
      </c>
      <c r="O644" s="93">
        <f t="shared" si="75"/>
        <v>11.25</v>
      </c>
      <c r="P644" s="188">
        <v>44923</v>
      </c>
      <c r="Q644" s="18"/>
      <c r="R644" s="140">
        <v>1</v>
      </c>
      <c r="S644" s="140">
        <v>1</v>
      </c>
      <c r="T644" s="140">
        <v>0</v>
      </c>
      <c r="U644" s="20">
        <f>IF(ISBLANK(Table1[[#This Row],[OHC Date]]),$B$7-Table1[[#This Row],[HOC Date]]+1,Table1[[#This Row],[OHC Date]]-Table1[[#This Row],[HOC Date]]+1)/7</f>
        <v>4.1428571428571432</v>
      </c>
      <c r="V644" s="142">
        <v>32.75</v>
      </c>
      <c r="W644" s="142">
        <v>1.05</v>
      </c>
      <c r="X644" s="21">
        <f>ROUND(0.7*Table1[[#This Row],[E&amp;D Rate per unit]]*R644*Table1[[#This Row],[Quantity]],2)</f>
        <v>257.91000000000003</v>
      </c>
      <c r="Y644" s="21">
        <f t="shared" si="267"/>
        <v>48.94</v>
      </c>
      <c r="Z644" s="21">
        <f>ROUND(0.3*T644*Table1[[#This Row],[E&amp;D Rate per unit]]*Table1[[#This Row],[Quantity]],2)</f>
        <v>0</v>
      </c>
      <c r="AA644" s="21">
        <f t="shared" si="268"/>
        <v>306.85000000000002</v>
      </c>
      <c r="AB644" s="129"/>
      <c r="AC644" s="129">
        <f>Table1[[#This Row],[Total Amount]]-Table1[[#This Row],[Previous Amount]]</f>
        <v>306.85000000000002</v>
      </c>
      <c r="AD644" s="153"/>
    </row>
    <row r="645" spans="1:30" ht="30" customHeight="1" x14ac:dyDescent="0.3">
      <c r="A645" s="17" t="s">
        <v>737</v>
      </c>
      <c r="B645" s="92" t="s">
        <v>96</v>
      </c>
      <c r="C645" s="16">
        <v>83</v>
      </c>
      <c r="D645" s="187">
        <v>79098</v>
      </c>
      <c r="E645" s="187">
        <v>80908</v>
      </c>
      <c r="F645" s="17" t="s">
        <v>738</v>
      </c>
      <c r="G645" s="17" t="s">
        <v>223</v>
      </c>
      <c r="H645" s="16" t="s">
        <v>739</v>
      </c>
      <c r="I645" s="16">
        <v>1</v>
      </c>
      <c r="J645" s="187">
        <v>24</v>
      </c>
      <c r="K645" s="187">
        <v>1.8</v>
      </c>
      <c r="L645" s="187">
        <v>3</v>
      </c>
      <c r="M645" s="16">
        <v>1</v>
      </c>
      <c r="N645" s="93" t="s">
        <v>206</v>
      </c>
      <c r="O645" s="93">
        <f t="shared" si="75"/>
        <v>72</v>
      </c>
      <c r="P645" s="188">
        <v>44923</v>
      </c>
      <c r="Q645" s="188">
        <v>44938</v>
      </c>
      <c r="R645" s="140">
        <v>1</v>
      </c>
      <c r="S645" s="140">
        <v>1</v>
      </c>
      <c r="T645" s="140">
        <v>1</v>
      </c>
      <c r="U645" s="20">
        <f>IF(ISBLANK(Table1[[#This Row],[OHC Date]]),$B$7-Table1[[#This Row],[HOC Date]]+1,Table1[[#This Row],[OHC Date]]-Table1[[#This Row],[HOC Date]]+1)/7</f>
        <v>2.2857142857142856</v>
      </c>
      <c r="V645" s="21">
        <v>475.57299999999998</v>
      </c>
      <c r="W645" s="21">
        <v>37.29</v>
      </c>
      <c r="X645" s="21">
        <f>ROUND(0.7*Table1[[#This Row],[E&amp;D Rate per unit]]*R645*Table1[[#This Row],[Quantity]],2)</f>
        <v>23968.880000000001</v>
      </c>
      <c r="Y645" s="21">
        <f t="shared" si="267"/>
        <v>6136.87</v>
      </c>
      <c r="Z645" s="21">
        <f>ROUND(0.3*T645*Table1[[#This Row],[E&amp;D Rate per unit]]*Table1[[#This Row],[Quantity]],2)</f>
        <v>10272.379999999999</v>
      </c>
      <c r="AA645" s="21">
        <f t="shared" si="268"/>
        <v>40378.129999999997</v>
      </c>
      <c r="AB645" s="129"/>
      <c r="AC645" s="129">
        <f>Table1[[#This Row],[Total Amount]]-Table1[[#This Row],[Previous Amount]]</f>
        <v>40378.129999999997</v>
      </c>
      <c r="AD645" s="153"/>
    </row>
    <row r="646" spans="1:30" ht="30" customHeight="1" x14ac:dyDescent="0.3">
      <c r="A646" s="92" t="s">
        <v>89</v>
      </c>
      <c r="B646" s="92" t="s">
        <v>96</v>
      </c>
      <c r="C646" s="16">
        <v>84</v>
      </c>
      <c r="D646" s="187">
        <v>79099</v>
      </c>
      <c r="E646" s="16"/>
      <c r="F646" s="17" t="s">
        <v>740</v>
      </c>
      <c r="G646" s="17" t="s">
        <v>163</v>
      </c>
      <c r="H646" s="102" t="s">
        <v>118</v>
      </c>
      <c r="I646" s="16">
        <v>1</v>
      </c>
      <c r="J646" s="187">
        <v>12.5</v>
      </c>
      <c r="K646" s="187">
        <v>1.8</v>
      </c>
      <c r="L646" s="187">
        <v>3.5</v>
      </c>
      <c r="M646" s="16">
        <v>1</v>
      </c>
      <c r="N646" s="93" t="s">
        <v>206</v>
      </c>
      <c r="O646" s="93">
        <f t="shared" si="75"/>
        <v>43.75</v>
      </c>
      <c r="P646" s="188">
        <v>44925</v>
      </c>
      <c r="Q646" s="18"/>
      <c r="R646" s="140">
        <v>1</v>
      </c>
      <c r="S646" s="140">
        <v>1</v>
      </c>
      <c r="T646" s="140">
        <v>0</v>
      </c>
      <c r="U646" s="20">
        <f>IF(ISBLANK(Table1[[#This Row],[OHC Date]]),$B$7-Table1[[#This Row],[HOC Date]]+1,Table1[[#This Row],[OHC Date]]-Table1[[#This Row],[HOC Date]]+1)/7</f>
        <v>3.8571428571428572</v>
      </c>
      <c r="V646" s="142">
        <v>16.760000000000002</v>
      </c>
      <c r="W646" s="142">
        <v>0.77</v>
      </c>
      <c r="X646" s="21">
        <f>ROUND(0.7*Table1[[#This Row],[E&amp;D Rate per unit]]*R646*Table1[[#This Row],[Quantity]],2)</f>
        <v>513.28</v>
      </c>
      <c r="Y646" s="21">
        <f t="shared" si="267"/>
        <v>129.94</v>
      </c>
      <c r="Z646" s="21">
        <f>ROUND(0.3*T646*Table1[[#This Row],[E&amp;D Rate per unit]]*Table1[[#This Row],[Quantity]],2)</f>
        <v>0</v>
      </c>
      <c r="AA646" s="21">
        <f t="shared" si="268"/>
        <v>643.22</v>
      </c>
      <c r="AB646" s="129"/>
      <c r="AC646" s="129">
        <f>Table1[[#This Row],[Total Amount]]-Table1[[#This Row],[Previous Amount]]</f>
        <v>643.22</v>
      </c>
      <c r="AD646" s="153"/>
    </row>
    <row r="647" spans="1:30" ht="30" customHeight="1" x14ac:dyDescent="0.3">
      <c r="A647" s="92" t="s">
        <v>89</v>
      </c>
      <c r="B647" s="92" t="s">
        <v>96</v>
      </c>
      <c r="C647" s="16" t="s">
        <v>741</v>
      </c>
      <c r="D647" s="187">
        <v>79099</v>
      </c>
      <c r="E647" s="16"/>
      <c r="F647" s="17" t="s">
        <v>740</v>
      </c>
      <c r="G647" s="17" t="s">
        <v>163</v>
      </c>
      <c r="H647" s="16" t="s">
        <v>126</v>
      </c>
      <c r="I647" s="16">
        <v>1</v>
      </c>
      <c r="J647" s="187">
        <v>8</v>
      </c>
      <c r="K647" s="187">
        <v>0.5</v>
      </c>
      <c r="L647" s="187">
        <v>1</v>
      </c>
      <c r="M647" s="16">
        <v>1</v>
      </c>
      <c r="N647" s="93" t="s">
        <v>160</v>
      </c>
      <c r="O647" s="93">
        <f t="shared" si="75"/>
        <v>4</v>
      </c>
      <c r="P647" s="188">
        <v>44925</v>
      </c>
      <c r="Q647" s="18"/>
      <c r="R647" s="140">
        <v>1</v>
      </c>
      <c r="S647" s="140">
        <v>1</v>
      </c>
      <c r="T647" s="140">
        <v>0</v>
      </c>
      <c r="U647" s="20">
        <f>IF(ISBLANK(Table1[[#This Row],[OHC Date]]),$B$7-Table1[[#This Row],[HOC Date]]+1,Table1[[#This Row],[OHC Date]]-Table1[[#This Row],[HOC Date]]+1)/7</f>
        <v>3.8571428571428572</v>
      </c>
      <c r="V647" s="142">
        <v>32.75</v>
      </c>
      <c r="W647" s="142">
        <v>1.05</v>
      </c>
      <c r="X647" s="21">
        <f>ROUND(0.7*Table1[[#This Row],[E&amp;D Rate per unit]]*R647*Table1[[#This Row],[Quantity]],2)</f>
        <v>91.7</v>
      </c>
      <c r="Y647" s="21">
        <f t="shared" si="267"/>
        <v>16.2</v>
      </c>
      <c r="Z647" s="21">
        <f>ROUND(0.3*T647*Table1[[#This Row],[E&amp;D Rate per unit]]*Table1[[#This Row],[Quantity]],2)</f>
        <v>0</v>
      </c>
      <c r="AA647" s="21">
        <f t="shared" si="268"/>
        <v>107.9</v>
      </c>
      <c r="AB647" s="129"/>
      <c r="AC647" s="129">
        <f>Table1[[#This Row],[Total Amount]]-Table1[[#This Row],[Previous Amount]]</f>
        <v>107.9</v>
      </c>
      <c r="AD647" s="153"/>
    </row>
    <row r="648" spans="1:30" ht="30" customHeight="1" x14ac:dyDescent="0.3">
      <c r="A648" s="145" t="s">
        <v>550</v>
      </c>
      <c r="B648" s="92" t="s">
        <v>96</v>
      </c>
      <c r="C648" s="16" t="s">
        <v>742</v>
      </c>
      <c r="D648" s="187">
        <v>79100</v>
      </c>
      <c r="E648" s="16"/>
      <c r="F648" s="17" t="s">
        <v>552</v>
      </c>
      <c r="G648" s="17" t="s">
        <v>535</v>
      </c>
      <c r="H648" s="148" t="s">
        <v>553</v>
      </c>
      <c r="I648" s="16">
        <v>1</v>
      </c>
      <c r="J648" s="187">
        <v>6.1</v>
      </c>
      <c r="K648" s="187">
        <v>1</v>
      </c>
      <c r="L648" s="187">
        <v>1</v>
      </c>
      <c r="M648" s="16">
        <v>1</v>
      </c>
      <c r="N648" s="93" t="s">
        <v>56</v>
      </c>
      <c r="O648" s="93">
        <f t="shared" si="75"/>
        <v>1</v>
      </c>
      <c r="P648" s="192">
        <v>44925</v>
      </c>
      <c r="Q648" s="18"/>
      <c r="R648" s="140">
        <v>1</v>
      </c>
      <c r="S648" s="140">
        <v>1</v>
      </c>
      <c r="T648" s="140">
        <v>0</v>
      </c>
      <c r="U648" s="20">
        <f>IF(ISBLANK(Table1[[#This Row],[OHC Date]]),$B$7-Table1[[#This Row],[HOC Date]]+1,Table1[[#This Row],[OHC Date]]-Table1[[#This Row],[HOC Date]]+1)/7</f>
        <v>3.8571428571428572</v>
      </c>
      <c r="V648" s="142">
        <f>1772.58452173913/4.3*6.1</f>
        <v>2514.5966471183006</v>
      </c>
      <c r="W648" s="142">
        <f>52.192/4.3*6.1</f>
        <v>74.039813953488377</v>
      </c>
      <c r="X648" s="21">
        <f>ROUND(0.7*Table1[[#This Row],[E&amp;D Rate per unit]]*R648*Table1[[#This Row],[Quantity]],2)</f>
        <v>1760.22</v>
      </c>
      <c r="Y648" s="21">
        <f t="shared" si="267"/>
        <v>285.58</v>
      </c>
      <c r="Z648" s="21">
        <f>ROUND(0.3*T648*Table1[[#This Row],[E&amp;D Rate per unit]]*Table1[[#This Row],[Quantity]],2)</f>
        <v>0</v>
      </c>
      <c r="AA648" s="21">
        <f t="shared" si="268"/>
        <v>2045.8</v>
      </c>
      <c r="AB648" s="129"/>
      <c r="AC648" s="129">
        <f>Table1[[#This Row],[Total Amount]]-Table1[[#This Row],[Previous Amount]]</f>
        <v>2045.8</v>
      </c>
      <c r="AD648" s="132" t="s">
        <v>557</v>
      </c>
    </row>
    <row r="649" spans="1:30" ht="30" customHeight="1" x14ac:dyDescent="0.3">
      <c r="A649" s="92" t="s">
        <v>89</v>
      </c>
      <c r="B649" s="92" t="s">
        <v>96</v>
      </c>
      <c r="C649" s="151" t="s">
        <v>743</v>
      </c>
      <c r="D649" s="187">
        <v>79199</v>
      </c>
      <c r="E649" s="16"/>
      <c r="F649" s="17" t="s">
        <v>744</v>
      </c>
      <c r="G649" s="17" t="s">
        <v>528</v>
      </c>
      <c r="H649" s="151" t="s">
        <v>220</v>
      </c>
      <c r="I649" s="16">
        <v>1</v>
      </c>
      <c r="J649" s="187">
        <v>2</v>
      </c>
      <c r="K649" s="187">
        <v>1</v>
      </c>
      <c r="L649" s="187">
        <v>2</v>
      </c>
      <c r="M649" s="16">
        <v>1</v>
      </c>
      <c r="N649" s="93" t="s">
        <v>221</v>
      </c>
      <c r="O649" s="93">
        <f t="shared" si="75"/>
        <v>2</v>
      </c>
      <c r="P649" s="188">
        <v>44928</v>
      </c>
      <c r="Q649" s="18"/>
      <c r="R649" s="140">
        <v>1</v>
      </c>
      <c r="S649" s="140">
        <v>1</v>
      </c>
      <c r="T649" s="140">
        <v>0</v>
      </c>
      <c r="U649" s="20">
        <f>IF(ISBLANK(Table1[[#This Row],[OHC Date]]),$B$7-Table1[[#This Row],[HOC Date]]+1,Table1[[#This Row],[OHC Date]]-Table1[[#This Row],[HOC Date]]+1)/7</f>
        <v>3.4285714285714284</v>
      </c>
      <c r="V649" s="142">
        <v>63.34</v>
      </c>
      <c r="W649" s="142">
        <v>7.28</v>
      </c>
      <c r="X649" s="21">
        <f>ROUND(0.7*Table1[[#This Row],[E&amp;D Rate per unit]]*R649*Table1[[#This Row],[Quantity]],2)</f>
        <v>88.68</v>
      </c>
      <c r="Y649" s="21">
        <f t="shared" si="267"/>
        <v>49.92</v>
      </c>
      <c r="Z649" s="21">
        <f>ROUND(0.3*T649*Table1[[#This Row],[E&amp;D Rate per unit]]*Table1[[#This Row],[Quantity]],2)</f>
        <v>0</v>
      </c>
      <c r="AA649" s="21">
        <f t="shared" si="268"/>
        <v>138.6</v>
      </c>
      <c r="AB649" s="129"/>
      <c r="AC649" s="129">
        <f>Table1[[#This Row],[Total Amount]]-Table1[[#This Row],[Previous Amount]]</f>
        <v>138.6</v>
      </c>
      <c r="AD649" s="153"/>
    </row>
    <row r="650" spans="1:30" ht="30" customHeight="1" x14ac:dyDescent="0.3">
      <c r="A650" s="92" t="s">
        <v>89</v>
      </c>
      <c r="B650" s="92" t="s">
        <v>96</v>
      </c>
      <c r="C650" s="16" t="s">
        <v>745</v>
      </c>
      <c r="D650" s="187">
        <v>75801</v>
      </c>
      <c r="E650" s="16"/>
      <c r="F650" s="17" t="s">
        <v>740</v>
      </c>
      <c r="G650" s="17" t="s">
        <v>163</v>
      </c>
      <c r="H650" s="102" t="s">
        <v>118</v>
      </c>
      <c r="I650" s="16">
        <v>1</v>
      </c>
      <c r="J650" s="187">
        <v>10</v>
      </c>
      <c r="K650" s="187">
        <v>1.8</v>
      </c>
      <c r="L650" s="187">
        <v>3.5</v>
      </c>
      <c r="M650" s="16">
        <v>1</v>
      </c>
      <c r="N650" s="93" t="s">
        <v>206</v>
      </c>
      <c r="O650" s="93">
        <f t="shared" si="75"/>
        <v>35</v>
      </c>
      <c r="P650" s="188">
        <v>44928</v>
      </c>
      <c r="Q650" s="18"/>
      <c r="R650" s="140">
        <v>1</v>
      </c>
      <c r="S650" s="140">
        <v>1</v>
      </c>
      <c r="T650" s="140">
        <v>0</v>
      </c>
      <c r="U650" s="20">
        <f>IF(ISBLANK(Table1[[#This Row],[OHC Date]]),$B$7-Table1[[#This Row],[HOC Date]]+1,Table1[[#This Row],[OHC Date]]-Table1[[#This Row],[HOC Date]]+1)/7</f>
        <v>3.4285714285714284</v>
      </c>
      <c r="V650" s="142">
        <v>16.760000000000002</v>
      </c>
      <c r="W650" s="142">
        <v>0.77</v>
      </c>
      <c r="X650" s="21">
        <f>ROUND(0.7*Table1[[#This Row],[E&amp;D Rate per unit]]*R650*Table1[[#This Row],[Quantity]],2)</f>
        <v>410.62</v>
      </c>
      <c r="Y650" s="21">
        <f t="shared" si="267"/>
        <v>92.4</v>
      </c>
      <c r="Z650" s="21">
        <f>ROUND(0.3*T650*Table1[[#This Row],[E&amp;D Rate per unit]]*Table1[[#This Row],[Quantity]],2)</f>
        <v>0</v>
      </c>
      <c r="AA650" s="21">
        <f t="shared" si="268"/>
        <v>503.02</v>
      </c>
      <c r="AB650" s="129"/>
      <c r="AC650" s="129">
        <f>Table1[[#This Row],[Total Amount]]-Table1[[#This Row],[Previous Amount]]</f>
        <v>503.02</v>
      </c>
      <c r="AD650" s="153"/>
    </row>
    <row r="651" spans="1:30" ht="30" customHeight="1" x14ac:dyDescent="0.3">
      <c r="A651" s="92" t="s">
        <v>89</v>
      </c>
      <c r="B651" s="92" t="s">
        <v>96</v>
      </c>
      <c r="C651" s="16" t="s">
        <v>746</v>
      </c>
      <c r="D651" s="187">
        <v>75801</v>
      </c>
      <c r="E651" s="16"/>
      <c r="F651" s="17" t="s">
        <v>740</v>
      </c>
      <c r="G651" s="17" t="s">
        <v>163</v>
      </c>
      <c r="H651" s="16" t="s">
        <v>126</v>
      </c>
      <c r="I651" s="16">
        <v>1</v>
      </c>
      <c r="J651" s="187">
        <v>10</v>
      </c>
      <c r="K651" s="187">
        <v>0.5</v>
      </c>
      <c r="L651" s="187">
        <v>1</v>
      </c>
      <c r="M651" s="16">
        <v>1</v>
      </c>
      <c r="N651" s="93" t="s">
        <v>160</v>
      </c>
      <c r="O651" s="93">
        <f t="shared" si="75"/>
        <v>5</v>
      </c>
      <c r="P651" s="188">
        <v>44928</v>
      </c>
      <c r="Q651" s="18"/>
      <c r="R651" s="140">
        <v>1</v>
      </c>
      <c r="S651" s="140">
        <v>1</v>
      </c>
      <c r="T651" s="140">
        <v>0</v>
      </c>
      <c r="U651" s="20">
        <f>IF(ISBLANK(Table1[[#This Row],[OHC Date]]),$B$7-Table1[[#This Row],[HOC Date]]+1,Table1[[#This Row],[OHC Date]]-Table1[[#This Row],[HOC Date]]+1)/7</f>
        <v>3.4285714285714284</v>
      </c>
      <c r="V651" s="142">
        <v>32.75</v>
      </c>
      <c r="W651" s="142">
        <v>1.05</v>
      </c>
      <c r="X651" s="21">
        <f>ROUND(0.7*Table1[[#This Row],[E&amp;D Rate per unit]]*R651*Table1[[#This Row],[Quantity]],2)</f>
        <v>114.63</v>
      </c>
      <c r="Y651" s="21">
        <f t="shared" si="267"/>
        <v>18</v>
      </c>
      <c r="Z651" s="21">
        <f>ROUND(0.3*T651*Table1[[#This Row],[E&amp;D Rate per unit]]*Table1[[#This Row],[Quantity]],2)</f>
        <v>0</v>
      </c>
      <c r="AA651" s="21">
        <f t="shared" si="268"/>
        <v>132.63</v>
      </c>
      <c r="AB651" s="129"/>
      <c r="AC651" s="129">
        <f>Table1[[#This Row],[Total Amount]]-Table1[[#This Row],[Previous Amount]]</f>
        <v>132.63</v>
      </c>
      <c r="AD651" s="153"/>
    </row>
    <row r="652" spans="1:30" ht="30" customHeight="1" x14ac:dyDescent="0.3">
      <c r="A652" s="92" t="s">
        <v>89</v>
      </c>
      <c r="B652" s="92" t="s">
        <v>96</v>
      </c>
      <c r="C652" s="16" t="s">
        <v>747</v>
      </c>
      <c r="D652" s="187">
        <v>75802</v>
      </c>
      <c r="E652" s="187">
        <v>80911</v>
      </c>
      <c r="F652" s="17" t="s">
        <v>748</v>
      </c>
      <c r="G652" s="17" t="s">
        <v>163</v>
      </c>
      <c r="H652" s="102" t="s">
        <v>127</v>
      </c>
      <c r="I652" s="16">
        <v>1</v>
      </c>
      <c r="J652" s="187">
        <v>17</v>
      </c>
      <c r="K652" s="187">
        <v>1.5</v>
      </c>
      <c r="L652" s="187">
        <v>1</v>
      </c>
      <c r="M652" s="16">
        <v>1</v>
      </c>
      <c r="N652" s="93" t="s">
        <v>160</v>
      </c>
      <c r="O652" s="93">
        <f t="shared" si="75"/>
        <v>25.5</v>
      </c>
      <c r="P652" s="188">
        <v>44928</v>
      </c>
      <c r="Q652" s="188">
        <v>44942</v>
      </c>
      <c r="R652" s="140">
        <v>1</v>
      </c>
      <c r="S652" s="140">
        <v>1</v>
      </c>
      <c r="T652" s="140">
        <v>1</v>
      </c>
      <c r="U652" s="20">
        <f>IF(ISBLANK(Table1[[#This Row],[OHC Date]]),$B$7-Table1[[#This Row],[HOC Date]]+1,Table1[[#This Row],[OHC Date]]-Table1[[#This Row],[HOC Date]]+1)/7</f>
        <v>2.1428571428571428</v>
      </c>
      <c r="V652" s="142">
        <v>36.520000000000003</v>
      </c>
      <c r="W652" s="142">
        <v>2.94</v>
      </c>
      <c r="X652" s="21">
        <f>ROUND(0.7*Table1[[#This Row],[E&amp;D Rate per unit]]*R652*Table1[[#This Row],[Quantity]],2)</f>
        <v>651.88</v>
      </c>
      <c r="Y652" s="21">
        <f t="shared" si="267"/>
        <v>160.65</v>
      </c>
      <c r="Z652" s="21">
        <f>ROUND(0.3*T652*Table1[[#This Row],[E&amp;D Rate per unit]]*Table1[[#This Row],[Quantity]],2)</f>
        <v>279.38</v>
      </c>
      <c r="AA652" s="21">
        <f t="shared" si="268"/>
        <v>1091.9100000000001</v>
      </c>
      <c r="AB652" s="129"/>
      <c r="AC652" s="129">
        <f>Table1[[#This Row],[Total Amount]]-Table1[[#This Row],[Previous Amount]]</f>
        <v>1091.9100000000001</v>
      </c>
      <c r="AD652" s="153"/>
    </row>
    <row r="653" spans="1:30" ht="30" customHeight="1" x14ac:dyDescent="0.3">
      <c r="A653" s="131" t="s">
        <v>415</v>
      </c>
      <c r="B653" s="92" t="s">
        <v>96</v>
      </c>
      <c r="C653" s="16" t="s">
        <v>828</v>
      </c>
      <c r="D653" s="187">
        <v>75803</v>
      </c>
      <c r="E653" s="16"/>
      <c r="F653" s="17" t="s">
        <v>610</v>
      </c>
      <c r="G653" s="17" t="s">
        <v>200</v>
      </c>
      <c r="H653" s="151" t="s">
        <v>812</v>
      </c>
      <c r="I653" s="16">
        <v>1</v>
      </c>
      <c r="J653" s="187">
        <v>2.5</v>
      </c>
      <c r="K653" s="187">
        <v>1.3</v>
      </c>
      <c r="L653" s="187">
        <v>5</v>
      </c>
      <c r="M653" s="16">
        <v>1</v>
      </c>
      <c r="N653" s="93" t="s">
        <v>206</v>
      </c>
      <c r="O653" s="93">
        <f t="shared" si="75"/>
        <v>12.5</v>
      </c>
      <c r="P653" s="188">
        <v>44928</v>
      </c>
      <c r="Q653" s="18"/>
      <c r="R653" s="140">
        <v>1</v>
      </c>
      <c r="S653" s="140">
        <v>1</v>
      </c>
      <c r="T653" s="140">
        <v>0</v>
      </c>
      <c r="U653" s="20">
        <f>IF(ISBLANK(Table1[[#This Row],[OHC Date]]),$B$7-Table1[[#This Row],[HOC Date]]+1,Table1[[#This Row],[OHC Date]]-Table1[[#This Row],[HOC Date]]+1)/7</f>
        <v>3.4285714285714284</v>
      </c>
      <c r="V653" s="107">
        <v>95.9</v>
      </c>
      <c r="W653" s="107">
        <v>13.9</v>
      </c>
      <c r="X653" s="21">
        <f>ROUND(0.7*Table1[[#This Row],[E&amp;D Rate per unit]]*R653*Table1[[#This Row],[Quantity]],2)</f>
        <v>839.13</v>
      </c>
      <c r="Y653" s="21">
        <f t="shared" si="267"/>
        <v>595.71</v>
      </c>
      <c r="Z653" s="21">
        <f>ROUND(0.3*T653*Table1[[#This Row],[E&amp;D Rate per unit]]*Table1[[#This Row],[Quantity]],2)</f>
        <v>0</v>
      </c>
      <c r="AA653" s="21">
        <f t="shared" si="268"/>
        <v>1434.84</v>
      </c>
      <c r="AB653" s="129"/>
      <c r="AC653" s="129">
        <f>Table1[[#This Row],[Total Amount]]-Table1[[#This Row],[Previous Amount]]</f>
        <v>1434.84</v>
      </c>
      <c r="AD653" s="132" t="s">
        <v>437</v>
      </c>
    </row>
    <row r="654" spans="1:30" ht="30" customHeight="1" x14ac:dyDescent="0.3">
      <c r="A654" s="145" t="s">
        <v>550</v>
      </c>
      <c r="B654" s="92" t="s">
        <v>96</v>
      </c>
      <c r="C654" s="16" t="s">
        <v>749</v>
      </c>
      <c r="D654" s="187">
        <v>75804</v>
      </c>
      <c r="E654" s="187">
        <v>80916</v>
      </c>
      <c r="F654" s="17" t="s">
        <v>552</v>
      </c>
      <c r="G654" s="17" t="s">
        <v>274</v>
      </c>
      <c r="H654" s="148" t="s">
        <v>553</v>
      </c>
      <c r="I654" s="16">
        <v>1</v>
      </c>
      <c r="J654" s="187">
        <v>4.3</v>
      </c>
      <c r="K654" s="187">
        <v>1</v>
      </c>
      <c r="L654" s="187">
        <v>1</v>
      </c>
      <c r="M654" s="16">
        <v>1</v>
      </c>
      <c r="N654" s="93" t="s">
        <v>56</v>
      </c>
      <c r="O654" s="93">
        <f t="shared" si="75"/>
        <v>1</v>
      </c>
      <c r="P654" s="188">
        <v>44929</v>
      </c>
      <c r="Q654" s="188">
        <v>44946</v>
      </c>
      <c r="R654" s="140">
        <v>1</v>
      </c>
      <c r="S654" s="140">
        <v>1</v>
      </c>
      <c r="T654" s="140">
        <v>1</v>
      </c>
      <c r="U654" s="20">
        <f>IF(ISBLANK(Table1[[#This Row],[OHC Date]]),$B$7-Table1[[#This Row],[HOC Date]]+1,Table1[[#This Row],[OHC Date]]-Table1[[#This Row],[HOC Date]]+1)/7</f>
        <v>2.5714285714285716</v>
      </c>
      <c r="V654" s="142">
        <v>1772.5845217391307</v>
      </c>
      <c r="W654" s="142">
        <v>52.192000000000007</v>
      </c>
      <c r="X654" s="21">
        <f>ROUND(0.7*Table1[[#This Row],[E&amp;D Rate per unit]]*R654*Table1[[#This Row],[Quantity]],2)</f>
        <v>1240.81</v>
      </c>
      <c r="Y654" s="21">
        <f t="shared" si="267"/>
        <v>134.21</v>
      </c>
      <c r="Z654" s="21">
        <f>ROUND(0.3*T654*Table1[[#This Row],[E&amp;D Rate per unit]]*Table1[[#This Row],[Quantity]],2)</f>
        <v>531.78</v>
      </c>
      <c r="AA654" s="21">
        <f t="shared" si="268"/>
        <v>1906.8</v>
      </c>
      <c r="AB654" s="129"/>
      <c r="AC654" s="129">
        <f>Table1[[#This Row],[Total Amount]]-Table1[[#This Row],[Previous Amount]]</f>
        <v>1906.8</v>
      </c>
      <c r="AD654" s="132" t="s">
        <v>557</v>
      </c>
    </row>
    <row r="655" spans="1:30" ht="30" customHeight="1" x14ac:dyDescent="0.3">
      <c r="A655" s="145" t="s">
        <v>550</v>
      </c>
      <c r="B655" s="92" t="s">
        <v>96</v>
      </c>
      <c r="C655" s="16" t="s">
        <v>750</v>
      </c>
      <c r="D655" s="187">
        <v>75805</v>
      </c>
      <c r="E655" s="187">
        <v>80917</v>
      </c>
      <c r="F655" s="17" t="s">
        <v>552</v>
      </c>
      <c r="G655" s="17" t="s">
        <v>251</v>
      </c>
      <c r="H655" s="151" t="s">
        <v>553</v>
      </c>
      <c r="I655" s="16">
        <v>1</v>
      </c>
      <c r="J655" s="187">
        <v>6.1</v>
      </c>
      <c r="K655" s="187">
        <v>1</v>
      </c>
      <c r="L655" s="187">
        <v>1</v>
      </c>
      <c r="M655" s="16">
        <v>1</v>
      </c>
      <c r="N655" s="93" t="s">
        <v>56</v>
      </c>
      <c r="O655" s="93">
        <f t="shared" si="75"/>
        <v>1</v>
      </c>
      <c r="P655" s="188">
        <v>44930</v>
      </c>
      <c r="Q655" s="188">
        <v>44949</v>
      </c>
      <c r="R655" s="140">
        <v>1</v>
      </c>
      <c r="S655" s="140">
        <v>1</v>
      </c>
      <c r="T655" s="140">
        <v>1</v>
      </c>
      <c r="U655" s="20">
        <f>IF(ISBLANK(Table1[[#This Row],[OHC Date]]),$B$7-Table1[[#This Row],[HOC Date]]+1,Table1[[#This Row],[OHC Date]]-Table1[[#This Row],[HOC Date]]+1)/7</f>
        <v>2.8571428571428572</v>
      </c>
      <c r="V655" s="142">
        <f>1772.58452173913/4.3*6.1</f>
        <v>2514.5966471183006</v>
      </c>
      <c r="W655" s="142">
        <f>52.192/4.3*6.1</f>
        <v>74.039813953488377</v>
      </c>
      <c r="X655" s="21">
        <f>ROUND(0.7*Table1[[#This Row],[E&amp;D Rate per unit]]*R655*Table1[[#This Row],[Quantity]],2)</f>
        <v>1760.22</v>
      </c>
      <c r="Y655" s="21">
        <f t="shared" si="267"/>
        <v>211.54</v>
      </c>
      <c r="Z655" s="21">
        <f>ROUND(0.3*T655*Table1[[#This Row],[E&amp;D Rate per unit]]*Table1[[#This Row],[Quantity]],2)</f>
        <v>754.38</v>
      </c>
      <c r="AA655" s="21">
        <f t="shared" si="268"/>
        <v>2726.14</v>
      </c>
      <c r="AB655" s="129"/>
      <c r="AC655" s="129">
        <f>Table1[[#This Row],[Total Amount]]-Table1[[#This Row],[Previous Amount]]</f>
        <v>2726.14</v>
      </c>
      <c r="AD655" s="132" t="s">
        <v>557</v>
      </c>
    </row>
    <row r="656" spans="1:30" ht="30" customHeight="1" x14ac:dyDescent="0.3">
      <c r="A656" s="92" t="s">
        <v>89</v>
      </c>
      <c r="B656" s="92" t="s">
        <v>96</v>
      </c>
      <c r="C656" s="16">
        <v>88</v>
      </c>
      <c r="D656" s="187">
        <v>75806</v>
      </c>
      <c r="E656" s="16"/>
      <c r="F656" s="17" t="s">
        <v>751</v>
      </c>
      <c r="G656" s="17" t="s">
        <v>752</v>
      </c>
      <c r="H656" s="102" t="s">
        <v>205</v>
      </c>
      <c r="I656" s="16">
        <v>1</v>
      </c>
      <c r="J656" s="187">
        <v>4</v>
      </c>
      <c r="K656" s="187">
        <v>1.3</v>
      </c>
      <c r="L656" s="187">
        <v>2</v>
      </c>
      <c r="M656" s="16">
        <v>1</v>
      </c>
      <c r="N656" s="93" t="s">
        <v>206</v>
      </c>
      <c r="O656" s="93">
        <f t="shared" si="75"/>
        <v>8</v>
      </c>
      <c r="P656" s="188">
        <v>44931</v>
      </c>
      <c r="Q656" s="18"/>
      <c r="R656" s="140">
        <v>1</v>
      </c>
      <c r="S656" s="140">
        <v>1</v>
      </c>
      <c r="T656" s="140">
        <v>0</v>
      </c>
      <c r="U656" s="20">
        <f>IF(ISBLANK(Table1[[#This Row],[OHC Date]]),$B$7-Table1[[#This Row],[HOC Date]]+1,Table1[[#This Row],[OHC Date]]-Table1[[#This Row],[HOC Date]]+1)/7</f>
        <v>3</v>
      </c>
      <c r="V656" s="142">
        <v>12.01</v>
      </c>
      <c r="W656" s="142">
        <v>0.49</v>
      </c>
      <c r="X656" s="21">
        <f>ROUND(0.7*Table1[[#This Row],[E&amp;D Rate per unit]]*R656*Table1[[#This Row],[Quantity]],2)</f>
        <v>67.260000000000005</v>
      </c>
      <c r="Y656" s="21">
        <f t="shared" si="267"/>
        <v>11.76</v>
      </c>
      <c r="Z656" s="21">
        <f>ROUND(0.3*T656*Table1[[#This Row],[E&amp;D Rate per unit]]*Table1[[#This Row],[Quantity]],2)</f>
        <v>0</v>
      </c>
      <c r="AA656" s="21">
        <f t="shared" si="268"/>
        <v>79.02</v>
      </c>
      <c r="AB656" s="129"/>
      <c r="AC656" s="129">
        <f>Table1[[#This Row],[Total Amount]]-Table1[[#This Row],[Previous Amount]]</f>
        <v>79.02</v>
      </c>
      <c r="AD656" s="153"/>
    </row>
    <row r="657" spans="1:30" ht="30" customHeight="1" x14ac:dyDescent="0.3">
      <c r="A657" s="92" t="s">
        <v>89</v>
      </c>
      <c r="B657" s="92" t="s">
        <v>96</v>
      </c>
      <c r="C657" s="16" t="s">
        <v>753</v>
      </c>
      <c r="D657" s="187">
        <v>75807</v>
      </c>
      <c r="E657" s="16"/>
      <c r="F657" s="17" t="s">
        <v>751</v>
      </c>
      <c r="G657" s="17" t="s">
        <v>752</v>
      </c>
      <c r="H657" s="151" t="s">
        <v>220</v>
      </c>
      <c r="I657" s="16">
        <v>1</v>
      </c>
      <c r="J657" s="187">
        <v>2.5</v>
      </c>
      <c r="K657" s="187">
        <v>0.9</v>
      </c>
      <c r="L657" s="187">
        <v>2</v>
      </c>
      <c r="M657" s="16">
        <v>1</v>
      </c>
      <c r="N657" s="93" t="s">
        <v>221</v>
      </c>
      <c r="O657" s="93">
        <f t="shared" si="75"/>
        <v>2</v>
      </c>
      <c r="P657" s="188">
        <v>44931</v>
      </c>
      <c r="Q657" s="18"/>
      <c r="R657" s="140">
        <v>1</v>
      </c>
      <c r="S657" s="140">
        <v>1</v>
      </c>
      <c r="T657" s="140">
        <v>0</v>
      </c>
      <c r="U657" s="20">
        <f>IF(ISBLANK(Table1[[#This Row],[OHC Date]]),$B$7-Table1[[#This Row],[HOC Date]]+1,Table1[[#This Row],[OHC Date]]-Table1[[#This Row],[HOC Date]]+1)/7</f>
        <v>3</v>
      </c>
      <c r="V657" s="142">
        <v>63.34</v>
      </c>
      <c r="W657" s="142">
        <v>7.28</v>
      </c>
      <c r="X657" s="21">
        <f>ROUND(0.7*Table1[[#This Row],[E&amp;D Rate per unit]]*R657*Table1[[#This Row],[Quantity]],2)</f>
        <v>88.68</v>
      </c>
      <c r="Y657" s="21">
        <f t="shared" si="267"/>
        <v>43.68</v>
      </c>
      <c r="Z657" s="21">
        <f>ROUND(0.3*T657*Table1[[#This Row],[E&amp;D Rate per unit]]*Table1[[#This Row],[Quantity]],2)</f>
        <v>0</v>
      </c>
      <c r="AA657" s="21">
        <f t="shared" si="268"/>
        <v>132.36000000000001</v>
      </c>
      <c r="AB657" s="129"/>
      <c r="AC657" s="129">
        <f>Table1[[#This Row],[Total Amount]]-Table1[[#This Row],[Previous Amount]]</f>
        <v>132.36000000000001</v>
      </c>
      <c r="AD657" s="153"/>
    </row>
    <row r="658" spans="1:30" ht="30" customHeight="1" x14ac:dyDescent="0.3">
      <c r="A658" s="92" t="s">
        <v>89</v>
      </c>
      <c r="B658" s="92" t="s">
        <v>96</v>
      </c>
      <c r="C658" s="16" t="s">
        <v>754</v>
      </c>
      <c r="D658" s="187">
        <v>75808</v>
      </c>
      <c r="E658" s="16"/>
      <c r="F658" s="17" t="s">
        <v>751</v>
      </c>
      <c r="G658" s="17" t="s">
        <v>752</v>
      </c>
      <c r="H658" s="102" t="s">
        <v>205</v>
      </c>
      <c r="I658" s="16">
        <v>1</v>
      </c>
      <c r="J658" s="187">
        <v>3.1</v>
      </c>
      <c r="K658" s="187">
        <v>1.3</v>
      </c>
      <c r="L658" s="187">
        <v>1.5</v>
      </c>
      <c r="M658" s="16">
        <v>1</v>
      </c>
      <c r="N658" s="93" t="s">
        <v>206</v>
      </c>
      <c r="O658" s="93">
        <f t="shared" si="75"/>
        <v>4.6500000000000004</v>
      </c>
      <c r="P658" s="188">
        <v>44931</v>
      </c>
      <c r="Q658" s="18"/>
      <c r="R658" s="140">
        <v>1</v>
      </c>
      <c r="S658" s="140">
        <v>1</v>
      </c>
      <c r="T658" s="140">
        <v>0</v>
      </c>
      <c r="U658" s="20">
        <f>IF(ISBLANK(Table1[[#This Row],[OHC Date]]),$B$7-Table1[[#This Row],[HOC Date]]+1,Table1[[#This Row],[OHC Date]]-Table1[[#This Row],[HOC Date]]+1)/7</f>
        <v>3</v>
      </c>
      <c r="V658" s="142">
        <v>12.01</v>
      </c>
      <c r="W658" s="142">
        <v>0.49</v>
      </c>
      <c r="X658" s="21">
        <f>ROUND(0.7*Table1[[#This Row],[E&amp;D Rate per unit]]*R658*Table1[[#This Row],[Quantity]],2)</f>
        <v>39.090000000000003</v>
      </c>
      <c r="Y658" s="21">
        <f t="shared" si="267"/>
        <v>6.84</v>
      </c>
      <c r="Z658" s="21">
        <f>ROUND(0.3*T658*Table1[[#This Row],[E&amp;D Rate per unit]]*Table1[[#This Row],[Quantity]],2)</f>
        <v>0</v>
      </c>
      <c r="AA658" s="21">
        <f t="shared" si="268"/>
        <v>45.93</v>
      </c>
      <c r="AB658" s="129"/>
      <c r="AC658" s="129">
        <f>Table1[[#This Row],[Total Amount]]-Table1[[#This Row],[Previous Amount]]</f>
        <v>45.93</v>
      </c>
      <c r="AD658" s="153"/>
    </row>
    <row r="659" spans="1:30" ht="30" customHeight="1" x14ac:dyDescent="0.3">
      <c r="A659" s="92" t="s">
        <v>89</v>
      </c>
      <c r="B659" s="92" t="s">
        <v>96</v>
      </c>
      <c r="C659" s="16" t="s">
        <v>755</v>
      </c>
      <c r="D659" s="187">
        <v>75809</v>
      </c>
      <c r="E659" s="16"/>
      <c r="F659" s="17" t="s">
        <v>751</v>
      </c>
      <c r="G659" s="17" t="s">
        <v>756</v>
      </c>
      <c r="H659" s="102" t="s">
        <v>205</v>
      </c>
      <c r="I659" s="16">
        <v>1</v>
      </c>
      <c r="J659" s="187">
        <v>6.1</v>
      </c>
      <c r="K659" s="187">
        <v>0.9</v>
      </c>
      <c r="L659" s="187">
        <v>1.5</v>
      </c>
      <c r="M659" s="16">
        <v>1</v>
      </c>
      <c r="N659" s="93" t="s">
        <v>206</v>
      </c>
      <c r="O659" s="93">
        <f t="shared" si="75"/>
        <v>9.15</v>
      </c>
      <c r="P659" s="188">
        <v>44931</v>
      </c>
      <c r="Q659" s="18"/>
      <c r="R659" s="140">
        <v>1</v>
      </c>
      <c r="S659" s="140">
        <v>1</v>
      </c>
      <c r="T659" s="140">
        <v>0</v>
      </c>
      <c r="U659" s="20">
        <f>IF(ISBLANK(Table1[[#This Row],[OHC Date]]),$B$7-Table1[[#This Row],[HOC Date]]+1,Table1[[#This Row],[OHC Date]]-Table1[[#This Row],[HOC Date]]+1)/7</f>
        <v>3</v>
      </c>
      <c r="V659" s="142">
        <v>12.01</v>
      </c>
      <c r="W659" s="142">
        <v>0.49</v>
      </c>
      <c r="X659" s="21">
        <f>ROUND(0.7*Table1[[#This Row],[E&amp;D Rate per unit]]*R659*Table1[[#This Row],[Quantity]],2)</f>
        <v>76.92</v>
      </c>
      <c r="Y659" s="21">
        <f t="shared" si="267"/>
        <v>13.45</v>
      </c>
      <c r="Z659" s="21">
        <f>ROUND(0.3*T659*Table1[[#This Row],[E&amp;D Rate per unit]]*Table1[[#This Row],[Quantity]],2)</f>
        <v>0</v>
      </c>
      <c r="AA659" s="21">
        <f t="shared" si="268"/>
        <v>90.37</v>
      </c>
      <c r="AB659" s="129"/>
      <c r="AC659" s="129">
        <f>Table1[[#This Row],[Total Amount]]-Table1[[#This Row],[Previous Amount]]</f>
        <v>90.37</v>
      </c>
      <c r="AD659" s="153"/>
    </row>
    <row r="660" spans="1:30" ht="30" customHeight="1" x14ac:dyDescent="0.3">
      <c r="A660" s="92" t="s">
        <v>89</v>
      </c>
      <c r="B660" s="92" t="s">
        <v>96</v>
      </c>
      <c r="C660" s="16" t="s">
        <v>757</v>
      </c>
      <c r="D660" s="187">
        <v>75810</v>
      </c>
      <c r="E660" s="16"/>
      <c r="F660" s="17" t="s">
        <v>751</v>
      </c>
      <c r="G660" s="17" t="s">
        <v>756</v>
      </c>
      <c r="H660" s="102" t="s">
        <v>205</v>
      </c>
      <c r="I660" s="16">
        <v>1</v>
      </c>
      <c r="J660" s="187">
        <v>6.8</v>
      </c>
      <c r="K660" s="187">
        <v>0.9</v>
      </c>
      <c r="L660" s="187">
        <v>1.5</v>
      </c>
      <c r="M660" s="16">
        <v>1</v>
      </c>
      <c r="N660" s="93" t="s">
        <v>206</v>
      </c>
      <c r="O660" s="93">
        <f t="shared" si="75"/>
        <v>10.199999999999999</v>
      </c>
      <c r="P660" s="188">
        <v>44931</v>
      </c>
      <c r="Q660" s="18"/>
      <c r="R660" s="140">
        <v>1</v>
      </c>
      <c r="S660" s="140">
        <v>1</v>
      </c>
      <c r="T660" s="140">
        <v>0</v>
      </c>
      <c r="U660" s="20">
        <f>IF(ISBLANK(Table1[[#This Row],[OHC Date]]),$B$7-Table1[[#This Row],[HOC Date]]+1,Table1[[#This Row],[OHC Date]]-Table1[[#This Row],[HOC Date]]+1)/7</f>
        <v>3</v>
      </c>
      <c r="V660" s="142">
        <v>12.01</v>
      </c>
      <c r="W660" s="142">
        <v>0.49</v>
      </c>
      <c r="X660" s="21">
        <f>ROUND(0.7*Table1[[#This Row],[E&amp;D Rate per unit]]*R660*Table1[[#This Row],[Quantity]],2)</f>
        <v>85.75</v>
      </c>
      <c r="Y660" s="21">
        <f t="shared" si="267"/>
        <v>14.99</v>
      </c>
      <c r="Z660" s="21">
        <f>ROUND(0.3*T660*Table1[[#This Row],[E&amp;D Rate per unit]]*Table1[[#This Row],[Quantity]],2)</f>
        <v>0</v>
      </c>
      <c r="AA660" s="21">
        <f t="shared" si="268"/>
        <v>100.74</v>
      </c>
      <c r="AB660" s="129"/>
      <c r="AC660" s="129">
        <f>Table1[[#This Row],[Total Amount]]-Table1[[#This Row],[Previous Amount]]</f>
        <v>100.74</v>
      </c>
      <c r="AD660" s="153"/>
    </row>
    <row r="661" spans="1:30" ht="30" customHeight="1" x14ac:dyDescent="0.3">
      <c r="A661" s="92" t="s">
        <v>89</v>
      </c>
      <c r="B661" s="92" t="s">
        <v>96</v>
      </c>
      <c r="C661" s="16" t="s">
        <v>758</v>
      </c>
      <c r="D661" s="187">
        <v>75811</v>
      </c>
      <c r="E661" s="16"/>
      <c r="F661" s="17" t="s">
        <v>751</v>
      </c>
      <c r="G661" s="17" t="s">
        <v>756</v>
      </c>
      <c r="H661" s="102" t="s">
        <v>205</v>
      </c>
      <c r="I661" s="16">
        <v>1</v>
      </c>
      <c r="J661" s="187">
        <v>6.3</v>
      </c>
      <c r="K661" s="187">
        <v>0.9</v>
      </c>
      <c r="L661" s="187">
        <v>3</v>
      </c>
      <c r="M661" s="16">
        <v>1</v>
      </c>
      <c r="N661" s="93" t="s">
        <v>206</v>
      </c>
      <c r="O661" s="93">
        <f t="shared" si="75"/>
        <v>18.899999999999999</v>
      </c>
      <c r="P661" s="188">
        <v>44931</v>
      </c>
      <c r="Q661" s="18"/>
      <c r="R661" s="140">
        <v>1</v>
      </c>
      <c r="S661" s="140">
        <v>1</v>
      </c>
      <c r="T661" s="140">
        <v>0</v>
      </c>
      <c r="U661" s="20">
        <f>IF(ISBLANK(Table1[[#This Row],[OHC Date]]),$B$7-Table1[[#This Row],[HOC Date]]+1,Table1[[#This Row],[OHC Date]]-Table1[[#This Row],[HOC Date]]+1)/7</f>
        <v>3</v>
      </c>
      <c r="V661" s="142">
        <v>12.01</v>
      </c>
      <c r="W661" s="142">
        <v>0.49</v>
      </c>
      <c r="X661" s="21">
        <f>ROUND(0.7*Table1[[#This Row],[E&amp;D Rate per unit]]*R661*Table1[[#This Row],[Quantity]],2)</f>
        <v>158.88999999999999</v>
      </c>
      <c r="Y661" s="21">
        <f t="shared" si="267"/>
        <v>27.78</v>
      </c>
      <c r="Z661" s="21">
        <f>ROUND(0.3*T661*Table1[[#This Row],[E&amp;D Rate per unit]]*Table1[[#This Row],[Quantity]],2)</f>
        <v>0</v>
      </c>
      <c r="AA661" s="21">
        <f t="shared" si="268"/>
        <v>186.67</v>
      </c>
      <c r="AB661" s="129"/>
      <c r="AC661" s="129">
        <f>Table1[[#This Row],[Total Amount]]-Table1[[#This Row],[Previous Amount]]</f>
        <v>186.67</v>
      </c>
      <c r="AD661" s="153"/>
    </row>
    <row r="662" spans="1:30" ht="30" customHeight="1" x14ac:dyDescent="0.3">
      <c r="A662" s="92" t="s">
        <v>89</v>
      </c>
      <c r="B662" s="92" t="s">
        <v>96</v>
      </c>
      <c r="C662" s="16" t="s">
        <v>758</v>
      </c>
      <c r="D662" s="187">
        <v>75811</v>
      </c>
      <c r="E662" s="16"/>
      <c r="F662" s="17" t="s">
        <v>751</v>
      </c>
      <c r="G662" s="17" t="s">
        <v>756</v>
      </c>
      <c r="H662" s="148" t="s">
        <v>176</v>
      </c>
      <c r="I662" s="16">
        <v>1</v>
      </c>
      <c r="J662" s="187">
        <v>6.3</v>
      </c>
      <c r="K662" s="187">
        <v>0.9</v>
      </c>
      <c r="L662" s="187"/>
      <c r="M662" s="16">
        <v>1</v>
      </c>
      <c r="N662" s="93" t="s">
        <v>160</v>
      </c>
      <c r="O662" s="93">
        <f t="shared" si="75"/>
        <v>5.67</v>
      </c>
      <c r="P662" s="188">
        <v>44931</v>
      </c>
      <c r="Q662" s="18"/>
      <c r="R662" s="140">
        <v>1</v>
      </c>
      <c r="S662" s="140">
        <v>1</v>
      </c>
      <c r="T662" s="140">
        <v>0</v>
      </c>
      <c r="U662" s="20">
        <f>IF(ISBLANK(Table1[[#This Row],[OHC Date]]),$B$7-Table1[[#This Row],[HOC Date]]+1,Table1[[#This Row],[OHC Date]]-Table1[[#This Row],[HOC Date]]+1)/7</f>
        <v>3</v>
      </c>
      <c r="V662" s="142">
        <v>6.63</v>
      </c>
      <c r="W662" s="142">
        <v>0.7</v>
      </c>
      <c r="X662" s="21">
        <f>ROUND(0.7*Table1[[#This Row],[E&amp;D Rate per unit]]*R662*Table1[[#This Row],[Quantity]],2)</f>
        <v>26.31</v>
      </c>
      <c r="Y662" s="21">
        <f t="shared" si="267"/>
        <v>11.91</v>
      </c>
      <c r="Z662" s="21">
        <f>ROUND(0.3*T662*Table1[[#This Row],[E&amp;D Rate per unit]]*Table1[[#This Row],[Quantity]],2)</f>
        <v>0</v>
      </c>
      <c r="AA662" s="21">
        <f t="shared" si="268"/>
        <v>38.22</v>
      </c>
      <c r="AB662" s="129"/>
      <c r="AC662" s="129">
        <f>Table1[[#This Row],[Total Amount]]-Table1[[#This Row],[Previous Amount]]</f>
        <v>38.22</v>
      </c>
      <c r="AD662" s="153"/>
    </row>
    <row r="663" spans="1:30" ht="30" customHeight="1" x14ac:dyDescent="0.3">
      <c r="A663" s="92" t="s">
        <v>89</v>
      </c>
      <c r="B663" s="92" t="s">
        <v>96</v>
      </c>
      <c r="C663" s="16" t="s">
        <v>759</v>
      </c>
      <c r="D663" s="190">
        <v>75812</v>
      </c>
      <c r="E663" s="16"/>
      <c r="F663" s="17" t="s">
        <v>751</v>
      </c>
      <c r="G663" s="17" t="s">
        <v>756</v>
      </c>
      <c r="H663" s="102" t="s">
        <v>205</v>
      </c>
      <c r="I663" s="16">
        <v>1</v>
      </c>
      <c r="J663" s="187">
        <v>6.8</v>
      </c>
      <c r="K663" s="187">
        <v>0.9</v>
      </c>
      <c r="L663" s="187">
        <v>3.5</v>
      </c>
      <c r="M663" s="16">
        <v>1</v>
      </c>
      <c r="N663" s="93" t="s">
        <v>206</v>
      </c>
      <c r="O663" s="93">
        <f t="shared" si="75"/>
        <v>23.8</v>
      </c>
      <c r="P663" s="188">
        <v>44931</v>
      </c>
      <c r="Q663" s="18"/>
      <c r="R663" s="140">
        <v>1</v>
      </c>
      <c r="S663" s="140">
        <v>1</v>
      </c>
      <c r="T663" s="140">
        <v>0</v>
      </c>
      <c r="U663" s="20">
        <f>IF(ISBLANK(Table1[[#This Row],[OHC Date]]),$B$7-Table1[[#This Row],[HOC Date]]+1,Table1[[#This Row],[OHC Date]]-Table1[[#This Row],[HOC Date]]+1)/7</f>
        <v>3</v>
      </c>
      <c r="V663" s="142">
        <v>12.01</v>
      </c>
      <c r="W663" s="142">
        <v>0.49</v>
      </c>
      <c r="X663" s="21">
        <f>ROUND(0.7*Table1[[#This Row],[E&amp;D Rate per unit]]*R663*Table1[[#This Row],[Quantity]],2)</f>
        <v>200.09</v>
      </c>
      <c r="Y663" s="21">
        <f t="shared" si="267"/>
        <v>34.99</v>
      </c>
      <c r="Z663" s="21">
        <f>ROUND(0.3*T663*Table1[[#This Row],[E&amp;D Rate per unit]]*Table1[[#This Row],[Quantity]],2)</f>
        <v>0</v>
      </c>
      <c r="AA663" s="21">
        <f t="shared" si="268"/>
        <v>235.08</v>
      </c>
      <c r="AB663" s="129"/>
      <c r="AC663" s="129">
        <f>Table1[[#This Row],[Total Amount]]-Table1[[#This Row],[Previous Amount]]</f>
        <v>235.08</v>
      </c>
      <c r="AD663" s="153"/>
    </row>
    <row r="664" spans="1:30" ht="30" customHeight="1" x14ac:dyDescent="0.3">
      <c r="A664" s="92" t="s">
        <v>89</v>
      </c>
      <c r="B664" s="92" t="s">
        <v>96</v>
      </c>
      <c r="C664" s="16" t="s">
        <v>759</v>
      </c>
      <c r="D664" s="190">
        <v>75812</v>
      </c>
      <c r="E664" s="16"/>
      <c r="F664" s="17" t="s">
        <v>751</v>
      </c>
      <c r="G664" s="17" t="s">
        <v>756</v>
      </c>
      <c r="H664" s="148" t="s">
        <v>176</v>
      </c>
      <c r="I664" s="16">
        <v>1</v>
      </c>
      <c r="J664" s="187">
        <v>6.8</v>
      </c>
      <c r="K664" s="187">
        <v>0.9</v>
      </c>
      <c r="L664" s="187"/>
      <c r="M664" s="16">
        <v>1</v>
      </c>
      <c r="N664" s="93" t="s">
        <v>160</v>
      </c>
      <c r="O664" s="93">
        <f t="shared" si="75"/>
        <v>6.12</v>
      </c>
      <c r="P664" s="188">
        <v>44931</v>
      </c>
      <c r="Q664" s="18"/>
      <c r="R664" s="140">
        <v>1</v>
      </c>
      <c r="S664" s="140">
        <v>1</v>
      </c>
      <c r="T664" s="140">
        <v>0</v>
      </c>
      <c r="U664" s="20">
        <f>IF(ISBLANK(Table1[[#This Row],[OHC Date]]),$B$7-Table1[[#This Row],[HOC Date]]+1,Table1[[#This Row],[OHC Date]]-Table1[[#This Row],[HOC Date]]+1)/7</f>
        <v>3</v>
      </c>
      <c r="V664" s="142">
        <v>6.63</v>
      </c>
      <c r="W664" s="142">
        <v>0.7</v>
      </c>
      <c r="X664" s="21">
        <f>ROUND(0.7*Table1[[#This Row],[E&amp;D Rate per unit]]*R664*Table1[[#This Row],[Quantity]],2)</f>
        <v>28.4</v>
      </c>
      <c r="Y664" s="21">
        <f t="shared" si="267"/>
        <v>12.85</v>
      </c>
      <c r="Z664" s="21">
        <f>ROUND(0.3*T664*Table1[[#This Row],[E&amp;D Rate per unit]]*Table1[[#This Row],[Quantity]],2)</f>
        <v>0</v>
      </c>
      <c r="AA664" s="21">
        <f t="shared" si="268"/>
        <v>41.25</v>
      </c>
      <c r="AB664" s="129"/>
      <c r="AC664" s="129">
        <f>Table1[[#This Row],[Total Amount]]-Table1[[#This Row],[Previous Amount]]</f>
        <v>41.25</v>
      </c>
      <c r="AD664" s="153"/>
    </row>
    <row r="665" spans="1:30" ht="30" customHeight="1" x14ac:dyDescent="0.3">
      <c r="A665" s="92" t="s">
        <v>89</v>
      </c>
      <c r="B665" s="92" t="s">
        <v>96</v>
      </c>
      <c r="C665" s="16">
        <v>89</v>
      </c>
      <c r="D665" s="187">
        <v>75813</v>
      </c>
      <c r="E665" s="16"/>
      <c r="F665" s="17" t="s">
        <v>751</v>
      </c>
      <c r="G665" s="17" t="s">
        <v>200</v>
      </c>
      <c r="H665" s="151" t="s">
        <v>220</v>
      </c>
      <c r="I665" s="16">
        <v>1</v>
      </c>
      <c r="J665" s="187">
        <v>1.3</v>
      </c>
      <c r="K665" s="187">
        <v>1</v>
      </c>
      <c r="L665" s="187">
        <v>2.5</v>
      </c>
      <c r="M665" s="16">
        <v>1</v>
      </c>
      <c r="N665" s="93" t="s">
        <v>221</v>
      </c>
      <c r="O665" s="93">
        <f t="shared" si="75"/>
        <v>2.5</v>
      </c>
      <c r="P665" s="188">
        <v>44931</v>
      </c>
      <c r="Q665" s="18"/>
      <c r="R665" s="140">
        <v>1</v>
      </c>
      <c r="S665" s="140">
        <v>1</v>
      </c>
      <c r="T665" s="140">
        <v>0</v>
      </c>
      <c r="U665" s="20">
        <f>IF(ISBLANK(Table1[[#This Row],[OHC Date]]),$B$7-Table1[[#This Row],[HOC Date]]+1,Table1[[#This Row],[OHC Date]]-Table1[[#This Row],[HOC Date]]+1)/7</f>
        <v>3</v>
      </c>
      <c r="V665" s="142">
        <v>63.34</v>
      </c>
      <c r="W665" s="142">
        <v>7.28</v>
      </c>
      <c r="X665" s="21">
        <f>ROUND(0.7*Table1[[#This Row],[E&amp;D Rate per unit]]*R665*Table1[[#This Row],[Quantity]],2)</f>
        <v>110.85</v>
      </c>
      <c r="Y665" s="21">
        <f t="shared" si="267"/>
        <v>54.6</v>
      </c>
      <c r="Z665" s="21">
        <f>ROUND(0.3*T665*Table1[[#This Row],[E&amp;D Rate per unit]]*Table1[[#This Row],[Quantity]],2)</f>
        <v>0</v>
      </c>
      <c r="AA665" s="21">
        <f t="shared" si="268"/>
        <v>165.45</v>
      </c>
      <c r="AB665" s="129"/>
      <c r="AC665" s="129">
        <f>Table1[[#This Row],[Total Amount]]-Table1[[#This Row],[Previous Amount]]</f>
        <v>165.45</v>
      </c>
      <c r="AD665" s="153"/>
    </row>
    <row r="666" spans="1:30" ht="30" customHeight="1" x14ac:dyDescent="0.3">
      <c r="A666" s="92" t="s">
        <v>89</v>
      </c>
      <c r="B666" s="92" t="s">
        <v>96</v>
      </c>
      <c r="C666" s="16">
        <v>90</v>
      </c>
      <c r="D666" s="187">
        <v>75814</v>
      </c>
      <c r="E666" s="16"/>
      <c r="F666" s="17" t="s">
        <v>728</v>
      </c>
      <c r="G666" s="17" t="s">
        <v>661</v>
      </c>
      <c r="H666" s="148" t="s">
        <v>220</v>
      </c>
      <c r="I666" s="16">
        <v>1</v>
      </c>
      <c r="J666" s="187">
        <v>1.3</v>
      </c>
      <c r="K666" s="187">
        <v>0.9</v>
      </c>
      <c r="L666" s="187">
        <v>1.5</v>
      </c>
      <c r="M666" s="16">
        <v>1</v>
      </c>
      <c r="N666" s="93" t="s">
        <v>221</v>
      </c>
      <c r="O666" s="93">
        <f t="shared" si="75"/>
        <v>1.5</v>
      </c>
      <c r="P666" s="188">
        <v>44932</v>
      </c>
      <c r="Q666" s="18"/>
      <c r="R666" s="140">
        <v>1</v>
      </c>
      <c r="S666" s="140">
        <v>1</v>
      </c>
      <c r="T666" s="140">
        <v>0</v>
      </c>
      <c r="U666" s="20">
        <f>IF(ISBLANK(Table1[[#This Row],[OHC Date]]),$B$7-Table1[[#This Row],[HOC Date]]+1,Table1[[#This Row],[OHC Date]]-Table1[[#This Row],[HOC Date]]+1)/7</f>
        <v>2.8571428571428572</v>
      </c>
      <c r="V666" s="142">
        <v>63.34</v>
      </c>
      <c r="W666" s="142">
        <v>7.28</v>
      </c>
      <c r="X666" s="21">
        <f>ROUND(0.7*Table1[[#This Row],[E&amp;D Rate per unit]]*R666*Table1[[#This Row],[Quantity]],2)</f>
        <v>66.510000000000005</v>
      </c>
      <c r="Y666" s="21">
        <f t="shared" si="267"/>
        <v>31.2</v>
      </c>
      <c r="Z666" s="21">
        <f>ROUND(0.3*T666*Table1[[#This Row],[E&amp;D Rate per unit]]*Table1[[#This Row],[Quantity]],2)</f>
        <v>0</v>
      </c>
      <c r="AA666" s="21">
        <f t="shared" si="268"/>
        <v>97.71</v>
      </c>
      <c r="AB666" s="129"/>
      <c r="AC666" s="129">
        <f>Table1[[#This Row],[Total Amount]]-Table1[[#This Row],[Previous Amount]]</f>
        <v>97.71</v>
      </c>
      <c r="AD666" s="153"/>
    </row>
    <row r="667" spans="1:30" ht="30" customHeight="1" x14ac:dyDescent="0.3">
      <c r="A667" s="92" t="s">
        <v>89</v>
      </c>
      <c r="B667" s="92" t="s">
        <v>96</v>
      </c>
      <c r="C667" s="16">
        <v>91</v>
      </c>
      <c r="D667" s="187">
        <v>75815</v>
      </c>
      <c r="E667" s="16"/>
      <c r="F667" s="17" t="s">
        <v>728</v>
      </c>
      <c r="G667" s="17" t="s">
        <v>261</v>
      </c>
      <c r="H667" s="102" t="s">
        <v>205</v>
      </c>
      <c r="I667" s="16">
        <v>1</v>
      </c>
      <c r="J667" s="187">
        <v>3</v>
      </c>
      <c r="K667" s="187">
        <v>1.3</v>
      </c>
      <c r="L667" s="187">
        <v>1</v>
      </c>
      <c r="M667" s="16">
        <v>1</v>
      </c>
      <c r="N667" s="93" t="s">
        <v>206</v>
      </c>
      <c r="O667" s="93">
        <f t="shared" ref="O667" si="270">ROUND(IF(N667="m3",I667*J667*K667*L667,IF(N667="m2-LxH",I667*J667*L667,IF(N667="m2-LxW",I667*J667*K667,IF(N667="rm",I667*L667,IF(N667="lm",I667*J667,IF(N667="unit",I667,"NA")))))),2)</f>
        <v>3</v>
      </c>
      <c r="P667" s="188">
        <v>44932</v>
      </c>
      <c r="Q667" s="18"/>
      <c r="R667" s="140">
        <v>1</v>
      </c>
      <c r="S667" s="140">
        <v>1</v>
      </c>
      <c r="T667" s="140">
        <v>0</v>
      </c>
      <c r="U667" s="20">
        <f>IF(ISBLANK(Table1[[#This Row],[OHC Date]]),$B$7-Table1[[#This Row],[HOC Date]]+1,Table1[[#This Row],[OHC Date]]-Table1[[#This Row],[HOC Date]]+1)/7</f>
        <v>2.8571428571428572</v>
      </c>
      <c r="V667" s="142">
        <v>12.01</v>
      </c>
      <c r="W667" s="142">
        <v>0.49</v>
      </c>
      <c r="X667" s="21">
        <f>ROUND(0.7*Table1[[#This Row],[E&amp;D Rate per unit]]*R667*Table1[[#This Row],[Quantity]],2)</f>
        <v>25.22</v>
      </c>
      <c r="Y667" s="21">
        <f t="shared" ref="Y667:Y685" si="271">ROUND(O667*U667*W667*S667,2)</f>
        <v>4.2</v>
      </c>
      <c r="Z667" s="21">
        <f>ROUND(0.3*T667*Table1[[#This Row],[E&amp;D Rate per unit]]*Table1[[#This Row],[Quantity]],2)</f>
        <v>0</v>
      </c>
      <c r="AA667" s="21">
        <f t="shared" ref="AA667:AA685" si="272">ROUND(X667+Z667+Y667,2)</f>
        <v>29.42</v>
      </c>
      <c r="AB667" s="129"/>
      <c r="AC667" s="129">
        <f>Table1[[#This Row],[Total Amount]]-Table1[[#This Row],[Previous Amount]]</f>
        <v>29.42</v>
      </c>
      <c r="AD667" s="153"/>
    </row>
    <row r="668" spans="1:30" ht="30" customHeight="1" x14ac:dyDescent="0.3">
      <c r="A668" s="16" t="s">
        <v>779</v>
      </c>
      <c r="B668" s="92" t="s">
        <v>96</v>
      </c>
      <c r="C668" s="16" t="s">
        <v>830</v>
      </c>
      <c r="D668" s="187">
        <v>75816</v>
      </c>
      <c r="E668" s="16"/>
      <c r="F668" s="17" t="s">
        <v>780</v>
      </c>
      <c r="G668" s="17" t="s">
        <v>163</v>
      </c>
      <c r="H668" s="148" t="s">
        <v>781</v>
      </c>
      <c r="I668" s="16">
        <v>1</v>
      </c>
      <c r="J668" s="16"/>
      <c r="K668" s="16"/>
      <c r="L668" s="16"/>
      <c r="M668" s="16">
        <v>1</v>
      </c>
      <c r="N668" s="93" t="s">
        <v>56</v>
      </c>
      <c r="O668" s="93">
        <f t="shared" ref="O668" si="273">ROUND(IF(N668="m3",I668*J668*K668*L668,IF(N668="m2-LxH",I668*J668*L668,IF(N668="m2-LxW",I668*J668*K668,IF(N668="rm",I668*L668,IF(N668="lm",I668*J668,IF(N668="unit",I668,"NA")))))),2)</f>
        <v>1</v>
      </c>
      <c r="P668" s="188">
        <v>44932</v>
      </c>
      <c r="Q668" s="18"/>
      <c r="R668" s="140">
        <v>1</v>
      </c>
      <c r="S668" s="140">
        <v>1</v>
      </c>
      <c r="T668" s="140">
        <v>0</v>
      </c>
      <c r="U668" s="20">
        <f>IF(ISBLANK(Table1[[#This Row],[OHC Date]]),$B$7-Table1[[#This Row],[HOC Date]]+1,Table1[[#This Row],[OHC Date]]-Table1[[#This Row],[HOC Date]]+1)/7</f>
        <v>2.8571428571428572</v>
      </c>
      <c r="V668" s="142">
        <v>7493.7290000000003</v>
      </c>
      <c r="W668" s="142">
        <v>639.67680000000007</v>
      </c>
      <c r="X668" s="21">
        <f>ROUND(0.7*Table1[[#This Row],[E&amp;D Rate per unit]]*R668*Table1[[#This Row],[Quantity]],2)</f>
        <v>5245.61</v>
      </c>
      <c r="Y668" s="21">
        <f t="shared" si="271"/>
        <v>1827.65</v>
      </c>
      <c r="Z668" s="21">
        <f>ROUND(0.3*T668*Table1[[#This Row],[E&amp;D Rate per unit]]*Table1[[#This Row],[Quantity]],2)</f>
        <v>0</v>
      </c>
      <c r="AA668" s="21">
        <f t="shared" si="272"/>
        <v>7073.26</v>
      </c>
      <c r="AB668" s="129"/>
      <c r="AC668" s="129">
        <f>Table1[[#This Row],[Total Amount]]-Table1[[#This Row],[Previous Amount]]</f>
        <v>7073.26</v>
      </c>
      <c r="AD668" s="153" t="s">
        <v>829</v>
      </c>
    </row>
    <row r="669" spans="1:30" ht="30" customHeight="1" x14ac:dyDescent="0.3">
      <c r="A669" s="145" t="s">
        <v>550</v>
      </c>
      <c r="B669" s="92" t="s">
        <v>96</v>
      </c>
      <c r="C669" s="16" t="s">
        <v>760</v>
      </c>
      <c r="D669" s="187">
        <v>75817</v>
      </c>
      <c r="E669" s="16"/>
      <c r="F669" s="17" t="s">
        <v>552</v>
      </c>
      <c r="G669" s="17" t="s">
        <v>278</v>
      </c>
      <c r="H669" s="151" t="s">
        <v>553</v>
      </c>
      <c r="I669" s="16">
        <v>1</v>
      </c>
      <c r="J669" s="187">
        <v>4.3</v>
      </c>
      <c r="K669" s="187">
        <v>1</v>
      </c>
      <c r="L669" s="187">
        <v>1</v>
      </c>
      <c r="M669" s="16">
        <v>1</v>
      </c>
      <c r="N669" s="93" t="s">
        <v>56</v>
      </c>
      <c r="O669" s="93">
        <f t="shared" si="75"/>
        <v>1</v>
      </c>
      <c r="P669" s="188">
        <v>44933</v>
      </c>
      <c r="Q669" s="18"/>
      <c r="R669" s="140">
        <v>1</v>
      </c>
      <c r="S669" s="140">
        <v>1</v>
      </c>
      <c r="T669" s="140">
        <v>0</v>
      </c>
      <c r="U669" s="20">
        <f>IF(ISBLANK(Table1[[#This Row],[OHC Date]]),$B$7-Table1[[#This Row],[HOC Date]]+1,Table1[[#This Row],[OHC Date]]-Table1[[#This Row],[HOC Date]]+1)/7</f>
        <v>2.7142857142857144</v>
      </c>
      <c r="V669" s="142">
        <v>1772.5845217391307</v>
      </c>
      <c r="W669" s="142">
        <v>52.192000000000007</v>
      </c>
      <c r="X669" s="21">
        <f>ROUND(0.7*Table1[[#This Row],[E&amp;D Rate per unit]]*R669*Table1[[#This Row],[Quantity]],2)</f>
        <v>1240.81</v>
      </c>
      <c r="Y669" s="21">
        <f t="shared" si="271"/>
        <v>141.66</v>
      </c>
      <c r="Z669" s="21">
        <f>ROUND(0.3*T669*Table1[[#This Row],[E&amp;D Rate per unit]]*Table1[[#This Row],[Quantity]],2)</f>
        <v>0</v>
      </c>
      <c r="AA669" s="21">
        <f t="shared" si="272"/>
        <v>1382.47</v>
      </c>
      <c r="AB669" s="129"/>
      <c r="AC669" s="129">
        <f>Table1[[#This Row],[Total Amount]]-Table1[[#This Row],[Previous Amount]]</f>
        <v>1382.47</v>
      </c>
      <c r="AD669" s="132" t="s">
        <v>557</v>
      </c>
    </row>
    <row r="670" spans="1:30" ht="30" customHeight="1" x14ac:dyDescent="0.3">
      <c r="A670" s="92" t="s">
        <v>89</v>
      </c>
      <c r="B670" s="92" t="s">
        <v>96</v>
      </c>
      <c r="C670" s="16">
        <v>94</v>
      </c>
      <c r="D670" s="187">
        <v>75818</v>
      </c>
      <c r="E670" s="187">
        <v>80906</v>
      </c>
      <c r="F670" s="17" t="s">
        <v>722</v>
      </c>
      <c r="G670" s="17" t="s">
        <v>756</v>
      </c>
      <c r="H670" s="148" t="s">
        <v>220</v>
      </c>
      <c r="I670" s="16">
        <v>1</v>
      </c>
      <c r="J670" s="187">
        <v>2.5</v>
      </c>
      <c r="K670" s="187">
        <v>1.3</v>
      </c>
      <c r="L670" s="187">
        <v>2.5</v>
      </c>
      <c r="M670" s="16">
        <v>1</v>
      </c>
      <c r="N670" s="93" t="s">
        <v>221</v>
      </c>
      <c r="O670" s="93">
        <f t="shared" si="75"/>
        <v>2.5</v>
      </c>
      <c r="P670" s="188">
        <v>44935</v>
      </c>
      <c r="Q670" s="188">
        <v>44936</v>
      </c>
      <c r="R670" s="140">
        <v>1</v>
      </c>
      <c r="S670" s="140">
        <v>1</v>
      </c>
      <c r="T670" s="140">
        <v>1</v>
      </c>
      <c r="U670" s="20">
        <f>IF(ISBLANK(Table1[[#This Row],[OHC Date]]),$B$7-Table1[[#This Row],[HOC Date]]+1,Table1[[#This Row],[OHC Date]]-Table1[[#This Row],[HOC Date]]+1)/7</f>
        <v>0.2857142857142857</v>
      </c>
      <c r="V670" s="142">
        <v>63.34</v>
      </c>
      <c r="W670" s="142">
        <v>7.28</v>
      </c>
      <c r="X670" s="21">
        <f>ROUND(0.7*Table1[[#This Row],[E&amp;D Rate per unit]]*R670*Table1[[#This Row],[Quantity]],2)</f>
        <v>110.85</v>
      </c>
      <c r="Y670" s="21">
        <f t="shared" si="271"/>
        <v>5.2</v>
      </c>
      <c r="Z670" s="21">
        <f>ROUND(0.3*T670*Table1[[#This Row],[E&amp;D Rate per unit]]*Table1[[#This Row],[Quantity]],2)</f>
        <v>47.51</v>
      </c>
      <c r="AA670" s="21">
        <f t="shared" si="272"/>
        <v>163.56</v>
      </c>
      <c r="AB670" s="129"/>
      <c r="AC670" s="129">
        <f>Table1[[#This Row],[Total Amount]]-Table1[[#This Row],[Previous Amount]]</f>
        <v>163.56</v>
      </c>
      <c r="AD670" s="153"/>
    </row>
    <row r="671" spans="1:30" ht="30" customHeight="1" x14ac:dyDescent="0.3">
      <c r="A671" s="92" t="s">
        <v>89</v>
      </c>
      <c r="B671" s="92" t="s">
        <v>96</v>
      </c>
      <c r="C671" s="16">
        <v>95</v>
      </c>
      <c r="D671" s="187">
        <v>75819</v>
      </c>
      <c r="E671" s="16"/>
      <c r="F671" s="17" t="s">
        <v>761</v>
      </c>
      <c r="G671" s="17" t="s">
        <v>756</v>
      </c>
      <c r="H671" s="102" t="s">
        <v>205</v>
      </c>
      <c r="I671" s="16">
        <v>1</v>
      </c>
      <c r="J671" s="187">
        <v>3.8</v>
      </c>
      <c r="K671" s="187">
        <v>1.3</v>
      </c>
      <c r="L671" s="187">
        <v>2</v>
      </c>
      <c r="M671" s="16">
        <v>1</v>
      </c>
      <c r="N671" s="93" t="s">
        <v>206</v>
      </c>
      <c r="O671" s="93">
        <f t="shared" si="75"/>
        <v>7.6</v>
      </c>
      <c r="P671" s="188">
        <v>44935</v>
      </c>
      <c r="Q671" s="18"/>
      <c r="R671" s="140">
        <v>1</v>
      </c>
      <c r="S671" s="140">
        <v>1</v>
      </c>
      <c r="T671" s="140">
        <v>0</v>
      </c>
      <c r="U671" s="20">
        <f>IF(ISBLANK(Table1[[#This Row],[OHC Date]]),$B$7-Table1[[#This Row],[HOC Date]]+1,Table1[[#This Row],[OHC Date]]-Table1[[#This Row],[HOC Date]]+1)/7</f>
        <v>2.4285714285714284</v>
      </c>
      <c r="V671" s="142">
        <v>12.01</v>
      </c>
      <c r="W671" s="142">
        <v>0.49</v>
      </c>
      <c r="X671" s="21">
        <f>ROUND(0.7*Table1[[#This Row],[E&amp;D Rate per unit]]*R671*Table1[[#This Row],[Quantity]],2)</f>
        <v>63.89</v>
      </c>
      <c r="Y671" s="21">
        <f t="shared" si="271"/>
        <v>9.0399999999999991</v>
      </c>
      <c r="Z671" s="21">
        <f>ROUND(0.3*T671*Table1[[#This Row],[E&amp;D Rate per unit]]*Table1[[#This Row],[Quantity]],2)</f>
        <v>0</v>
      </c>
      <c r="AA671" s="21">
        <f t="shared" si="272"/>
        <v>72.930000000000007</v>
      </c>
      <c r="AB671" s="129"/>
      <c r="AC671" s="129">
        <f>Table1[[#This Row],[Total Amount]]-Table1[[#This Row],[Previous Amount]]</f>
        <v>72.930000000000007</v>
      </c>
      <c r="AD671" s="153"/>
    </row>
    <row r="672" spans="1:30" ht="30" customHeight="1" x14ac:dyDescent="0.3">
      <c r="A672" s="92" t="s">
        <v>89</v>
      </c>
      <c r="B672" s="92" t="s">
        <v>96</v>
      </c>
      <c r="C672" s="16">
        <v>96</v>
      </c>
      <c r="D672" s="187">
        <v>75820</v>
      </c>
      <c r="E672" s="187">
        <v>80912</v>
      </c>
      <c r="F672" s="17" t="s">
        <v>761</v>
      </c>
      <c r="G672" s="17" t="s">
        <v>756</v>
      </c>
      <c r="H672" s="148" t="s">
        <v>220</v>
      </c>
      <c r="I672" s="16">
        <v>1</v>
      </c>
      <c r="J672" s="187">
        <v>2.5</v>
      </c>
      <c r="K672" s="187">
        <v>1.3</v>
      </c>
      <c r="L672" s="187">
        <v>2</v>
      </c>
      <c r="M672" s="16">
        <v>1</v>
      </c>
      <c r="N672" s="93" t="s">
        <v>221</v>
      </c>
      <c r="O672" s="93">
        <f t="shared" si="75"/>
        <v>2</v>
      </c>
      <c r="P672" s="188">
        <v>44935</v>
      </c>
      <c r="Q672" s="188">
        <v>44942</v>
      </c>
      <c r="R672" s="140">
        <v>1</v>
      </c>
      <c r="S672" s="140">
        <v>1</v>
      </c>
      <c r="T672" s="140">
        <v>1</v>
      </c>
      <c r="U672" s="20">
        <f>IF(ISBLANK(Table1[[#This Row],[OHC Date]]),$B$7-Table1[[#This Row],[HOC Date]]+1,Table1[[#This Row],[OHC Date]]-Table1[[#This Row],[HOC Date]]+1)/7</f>
        <v>1.1428571428571428</v>
      </c>
      <c r="V672" s="142">
        <v>63.34</v>
      </c>
      <c r="W672" s="142">
        <v>7.28</v>
      </c>
      <c r="X672" s="21">
        <f>ROUND(0.7*Table1[[#This Row],[E&amp;D Rate per unit]]*R672*Table1[[#This Row],[Quantity]],2)</f>
        <v>88.68</v>
      </c>
      <c r="Y672" s="21">
        <f t="shared" si="271"/>
        <v>16.64</v>
      </c>
      <c r="Z672" s="21">
        <f>ROUND(0.3*T672*Table1[[#This Row],[E&amp;D Rate per unit]]*Table1[[#This Row],[Quantity]],2)</f>
        <v>38</v>
      </c>
      <c r="AA672" s="21">
        <f t="shared" si="272"/>
        <v>143.32</v>
      </c>
      <c r="AB672" s="129"/>
      <c r="AC672" s="129">
        <f>Table1[[#This Row],[Total Amount]]-Table1[[#This Row],[Previous Amount]]</f>
        <v>143.32</v>
      </c>
      <c r="AD672" s="153"/>
    </row>
    <row r="673" spans="1:30" ht="30" customHeight="1" x14ac:dyDescent="0.3">
      <c r="A673" s="145" t="s">
        <v>550</v>
      </c>
      <c r="B673" s="92" t="s">
        <v>96</v>
      </c>
      <c r="C673" s="16" t="s">
        <v>762</v>
      </c>
      <c r="D673" s="187">
        <v>75821</v>
      </c>
      <c r="E673" s="16"/>
      <c r="F673" s="17" t="s">
        <v>552</v>
      </c>
      <c r="G673" s="17" t="s">
        <v>209</v>
      </c>
      <c r="H673" s="151" t="s">
        <v>553</v>
      </c>
      <c r="I673" s="16">
        <v>1</v>
      </c>
      <c r="J673" s="187">
        <v>4.3</v>
      </c>
      <c r="K673" s="187">
        <v>1</v>
      </c>
      <c r="L673" s="187">
        <v>1</v>
      </c>
      <c r="M673" s="16">
        <v>1</v>
      </c>
      <c r="N673" s="93" t="s">
        <v>56</v>
      </c>
      <c r="O673" s="93">
        <f t="shared" si="75"/>
        <v>1</v>
      </c>
      <c r="P673" s="188">
        <v>44935</v>
      </c>
      <c r="Q673" s="18"/>
      <c r="R673" s="140">
        <v>1</v>
      </c>
      <c r="S673" s="140">
        <v>1</v>
      </c>
      <c r="T673" s="140">
        <v>0</v>
      </c>
      <c r="U673" s="20">
        <f>IF(ISBLANK(Table1[[#This Row],[OHC Date]]),$B$7-Table1[[#This Row],[HOC Date]]+1,Table1[[#This Row],[OHC Date]]-Table1[[#This Row],[HOC Date]]+1)/7</f>
        <v>2.4285714285714284</v>
      </c>
      <c r="V673" s="142">
        <v>1772.5845217391307</v>
      </c>
      <c r="W673" s="142">
        <v>52.192000000000007</v>
      </c>
      <c r="X673" s="21">
        <f>ROUND(0.7*Table1[[#This Row],[E&amp;D Rate per unit]]*R673*Table1[[#This Row],[Quantity]],2)</f>
        <v>1240.81</v>
      </c>
      <c r="Y673" s="21">
        <f t="shared" si="271"/>
        <v>126.75</v>
      </c>
      <c r="Z673" s="21">
        <f>ROUND(0.3*T673*Table1[[#This Row],[E&amp;D Rate per unit]]*Table1[[#This Row],[Quantity]],2)</f>
        <v>0</v>
      </c>
      <c r="AA673" s="21">
        <f t="shared" si="272"/>
        <v>1367.56</v>
      </c>
      <c r="AB673" s="129"/>
      <c r="AC673" s="129">
        <f>Table1[[#This Row],[Total Amount]]-Table1[[#This Row],[Previous Amount]]</f>
        <v>1367.56</v>
      </c>
      <c r="AD673" s="132" t="s">
        <v>557</v>
      </c>
    </row>
    <row r="674" spans="1:30" ht="30" customHeight="1" x14ac:dyDescent="0.3">
      <c r="A674" s="92" t="s">
        <v>89</v>
      </c>
      <c r="B674" s="92" t="s">
        <v>96</v>
      </c>
      <c r="C674" s="16">
        <v>98</v>
      </c>
      <c r="D674" s="187">
        <v>75822</v>
      </c>
      <c r="E674" s="16"/>
      <c r="F674" s="17" t="s">
        <v>761</v>
      </c>
      <c r="G674" s="17" t="s">
        <v>756</v>
      </c>
      <c r="H674" s="102" t="s">
        <v>118</v>
      </c>
      <c r="I674" s="16">
        <v>1</v>
      </c>
      <c r="J674" s="187">
        <v>3.6</v>
      </c>
      <c r="K674" s="187">
        <v>2.5</v>
      </c>
      <c r="L674" s="187">
        <v>3</v>
      </c>
      <c r="M674" s="16">
        <v>1</v>
      </c>
      <c r="N674" s="93" t="s">
        <v>206</v>
      </c>
      <c r="O674" s="93">
        <f t="shared" si="75"/>
        <v>10.8</v>
      </c>
      <c r="P674" s="188">
        <v>44936</v>
      </c>
      <c r="Q674" s="18"/>
      <c r="R674" s="140">
        <v>1</v>
      </c>
      <c r="S674" s="140">
        <v>1</v>
      </c>
      <c r="T674" s="140">
        <v>0</v>
      </c>
      <c r="U674" s="20">
        <f>IF(ISBLANK(Table1[[#This Row],[OHC Date]]),$B$7-Table1[[#This Row],[HOC Date]]+1,Table1[[#This Row],[OHC Date]]-Table1[[#This Row],[HOC Date]]+1)/7</f>
        <v>2.2857142857142856</v>
      </c>
      <c r="V674" s="142">
        <v>16.760000000000002</v>
      </c>
      <c r="W674" s="142">
        <v>0.77</v>
      </c>
      <c r="X674" s="21">
        <f>ROUND(0.7*Table1[[#This Row],[E&amp;D Rate per unit]]*R674*Table1[[#This Row],[Quantity]],2)</f>
        <v>126.71</v>
      </c>
      <c r="Y674" s="21">
        <f t="shared" si="271"/>
        <v>19.010000000000002</v>
      </c>
      <c r="Z674" s="21">
        <f>ROUND(0.3*T674*Table1[[#This Row],[E&amp;D Rate per unit]]*Table1[[#This Row],[Quantity]],2)</f>
        <v>0</v>
      </c>
      <c r="AA674" s="21">
        <f t="shared" si="272"/>
        <v>145.72</v>
      </c>
      <c r="AB674" s="129"/>
      <c r="AC674" s="129">
        <f>Table1[[#This Row],[Total Amount]]-Table1[[#This Row],[Previous Amount]]</f>
        <v>145.72</v>
      </c>
      <c r="AD674" s="153"/>
    </row>
    <row r="675" spans="1:30" ht="30" customHeight="1" x14ac:dyDescent="0.3">
      <c r="A675" s="92" t="s">
        <v>89</v>
      </c>
      <c r="B675" s="92" t="s">
        <v>96</v>
      </c>
      <c r="C675" s="16">
        <v>99</v>
      </c>
      <c r="D675" s="187">
        <v>75823</v>
      </c>
      <c r="E675" s="187">
        <v>80903</v>
      </c>
      <c r="F675" s="17" t="s">
        <v>733</v>
      </c>
      <c r="G675" s="17" t="s">
        <v>200</v>
      </c>
      <c r="H675" s="102" t="s">
        <v>205</v>
      </c>
      <c r="I675" s="16">
        <v>1</v>
      </c>
      <c r="J675" s="187">
        <v>15.7</v>
      </c>
      <c r="K675" s="187">
        <v>1</v>
      </c>
      <c r="L675" s="187">
        <v>1</v>
      </c>
      <c r="M675" s="16">
        <v>1</v>
      </c>
      <c r="N675" s="93" t="s">
        <v>206</v>
      </c>
      <c r="O675" s="93">
        <f t="shared" si="75"/>
        <v>15.7</v>
      </c>
      <c r="P675" s="188">
        <v>44936</v>
      </c>
      <c r="Q675" s="188">
        <v>44936</v>
      </c>
      <c r="R675" s="140">
        <v>1</v>
      </c>
      <c r="S675" s="140">
        <v>1</v>
      </c>
      <c r="T675" s="140">
        <v>1</v>
      </c>
      <c r="U675" s="20">
        <f>IF(ISBLANK(Table1[[#This Row],[OHC Date]]),$B$7-Table1[[#This Row],[HOC Date]]+1,Table1[[#This Row],[OHC Date]]-Table1[[#This Row],[HOC Date]]+1)/7</f>
        <v>0.14285714285714285</v>
      </c>
      <c r="V675" s="142">
        <v>12.01</v>
      </c>
      <c r="W675" s="142">
        <v>0.49</v>
      </c>
      <c r="X675" s="21">
        <f>ROUND(0.7*Table1[[#This Row],[E&amp;D Rate per unit]]*R675*Table1[[#This Row],[Quantity]],2)</f>
        <v>131.99</v>
      </c>
      <c r="Y675" s="21">
        <f t="shared" si="271"/>
        <v>1.1000000000000001</v>
      </c>
      <c r="Z675" s="21">
        <f>ROUND(0.3*T675*Table1[[#This Row],[E&amp;D Rate per unit]]*Table1[[#This Row],[Quantity]],2)</f>
        <v>56.57</v>
      </c>
      <c r="AA675" s="21">
        <f t="shared" si="272"/>
        <v>189.66</v>
      </c>
      <c r="AB675" s="129"/>
      <c r="AC675" s="129">
        <f>Table1[[#This Row],[Total Amount]]-Table1[[#This Row],[Previous Amount]]</f>
        <v>189.66</v>
      </c>
      <c r="AD675" s="153"/>
    </row>
    <row r="676" spans="1:30" ht="30" customHeight="1" x14ac:dyDescent="0.3">
      <c r="A676" s="145" t="s">
        <v>550</v>
      </c>
      <c r="B676" s="92" t="s">
        <v>96</v>
      </c>
      <c r="C676" s="16" t="s">
        <v>763</v>
      </c>
      <c r="D676" s="187">
        <v>75824</v>
      </c>
      <c r="E676" s="16"/>
      <c r="F676" s="17" t="s">
        <v>552</v>
      </c>
      <c r="G676" s="17" t="s">
        <v>346</v>
      </c>
      <c r="H676" s="148" t="s">
        <v>553</v>
      </c>
      <c r="I676" s="16">
        <v>1</v>
      </c>
      <c r="J676" s="187">
        <v>4.3</v>
      </c>
      <c r="K676" s="187">
        <v>1</v>
      </c>
      <c r="L676" s="187">
        <v>1</v>
      </c>
      <c r="M676" s="16">
        <v>1</v>
      </c>
      <c r="N676" s="93" t="s">
        <v>56</v>
      </c>
      <c r="O676" s="93">
        <f t="shared" si="75"/>
        <v>1</v>
      </c>
      <c r="P676" s="188">
        <v>44936</v>
      </c>
      <c r="Q676" s="18"/>
      <c r="R676" s="140">
        <v>1</v>
      </c>
      <c r="S676" s="140">
        <v>1</v>
      </c>
      <c r="T676" s="140">
        <v>0</v>
      </c>
      <c r="U676" s="20">
        <f>IF(ISBLANK(Table1[[#This Row],[OHC Date]]),$B$7-Table1[[#This Row],[HOC Date]]+1,Table1[[#This Row],[OHC Date]]-Table1[[#This Row],[HOC Date]]+1)/7</f>
        <v>2.2857142857142856</v>
      </c>
      <c r="V676" s="142">
        <v>1772.5845217391307</v>
      </c>
      <c r="W676" s="142">
        <v>52.192000000000007</v>
      </c>
      <c r="X676" s="21">
        <f>ROUND(0.7*Table1[[#This Row],[E&amp;D Rate per unit]]*R676*Table1[[#This Row],[Quantity]],2)</f>
        <v>1240.81</v>
      </c>
      <c r="Y676" s="21">
        <f t="shared" si="271"/>
        <v>119.3</v>
      </c>
      <c r="Z676" s="21">
        <f>ROUND(0.3*T676*Table1[[#This Row],[E&amp;D Rate per unit]]*Table1[[#This Row],[Quantity]],2)</f>
        <v>0</v>
      </c>
      <c r="AA676" s="21">
        <f t="shared" si="272"/>
        <v>1360.11</v>
      </c>
      <c r="AB676" s="129"/>
      <c r="AC676" s="129">
        <f>Table1[[#This Row],[Total Amount]]-Table1[[#This Row],[Previous Amount]]</f>
        <v>1360.11</v>
      </c>
      <c r="AD676" s="132" t="s">
        <v>557</v>
      </c>
    </row>
    <row r="677" spans="1:30" ht="30" customHeight="1" x14ac:dyDescent="0.3">
      <c r="A677" s="92" t="s">
        <v>89</v>
      </c>
      <c r="B677" s="92" t="s">
        <v>96</v>
      </c>
      <c r="C677" s="16">
        <v>101</v>
      </c>
      <c r="D677" s="187">
        <v>75826</v>
      </c>
      <c r="E677" s="187">
        <v>80907</v>
      </c>
      <c r="F677" s="17" t="s">
        <v>722</v>
      </c>
      <c r="G677" s="17" t="s">
        <v>756</v>
      </c>
      <c r="H677" s="151" t="s">
        <v>220</v>
      </c>
      <c r="I677" s="16">
        <v>1</v>
      </c>
      <c r="J677" s="187">
        <v>2.5</v>
      </c>
      <c r="K677" s="187">
        <v>1.3</v>
      </c>
      <c r="L677" s="187">
        <v>2.5</v>
      </c>
      <c r="M677" s="16">
        <v>1</v>
      </c>
      <c r="N677" s="93" t="s">
        <v>221</v>
      </c>
      <c r="O677" s="93">
        <f t="shared" si="75"/>
        <v>2.5</v>
      </c>
      <c r="P677" s="188">
        <v>44936</v>
      </c>
      <c r="Q677" s="188">
        <v>44938</v>
      </c>
      <c r="R677" s="140">
        <v>1</v>
      </c>
      <c r="S677" s="140">
        <v>1</v>
      </c>
      <c r="T677" s="140">
        <v>1</v>
      </c>
      <c r="U677" s="20">
        <f>IF(ISBLANK(Table1[[#This Row],[OHC Date]]),$B$7-Table1[[#This Row],[HOC Date]]+1,Table1[[#This Row],[OHC Date]]-Table1[[#This Row],[HOC Date]]+1)/7</f>
        <v>0.42857142857142855</v>
      </c>
      <c r="V677" s="142">
        <v>63.34</v>
      </c>
      <c r="W677" s="142">
        <v>7.28</v>
      </c>
      <c r="X677" s="21">
        <f>ROUND(0.7*Table1[[#This Row],[E&amp;D Rate per unit]]*R677*Table1[[#This Row],[Quantity]],2)</f>
        <v>110.85</v>
      </c>
      <c r="Y677" s="21">
        <f t="shared" si="271"/>
        <v>7.8</v>
      </c>
      <c r="Z677" s="21">
        <f>ROUND(0.3*T677*Table1[[#This Row],[E&amp;D Rate per unit]]*Table1[[#This Row],[Quantity]],2)</f>
        <v>47.51</v>
      </c>
      <c r="AA677" s="21">
        <f t="shared" si="272"/>
        <v>166.16</v>
      </c>
      <c r="AB677" s="129"/>
      <c r="AC677" s="129">
        <f>Table1[[#This Row],[Total Amount]]-Table1[[#This Row],[Previous Amount]]</f>
        <v>166.16</v>
      </c>
      <c r="AD677" s="153"/>
    </row>
    <row r="678" spans="1:30" ht="30" customHeight="1" x14ac:dyDescent="0.3">
      <c r="A678" s="145" t="s">
        <v>550</v>
      </c>
      <c r="B678" s="92" t="s">
        <v>96</v>
      </c>
      <c r="C678" s="16" t="s">
        <v>764</v>
      </c>
      <c r="D678" s="187">
        <v>75827</v>
      </c>
      <c r="E678" s="16"/>
      <c r="F678" s="17" t="s">
        <v>552</v>
      </c>
      <c r="G678" s="17" t="s">
        <v>209</v>
      </c>
      <c r="H678" s="148" t="s">
        <v>553</v>
      </c>
      <c r="I678" s="16">
        <v>1</v>
      </c>
      <c r="J678" s="187">
        <v>4.3</v>
      </c>
      <c r="K678" s="187">
        <v>1</v>
      </c>
      <c r="L678" s="187">
        <v>1</v>
      </c>
      <c r="M678" s="16">
        <v>1</v>
      </c>
      <c r="N678" s="93" t="s">
        <v>56</v>
      </c>
      <c r="O678" s="93">
        <f t="shared" si="75"/>
        <v>1</v>
      </c>
      <c r="P678" s="188">
        <v>44937</v>
      </c>
      <c r="Q678" s="18"/>
      <c r="R678" s="140">
        <v>1</v>
      </c>
      <c r="S678" s="140">
        <v>1</v>
      </c>
      <c r="T678" s="140">
        <v>0</v>
      </c>
      <c r="U678" s="20">
        <f>IF(ISBLANK(Table1[[#This Row],[OHC Date]]),$B$7-Table1[[#This Row],[HOC Date]]+1,Table1[[#This Row],[OHC Date]]-Table1[[#This Row],[HOC Date]]+1)/7</f>
        <v>2.1428571428571428</v>
      </c>
      <c r="V678" s="142">
        <v>1772.5845217391307</v>
      </c>
      <c r="W678" s="142">
        <v>52.192000000000007</v>
      </c>
      <c r="X678" s="21">
        <f>ROUND(0.7*Table1[[#This Row],[E&amp;D Rate per unit]]*R678*Table1[[#This Row],[Quantity]],2)</f>
        <v>1240.81</v>
      </c>
      <c r="Y678" s="21">
        <f t="shared" si="271"/>
        <v>111.84</v>
      </c>
      <c r="Z678" s="21">
        <f>ROUND(0.3*T678*Table1[[#This Row],[E&amp;D Rate per unit]]*Table1[[#This Row],[Quantity]],2)</f>
        <v>0</v>
      </c>
      <c r="AA678" s="21">
        <f t="shared" si="272"/>
        <v>1352.65</v>
      </c>
      <c r="AB678" s="129"/>
      <c r="AC678" s="129">
        <f>Table1[[#This Row],[Total Amount]]-Table1[[#This Row],[Previous Amount]]</f>
        <v>1352.65</v>
      </c>
      <c r="AD678" s="132" t="s">
        <v>557</v>
      </c>
    </row>
    <row r="679" spans="1:30" ht="30" customHeight="1" x14ac:dyDescent="0.3">
      <c r="A679" s="92" t="s">
        <v>89</v>
      </c>
      <c r="B679" s="92" t="s">
        <v>96</v>
      </c>
      <c r="C679" s="16">
        <v>103</v>
      </c>
      <c r="D679" s="187">
        <v>75828</v>
      </c>
      <c r="E679" s="16"/>
      <c r="F679" s="17" t="s">
        <v>765</v>
      </c>
      <c r="G679" s="17" t="s">
        <v>756</v>
      </c>
      <c r="H679" s="102" t="s">
        <v>205</v>
      </c>
      <c r="I679" s="16">
        <v>1</v>
      </c>
      <c r="J679" s="187">
        <v>5</v>
      </c>
      <c r="K679" s="187">
        <v>0.6</v>
      </c>
      <c r="L679" s="187">
        <v>1.5</v>
      </c>
      <c r="M679" s="16">
        <v>1</v>
      </c>
      <c r="N679" s="93" t="s">
        <v>206</v>
      </c>
      <c r="O679" s="93">
        <f t="shared" si="75"/>
        <v>7.5</v>
      </c>
      <c r="P679" s="188">
        <v>44937</v>
      </c>
      <c r="Q679" s="18"/>
      <c r="R679" s="140">
        <v>1</v>
      </c>
      <c r="S679" s="140">
        <v>1</v>
      </c>
      <c r="T679" s="140">
        <v>0</v>
      </c>
      <c r="U679" s="20">
        <f>IF(ISBLANK(Table1[[#This Row],[OHC Date]]),$B$7-Table1[[#This Row],[HOC Date]]+1,Table1[[#This Row],[OHC Date]]-Table1[[#This Row],[HOC Date]]+1)/7</f>
        <v>2.1428571428571428</v>
      </c>
      <c r="V679" s="142">
        <v>12.01</v>
      </c>
      <c r="W679" s="142">
        <v>0.49</v>
      </c>
      <c r="X679" s="21">
        <f>ROUND(0.7*Table1[[#This Row],[E&amp;D Rate per unit]]*R679*Table1[[#This Row],[Quantity]],2)</f>
        <v>63.05</v>
      </c>
      <c r="Y679" s="21">
        <f t="shared" si="271"/>
        <v>7.88</v>
      </c>
      <c r="Z679" s="21">
        <f>ROUND(0.3*T679*Table1[[#This Row],[E&amp;D Rate per unit]]*Table1[[#This Row],[Quantity]],2)</f>
        <v>0</v>
      </c>
      <c r="AA679" s="21">
        <f t="shared" si="272"/>
        <v>70.930000000000007</v>
      </c>
      <c r="AB679" s="129"/>
      <c r="AC679" s="129">
        <f>Table1[[#This Row],[Total Amount]]-Table1[[#This Row],[Previous Amount]]</f>
        <v>70.930000000000007</v>
      </c>
      <c r="AD679" s="153"/>
    </row>
    <row r="680" spans="1:30" ht="30" customHeight="1" x14ac:dyDescent="0.3">
      <c r="A680" s="92" t="s">
        <v>89</v>
      </c>
      <c r="B680" s="92" t="s">
        <v>96</v>
      </c>
      <c r="C680" s="16">
        <v>104</v>
      </c>
      <c r="D680" s="187">
        <v>75829</v>
      </c>
      <c r="E680" s="187">
        <v>80913</v>
      </c>
      <c r="F680" s="17" t="s">
        <v>761</v>
      </c>
      <c r="G680" s="17" t="s">
        <v>756</v>
      </c>
      <c r="H680" s="102" t="s">
        <v>205</v>
      </c>
      <c r="I680" s="16">
        <v>1</v>
      </c>
      <c r="J680" s="187">
        <v>3.8</v>
      </c>
      <c r="K680" s="187">
        <v>1.3</v>
      </c>
      <c r="L680" s="187">
        <v>2.2999999999999998</v>
      </c>
      <c r="M680" s="16">
        <v>1</v>
      </c>
      <c r="N680" s="93" t="s">
        <v>206</v>
      </c>
      <c r="O680" s="93">
        <f t="shared" si="75"/>
        <v>8.74</v>
      </c>
      <c r="P680" s="188">
        <v>44937</v>
      </c>
      <c r="Q680" s="188">
        <v>44942</v>
      </c>
      <c r="R680" s="140">
        <v>1</v>
      </c>
      <c r="S680" s="140">
        <v>1</v>
      </c>
      <c r="T680" s="140">
        <v>1</v>
      </c>
      <c r="U680" s="20">
        <f>IF(ISBLANK(Table1[[#This Row],[OHC Date]]),$B$7-Table1[[#This Row],[HOC Date]]+1,Table1[[#This Row],[OHC Date]]-Table1[[#This Row],[HOC Date]]+1)/7</f>
        <v>0.8571428571428571</v>
      </c>
      <c r="V680" s="142">
        <v>12.01</v>
      </c>
      <c r="W680" s="142">
        <v>0.49</v>
      </c>
      <c r="X680" s="21">
        <f>ROUND(0.7*Table1[[#This Row],[E&amp;D Rate per unit]]*R680*Table1[[#This Row],[Quantity]],2)</f>
        <v>73.48</v>
      </c>
      <c r="Y680" s="21">
        <f t="shared" si="271"/>
        <v>3.67</v>
      </c>
      <c r="Z680" s="21">
        <f>ROUND(0.3*T680*Table1[[#This Row],[E&amp;D Rate per unit]]*Table1[[#This Row],[Quantity]],2)</f>
        <v>31.49</v>
      </c>
      <c r="AA680" s="21">
        <f t="shared" si="272"/>
        <v>108.64</v>
      </c>
      <c r="AB680" s="129"/>
      <c r="AC680" s="129">
        <f>Table1[[#This Row],[Total Amount]]-Table1[[#This Row],[Previous Amount]]</f>
        <v>108.64</v>
      </c>
      <c r="AD680" s="153"/>
    </row>
    <row r="681" spans="1:30" ht="30" customHeight="1" x14ac:dyDescent="0.3">
      <c r="A681" s="145" t="s">
        <v>550</v>
      </c>
      <c r="B681" s="92" t="s">
        <v>96</v>
      </c>
      <c r="C681" s="16" t="s">
        <v>782</v>
      </c>
      <c r="D681" s="187">
        <v>75830</v>
      </c>
      <c r="E681" s="16"/>
      <c r="F681" s="17" t="s">
        <v>552</v>
      </c>
      <c r="G681" s="17" t="s">
        <v>428</v>
      </c>
      <c r="H681" s="151" t="s">
        <v>553</v>
      </c>
      <c r="I681" s="16">
        <v>1</v>
      </c>
      <c r="J681" s="187">
        <v>4.3</v>
      </c>
      <c r="K681" s="187">
        <v>1</v>
      </c>
      <c r="L681" s="187">
        <v>1</v>
      </c>
      <c r="M681" s="16">
        <v>1</v>
      </c>
      <c r="N681" s="93" t="s">
        <v>56</v>
      </c>
      <c r="O681" s="93">
        <f t="shared" ref="O681" si="274">ROUND(IF(N681="m3",I681*J681*K681*L681,IF(N681="m2-LxH",I681*J681*L681,IF(N681="m2-LxW",I681*J681*K681,IF(N681="rm",I681*L681,IF(N681="lm",I681*J681,IF(N681="unit",I681,"NA")))))),2)</f>
        <v>1</v>
      </c>
      <c r="P681" s="188">
        <v>44938</v>
      </c>
      <c r="Q681" s="18"/>
      <c r="R681" s="140">
        <v>1</v>
      </c>
      <c r="S681" s="140">
        <v>1</v>
      </c>
      <c r="T681" s="140">
        <v>0</v>
      </c>
      <c r="U681" s="20">
        <f>IF(ISBLANK(Table1[[#This Row],[OHC Date]]),$B$7-Table1[[#This Row],[HOC Date]]+1,Table1[[#This Row],[OHC Date]]-Table1[[#This Row],[HOC Date]]+1)/7</f>
        <v>2</v>
      </c>
      <c r="V681" s="142">
        <v>1772.5845217391307</v>
      </c>
      <c r="W681" s="142">
        <v>52.192000000000007</v>
      </c>
      <c r="X681" s="21">
        <f>ROUND(0.7*Table1[[#This Row],[E&amp;D Rate per unit]]*R681*Table1[[#This Row],[Quantity]],2)</f>
        <v>1240.81</v>
      </c>
      <c r="Y681" s="21">
        <f t="shared" si="271"/>
        <v>104.38</v>
      </c>
      <c r="Z681" s="21">
        <f>ROUND(0.3*T681*Table1[[#This Row],[E&amp;D Rate per unit]]*Table1[[#This Row],[Quantity]],2)</f>
        <v>0</v>
      </c>
      <c r="AA681" s="21">
        <f t="shared" si="272"/>
        <v>1345.19</v>
      </c>
      <c r="AB681" s="129"/>
      <c r="AC681" s="129">
        <f>Table1[[#This Row],[Total Amount]]-Table1[[#This Row],[Previous Amount]]</f>
        <v>1345.19</v>
      </c>
      <c r="AD681" s="132" t="s">
        <v>557</v>
      </c>
    </row>
    <row r="682" spans="1:30" ht="30" customHeight="1" x14ac:dyDescent="0.3">
      <c r="A682" s="92" t="s">
        <v>89</v>
      </c>
      <c r="B682" s="92" t="s">
        <v>96</v>
      </c>
      <c r="C682" s="16" t="s">
        <v>783</v>
      </c>
      <c r="D682" s="187">
        <v>75831</v>
      </c>
      <c r="E682" s="16"/>
      <c r="F682" s="17" t="s">
        <v>552</v>
      </c>
      <c r="G682" s="17" t="s">
        <v>163</v>
      </c>
      <c r="H682" s="102" t="s">
        <v>118</v>
      </c>
      <c r="I682" s="16">
        <v>1</v>
      </c>
      <c r="J682" s="187">
        <v>3.8</v>
      </c>
      <c r="K682" s="187">
        <v>1.8</v>
      </c>
      <c r="L682" s="187">
        <v>3.5</v>
      </c>
      <c r="M682" s="16">
        <v>1</v>
      </c>
      <c r="N682" s="93" t="s">
        <v>206</v>
      </c>
      <c r="O682" s="93">
        <f t="shared" ref="O682" si="275">ROUND(IF(N682="m3",I682*J682*K682*L682,IF(N682="m2-LxH",I682*J682*L682,IF(N682="m2-LxW",I682*J682*K682,IF(N682="rm",I682*L682,IF(N682="lm",I682*J682,IF(N682="unit",I682,"NA")))))),2)</f>
        <v>13.3</v>
      </c>
      <c r="P682" s="188">
        <v>44938</v>
      </c>
      <c r="Q682" s="18"/>
      <c r="R682" s="140">
        <v>1</v>
      </c>
      <c r="S682" s="140">
        <v>1</v>
      </c>
      <c r="T682" s="140">
        <v>0</v>
      </c>
      <c r="U682" s="20">
        <f>IF(ISBLANK(Table1[[#This Row],[OHC Date]]),$B$7-Table1[[#This Row],[HOC Date]]+1,Table1[[#This Row],[OHC Date]]-Table1[[#This Row],[HOC Date]]+1)/7</f>
        <v>2</v>
      </c>
      <c r="V682" s="142">
        <v>16.760000000000002</v>
      </c>
      <c r="W682" s="142">
        <v>0.77</v>
      </c>
      <c r="X682" s="21">
        <f>ROUND(0.7*Table1[[#This Row],[E&amp;D Rate per unit]]*R682*Table1[[#This Row],[Quantity]],2)</f>
        <v>156.04</v>
      </c>
      <c r="Y682" s="21">
        <f t="shared" si="271"/>
        <v>20.48</v>
      </c>
      <c r="Z682" s="21">
        <f>ROUND(0.3*T682*Table1[[#This Row],[E&amp;D Rate per unit]]*Table1[[#This Row],[Quantity]],2)</f>
        <v>0</v>
      </c>
      <c r="AA682" s="21">
        <f t="shared" si="272"/>
        <v>176.52</v>
      </c>
      <c r="AB682" s="129"/>
      <c r="AC682" s="129">
        <f>Table1[[#This Row],[Total Amount]]-Table1[[#This Row],[Previous Amount]]</f>
        <v>176.52</v>
      </c>
      <c r="AD682" s="153"/>
    </row>
    <row r="683" spans="1:30" ht="30" customHeight="1" x14ac:dyDescent="0.3">
      <c r="A683" s="92" t="s">
        <v>89</v>
      </c>
      <c r="B683" s="92" t="s">
        <v>96</v>
      </c>
      <c r="C683" s="16" t="s">
        <v>784</v>
      </c>
      <c r="D683" s="187">
        <v>75831</v>
      </c>
      <c r="E683" s="16"/>
      <c r="F683" s="17" t="s">
        <v>552</v>
      </c>
      <c r="G683" s="17" t="s">
        <v>163</v>
      </c>
      <c r="H683" s="102" t="s">
        <v>127</v>
      </c>
      <c r="I683" s="16">
        <v>1</v>
      </c>
      <c r="J683" s="187">
        <v>1.5</v>
      </c>
      <c r="K683" s="187">
        <v>0.75</v>
      </c>
      <c r="L683" s="187">
        <v>1</v>
      </c>
      <c r="M683" s="16">
        <v>1</v>
      </c>
      <c r="N683" s="93" t="s">
        <v>160</v>
      </c>
      <c r="O683" s="93">
        <f t="shared" ref="O683" si="276">ROUND(IF(N683="m3",I683*J683*K683*L683,IF(N683="m2-LxH",I683*J683*L683,IF(N683="m2-LxW",I683*J683*K683,IF(N683="rm",I683*L683,IF(N683="lm",I683*J683,IF(N683="unit",I683,"NA")))))),2)</f>
        <v>1.1299999999999999</v>
      </c>
      <c r="P683" s="188">
        <v>44938</v>
      </c>
      <c r="Q683" s="18"/>
      <c r="R683" s="140">
        <v>1</v>
      </c>
      <c r="S683" s="140">
        <v>1</v>
      </c>
      <c r="T683" s="140">
        <v>0</v>
      </c>
      <c r="U683" s="20">
        <f>IF(ISBLANK(Table1[[#This Row],[OHC Date]]),$B$7-Table1[[#This Row],[HOC Date]]+1,Table1[[#This Row],[OHC Date]]-Table1[[#This Row],[HOC Date]]+1)/7</f>
        <v>2</v>
      </c>
      <c r="V683" s="142">
        <v>36.520000000000003</v>
      </c>
      <c r="W683" s="142">
        <v>2.94</v>
      </c>
      <c r="X683" s="21">
        <f>ROUND(0.7*Table1[[#This Row],[E&amp;D Rate per unit]]*R683*Table1[[#This Row],[Quantity]],2)</f>
        <v>28.89</v>
      </c>
      <c r="Y683" s="21">
        <f t="shared" si="271"/>
        <v>6.64</v>
      </c>
      <c r="Z683" s="21">
        <f>ROUND(0.3*T683*Table1[[#This Row],[E&amp;D Rate per unit]]*Table1[[#This Row],[Quantity]],2)</f>
        <v>0</v>
      </c>
      <c r="AA683" s="21">
        <f t="shared" si="272"/>
        <v>35.53</v>
      </c>
      <c r="AB683" s="129"/>
      <c r="AC683" s="129">
        <f>Table1[[#This Row],[Total Amount]]-Table1[[#This Row],[Previous Amount]]</f>
        <v>35.53</v>
      </c>
      <c r="AD683" s="153"/>
    </row>
    <row r="684" spans="1:30" ht="30" customHeight="1" x14ac:dyDescent="0.3">
      <c r="A684" s="92" t="s">
        <v>89</v>
      </c>
      <c r="B684" s="92" t="s">
        <v>96</v>
      </c>
      <c r="C684" s="16">
        <v>106</v>
      </c>
      <c r="D684" s="187">
        <v>75832</v>
      </c>
      <c r="E684" s="16"/>
      <c r="F684" s="17" t="s">
        <v>785</v>
      </c>
      <c r="G684" s="17" t="s">
        <v>163</v>
      </c>
      <c r="H684" s="148" t="s">
        <v>220</v>
      </c>
      <c r="I684" s="16">
        <v>1</v>
      </c>
      <c r="J684" s="187">
        <v>2.5</v>
      </c>
      <c r="K684" s="187">
        <v>1</v>
      </c>
      <c r="L684" s="187">
        <v>3</v>
      </c>
      <c r="M684" s="16">
        <v>1</v>
      </c>
      <c r="N684" s="93" t="s">
        <v>221</v>
      </c>
      <c r="O684" s="93">
        <f t="shared" ref="O684:O685" si="277">ROUND(IF(N684="m3",I684*J684*K684*L684,IF(N684="m2-LxH",I684*J684*L684,IF(N684="m2-LxW",I684*J684*K684,IF(N684="rm",I684*L684,IF(N684="lm",I684*J684,IF(N684="unit",I684,"NA")))))),2)</f>
        <v>3</v>
      </c>
      <c r="P684" s="188">
        <v>44938</v>
      </c>
      <c r="Q684" s="18"/>
      <c r="R684" s="140">
        <v>1</v>
      </c>
      <c r="S684" s="140">
        <v>1</v>
      </c>
      <c r="T684" s="140">
        <v>0</v>
      </c>
      <c r="U684" s="20">
        <f>IF(ISBLANK(Table1[[#This Row],[OHC Date]]),$B$7-Table1[[#This Row],[HOC Date]]+1,Table1[[#This Row],[OHC Date]]-Table1[[#This Row],[HOC Date]]+1)/7</f>
        <v>2</v>
      </c>
      <c r="V684" s="142">
        <v>63.34</v>
      </c>
      <c r="W684" s="142">
        <v>7.28</v>
      </c>
      <c r="X684" s="21">
        <f>ROUND(0.7*Table1[[#This Row],[E&amp;D Rate per unit]]*R684*Table1[[#This Row],[Quantity]],2)</f>
        <v>133.01</v>
      </c>
      <c r="Y684" s="21">
        <f t="shared" si="271"/>
        <v>43.68</v>
      </c>
      <c r="Z684" s="21">
        <f>ROUND(0.3*T684*Table1[[#This Row],[E&amp;D Rate per unit]]*Table1[[#This Row],[Quantity]],2)</f>
        <v>0</v>
      </c>
      <c r="AA684" s="21">
        <f t="shared" si="272"/>
        <v>176.69</v>
      </c>
      <c r="AB684" s="129"/>
      <c r="AC684" s="129">
        <f>Table1[[#This Row],[Total Amount]]-Table1[[#This Row],[Previous Amount]]</f>
        <v>176.69</v>
      </c>
      <c r="AD684" s="153"/>
    </row>
    <row r="685" spans="1:30" ht="30" customHeight="1" x14ac:dyDescent="0.3">
      <c r="A685" s="16" t="s">
        <v>779</v>
      </c>
      <c r="B685" s="92" t="s">
        <v>96</v>
      </c>
      <c r="C685" s="16">
        <v>107</v>
      </c>
      <c r="D685" s="16">
        <v>75833</v>
      </c>
      <c r="E685" s="16"/>
      <c r="F685" s="17" t="s">
        <v>780</v>
      </c>
      <c r="G685" s="17" t="s">
        <v>163</v>
      </c>
      <c r="H685" s="151" t="s">
        <v>786</v>
      </c>
      <c r="I685" s="16">
        <v>1</v>
      </c>
      <c r="J685" s="16"/>
      <c r="K685" s="16"/>
      <c r="L685" s="16"/>
      <c r="M685" s="16">
        <v>1</v>
      </c>
      <c r="N685" s="93" t="s">
        <v>56</v>
      </c>
      <c r="O685" s="93">
        <f t="shared" si="277"/>
        <v>1</v>
      </c>
      <c r="P685" s="18">
        <v>44938</v>
      </c>
      <c r="Q685" s="18"/>
      <c r="R685" s="140">
        <v>0</v>
      </c>
      <c r="S685" s="140">
        <v>0</v>
      </c>
      <c r="T685" s="140">
        <v>0</v>
      </c>
      <c r="U685" s="20">
        <f>IF(ISBLANK(Table1[[#This Row],[OHC Date]]),$B$7-Table1[[#This Row],[HOC Date]]+1,Table1[[#This Row],[OHC Date]]-Table1[[#This Row],[HOC Date]]+1)/7</f>
        <v>2</v>
      </c>
      <c r="V685" s="142"/>
      <c r="W685" s="142"/>
      <c r="X685" s="21">
        <f>ROUND(0.7*Table1[[#This Row],[E&amp;D Rate per unit]]*R685*Table1[[#This Row],[Quantity]],2)</f>
        <v>0</v>
      </c>
      <c r="Y685" s="21">
        <f t="shared" si="271"/>
        <v>0</v>
      </c>
      <c r="Z685" s="21">
        <f>ROUND(0.3*T685*Table1[[#This Row],[E&amp;D Rate per unit]]*Table1[[#This Row],[Quantity]],2)</f>
        <v>0</v>
      </c>
      <c r="AA685" s="21">
        <f t="shared" si="272"/>
        <v>0</v>
      </c>
      <c r="AB685" s="129"/>
      <c r="AC685" s="129">
        <f>Table1[[#This Row],[Total Amount]]-Table1[[#This Row],[Previous Amount]]</f>
        <v>0</v>
      </c>
      <c r="AD685" s="158" t="s">
        <v>862</v>
      </c>
    </row>
    <row r="686" spans="1:30" ht="30" customHeight="1" x14ac:dyDescent="0.3">
      <c r="A686" s="16" t="s">
        <v>787</v>
      </c>
      <c r="B686" s="92" t="s">
        <v>96</v>
      </c>
      <c r="C686" s="16" t="s">
        <v>860</v>
      </c>
      <c r="D686" s="187">
        <v>75838</v>
      </c>
      <c r="E686" s="16"/>
      <c r="F686" s="17" t="s">
        <v>788</v>
      </c>
      <c r="G686" s="17" t="s">
        <v>163</v>
      </c>
      <c r="H686" s="148" t="s">
        <v>730</v>
      </c>
      <c r="I686" s="16">
        <v>1</v>
      </c>
      <c r="J686" s="16"/>
      <c r="K686" s="16"/>
      <c r="L686" s="16"/>
      <c r="M686" s="16"/>
      <c r="N686" s="93" t="s">
        <v>56</v>
      </c>
      <c r="O686" s="93">
        <f t="shared" ref="O686" si="278">ROUND(IF(N686="m3",I686*J686*K686*L686,IF(N686="m2-LxH",I686*J686*L686,IF(N686="m2-LxW",I686*J686*K686,IF(N686="rm",I686*L686,IF(N686="lm",I686*J686,IF(N686="unit",I686,"NA")))))),2)</f>
        <v>1</v>
      </c>
      <c r="P686" s="188">
        <v>44939</v>
      </c>
      <c r="Q686" s="18"/>
      <c r="R686" s="140">
        <v>0.75</v>
      </c>
      <c r="S686" s="140">
        <v>0.75</v>
      </c>
      <c r="T686" s="140">
        <v>0</v>
      </c>
      <c r="U686" s="20">
        <f>IF(ISBLANK(Table1[[#This Row],[OHC Date]]),$B$7-Table1[[#This Row],[HOC Date]]+1,Table1[[#This Row],[OHC Date]]-Table1[[#This Row],[HOC Date]]+1)/7</f>
        <v>1.8571428571428572</v>
      </c>
      <c r="V686" s="142">
        <v>19801.429250000001</v>
      </c>
      <c r="W686" s="142">
        <v>837.82125000000008</v>
      </c>
      <c r="X686" s="21">
        <f>ROUND(0.7*Table1[[#This Row],[E&amp;D Rate per unit]]*R686*Table1[[#This Row],[Quantity]],2)</f>
        <v>10395.75</v>
      </c>
      <c r="Y686" s="21">
        <f t="shared" ref="Y686" si="279">ROUND(O686*U686*W686*S686,2)</f>
        <v>1166.97</v>
      </c>
      <c r="Z686" s="21">
        <f>ROUND(0.3*T686*Table1[[#This Row],[E&amp;D Rate per unit]]*Table1[[#This Row],[Quantity]],2)</f>
        <v>0</v>
      </c>
      <c r="AA686" s="21">
        <f t="shared" ref="AA686" si="280">ROUND(X686+Z686+Y686,2)</f>
        <v>11562.72</v>
      </c>
      <c r="AB686" s="129"/>
      <c r="AC686" s="129">
        <f>Table1[[#This Row],[Total Amount]]-Table1[[#This Row],[Previous Amount]]</f>
        <v>11562.72</v>
      </c>
      <c r="AD686" s="153"/>
    </row>
    <row r="687" spans="1:30" ht="30" customHeight="1" x14ac:dyDescent="0.3">
      <c r="A687" s="92" t="s">
        <v>89</v>
      </c>
      <c r="B687" s="92" t="s">
        <v>96</v>
      </c>
      <c r="C687" s="16">
        <v>109</v>
      </c>
      <c r="D687" s="187">
        <v>75834</v>
      </c>
      <c r="E687" s="16"/>
      <c r="F687" s="17" t="s">
        <v>789</v>
      </c>
      <c r="G687" s="17" t="s">
        <v>254</v>
      </c>
      <c r="H687" s="102" t="s">
        <v>205</v>
      </c>
      <c r="I687" s="16">
        <v>1</v>
      </c>
      <c r="J687" s="187">
        <v>4.3</v>
      </c>
      <c r="K687" s="187">
        <v>1.3</v>
      </c>
      <c r="L687" s="187">
        <v>4</v>
      </c>
      <c r="M687" s="16">
        <v>1</v>
      </c>
      <c r="N687" s="93" t="s">
        <v>206</v>
      </c>
      <c r="O687" s="93">
        <f t="shared" ref="O687" si="281">ROUND(IF(N687="m3",I687*J687*K687*L687,IF(N687="m2-LxH",I687*J687*L687,IF(N687="m2-LxW",I687*J687*K687,IF(N687="rm",I687*L687,IF(N687="lm",I687*J687,IF(N687="unit",I687,"NA")))))),2)</f>
        <v>17.2</v>
      </c>
      <c r="P687" s="188">
        <v>44939</v>
      </c>
      <c r="Q687" s="18"/>
      <c r="R687" s="140">
        <v>1</v>
      </c>
      <c r="S687" s="140">
        <v>1</v>
      </c>
      <c r="T687" s="140">
        <v>0</v>
      </c>
      <c r="U687" s="20">
        <f>IF(ISBLANK(Table1[[#This Row],[OHC Date]]),$B$7-Table1[[#This Row],[HOC Date]]+1,Table1[[#This Row],[OHC Date]]-Table1[[#This Row],[HOC Date]]+1)/7</f>
        <v>1.8571428571428572</v>
      </c>
      <c r="V687" s="142">
        <v>12.01</v>
      </c>
      <c r="W687" s="142">
        <v>0.49</v>
      </c>
      <c r="X687" s="21">
        <f>ROUND(0.7*Table1[[#This Row],[E&amp;D Rate per unit]]*R687*Table1[[#This Row],[Quantity]],2)</f>
        <v>144.6</v>
      </c>
      <c r="Y687" s="21">
        <f t="shared" ref="Y687" si="282">ROUND(O687*U687*W687*S687,2)</f>
        <v>15.65</v>
      </c>
      <c r="Z687" s="21">
        <f>ROUND(0.3*T687*Table1[[#This Row],[E&amp;D Rate per unit]]*Table1[[#This Row],[Quantity]],2)</f>
        <v>0</v>
      </c>
      <c r="AA687" s="21">
        <f t="shared" ref="AA687" si="283">ROUND(X687+Z687+Y687,2)</f>
        <v>160.25</v>
      </c>
      <c r="AB687" s="129"/>
      <c r="AC687" s="129">
        <f>Table1[[#This Row],[Total Amount]]-Table1[[#This Row],[Previous Amount]]</f>
        <v>160.25</v>
      </c>
      <c r="AD687" s="153"/>
    </row>
    <row r="688" spans="1:30" ht="30" customHeight="1" x14ac:dyDescent="0.3">
      <c r="A688" s="92" t="s">
        <v>89</v>
      </c>
      <c r="B688" s="92" t="s">
        <v>96</v>
      </c>
      <c r="C688" s="16">
        <v>110</v>
      </c>
      <c r="D688" s="187">
        <v>75835</v>
      </c>
      <c r="E688" s="16"/>
      <c r="F688" s="17" t="s">
        <v>789</v>
      </c>
      <c r="G688" s="17" t="s">
        <v>254</v>
      </c>
      <c r="H688" s="148" t="s">
        <v>220</v>
      </c>
      <c r="I688" s="16">
        <v>1</v>
      </c>
      <c r="J688" s="187">
        <v>2.5</v>
      </c>
      <c r="K688" s="187">
        <v>2.5</v>
      </c>
      <c r="L688" s="187">
        <v>4.5</v>
      </c>
      <c r="M688" s="16">
        <v>1</v>
      </c>
      <c r="N688" s="93" t="s">
        <v>221</v>
      </c>
      <c r="O688" s="93">
        <f t="shared" ref="O688" si="284">ROUND(IF(N688="m3",I688*J688*K688*L688,IF(N688="m2-LxH",I688*J688*L688,IF(N688="m2-LxW",I688*J688*K688,IF(N688="rm",I688*L688,IF(N688="lm",I688*J688,IF(N688="unit",I688,"NA")))))),2)</f>
        <v>4.5</v>
      </c>
      <c r="P688" s="188">
        <v>44939</v>
      </c>
      <c r="Q688" s="18"/>
      <c r="R688" s="140">
        <v>1</v>
      </c>
      <c r="S688" s="140">
        <v>1</v>
      </c>
      <c r="T688" s="140">
        <v>0</v>
      </c>
      <c r="U688" s="20">
        <f>IF(ISBLANK(Table1[[#This Row],[OHC Date]]),$B$7-Table1[[#This Row],[HOC Date]]+1,Table1[[#This Row],[OHC Date]]-Table1[[#This Row],[HOC Date]]+1)/7</f>
        <v>1.8571428571428572</v>
      </c>
      <c r="V688" s="142">
        <v>63.34</v>
      </c>
      <c r="W688" s="142">
        <v>7.28</v>
      </c>
      <c r="X688" s="21">
        <f>ROUND(0.7*Table1[[#This Row],[E&amp;D Rate per unit]]*R688*Table1[[#This Row],[Quantity]],2)</f>
        <v>199.52</v>
      </c>
      <c r="Y688" s="21">
        <f t="shared" ref="Y688" si="285">ROUND(O688*U688*W688*S688,2)</f>
        <v>60.84</v>
      </c>
      <c r="Z688" s="21">
        <f>ROUND(0.3*T688*Table1[[#This Row],[E&amp;D Rate per unit]]*Table1[[#This Row],[Quantity]],2)</f>
        <v>0</v>
      </c>
      <c r="AA688" s="21">
        <f t="shared" ref="AA688" si="286">ROUND(X688+Z688+Y688,2)</f>
        <v>260.36</v>
      </c>
      <c r="AB688" s="129"/>
      <c r="AC688" s="129">
        <f>Table1[[#This Row],[Total Amount]]-Table1[[#This Row],[Previous Amount]]</f>
        <v>260.36</v>
      </c>
      <c r="AD688" s="153"/>
    </row>
    <row r="689" spans="1:30" ht="30" customHeight="1" x14ac:dyDescent="0.3">
      <c r="A689" s="92" t="s">
        <v>89</v>
      </c>
      <c r="B689" s="92" t="s">
        <v>96</v>
      </c>
      <c r="C689" s="16" t="s">
        <v>790</v>
      </c>
      <c r="D689" s="187">
        <v>75839</v>
      </c>
      <c r="E689" s="16"/>
      <c r="F689" s="17" t="s">
        <v>791</v>
      </c>
      <c r="G689" s="17" t="s">
        <v>223</v>
      </c>
      <c r="H689" s="151" t="s">
        <v>220</v>
      </c>
      <c r="I689" s="16">
        <v>1</v>
      </c>
      <c r="J689" s="187">
        <v>2.5</v>
      </c>
      <c r="K689" s="187">
        <v>2.5</v>
      </c>
      <c r="L689" s="187">
        <v>5.5</v>
      </c>
      <c r="M689" s="16">
        <v>1</v>
      </c>
      <c r="N689" s="93" t="s">
        <v>221</v>
      </c>
      <c r="O689" s="93">
        <f t="shared" ref="O689" si="287">ROUND(IF(N689="m3",I689*J689*K689*L689,IF(N689="m2-LxH",I689*J689*L689,IF(N689="m2-LxW",I689*J689*K689,IF(N689="rm",I689*L689,IF(N689="lm",I689*J689,IF(N689="unit",I689,"NA")))))),2)</f>
        <v>5.5</v>
      </c>
      <c r="P689" s="188">
        <v>44940</v>
      </c>
      <c r="Q689" s="18"/>
      <c r="R689" s="140">
        <v>1</v>
      </c>
      <c r="S689" s="140">
        <v>1</v>
      </c>
      <c r="T689" s="140">
        <v>0</v>
      </c>
      <c r="U689" s="20">
        <f>IF(ISBLANK(Table1[[#This Row],[OHC Date]]),$B$7-Table1[[#This Row],[HOC Date]]+1,Table1[[#This Row],[OHC Date]]-Table1[[#This Row],[HOC Date]]+1)/7</f>
        <v>1.7142857142857142</v>
      </c>
      <c r="V689" s="142">
        <v>63.34</v>
      </c>
      <c r="W689" s="142">
        <v>7.28</v>
      </c>
      <c r="X689" s="21">
        <f>ROUND(0.7*Table1[[#This Row],[E&amp;D Rate per unit]]*R689*Table1[[#This Row],[Quantity]],2)</f>
        <v>243.86</v>
      </c>
      <c r="Y689" s="21">
        <f t="shared" ref="Y689" si="288">ROUND(O689*U689*W689*S689,2)</f>
        <v>68.64</v>
      </c>
      <c r="Z689" s="21">
        <f>ROUND(0.3*T689*Table1[[#This Row],[E&amp;D Rate per unit]]*Table1[[#This Row],[Quantity]],2)</f>
        <v>0</v>
      </c>
      <c r="AA689" s="21">
        <f t="shared" ref="AA689" si="289">ROUND(X689+Z689+Y689,2)</f>
        <v>312.5</v>
      </c>
      <c r="AB689" s="129"/>
      <c r="AC689" s="129">
        <f>Table1[[#This Row],[Total Amount]]-Table1[[#This Row],[Previous Amount]]</f>
        <v>312.5</v>
      </c>
      <c r="AD689" s="153"/>
    </row>
    <row r="690" spans="1:30" ht="30" customHeight="1" x14ac:dyDescent="0.3">
      <c r="A690" s="92" t="s">
        <v>89</v>
      </c>
      <c r="B690" s="92" t="s">
        <v>96</v>
      </c>
      <c r="C690" s="16">
        <v>111</v>
      </c>
      <c r="D690" s="187">
        <v>75836</v>
      </c>
      <c r="E690" s="16"/>
      <c r="F690" s="17" t="s">
        <v>791</v>
      </c>
      <c r="G690" s="17" t="s">
        <v>254</v>
      </c>
      <c r="H690" s="148" t="s">
        <v>220</v>
      </c>
      <c r="I690" s="16">
        <v>1</v>
      </c>
      <c r="J690" s="187">
        <v>2.5</v>
      </c>
      <c r="K690" s="187">
        <v>1.3</v>
      </c>
      <c r="L690" s="187">
        <v>4.5</v>
      </c>
      <c r="M690" s="16">
        <v>1</v>
      </c>
      <c r="N690" s="93" t="s">
        <v>221</v>
      </c>
      <c r="O690" s="93">
        <f t="shared" ref="O690" si="290">ROUND(IF(N690="m3",I690*J690*K690*L690,IF(N690="m2-LxH",I690*J690*L690,IF(N690="m2-LxW",I690*J690*K690,IF(N690="rm",I690*L690,IF(N690="lm",I690*J690,IF(N690="unit",I690,"NA")))))),2)</f>
        <v>4.5</v>
      </c>
      <c r="P690" s="188">
        <v>44940</v>
      </c>
      <c r="Q690" s="18"/>
      <c r="R690" s="140">
        <v>1</v>
      </c>
      <c r="S690" s="140">
        <v>1</v>
      </c>
      <c r="T690" s="140">
        <v>0</v>
      </c>
      <c r="U690" s="20">
        <f>IF(ISBLANK(Table1[[#This Row],[OHC Date]]),$B$7-Table1[[#This Row],[HOC Date]]+1,Table1[[#This Row],[OHC Date]]-Table1[[#This Row],[HOC Date]]+1)/7</f>
        <v>1.7142857142857142</v>
      </c>
      <c r="V690" s="142">
        <v>63.34</v>
      </c>
      <c r="W690" s="142">
        <v>7.28</v>
      </c>
      <c r="X690" s="21">
        <f>ROUND(0.7*Table1[[#This Row],[E&amp;D Rate per unit]]*R690*Table1[[#This Row],[Quantity]],2)</f>
        <v>199.52</v>
      </c>
      <c r="Y690" s="21">
        <f t="shared" ref="Y690" si="291">ROUND(O690*U690*W690*S690,2)</f>
        <v>56.16</v>
      </c>
      <c r="Z690" s="21">
        <f>ROUND(0.3*T690*Table1[[#This Row],[E&amp;D Rate per unit]]*Table1[[#This Row],[Quantity]],2)</f>
        <v>0</v>
      </c>
      <c r="AA690" s="21">
        <f t="shared" ref="AA690" si="292">ROUND(X690+Z690+Y690,2)</f>
        <v>255.68</v>
      </c>
      <c r="AB690" s="129"/>
      <c r="AC690" s="129">
        <f>Table1[[#This Row],[Total Amount]]-Table1[[#This Row],[Previous Amount]]</f>
        <v>255.68</v>
      </c>
      <c r="AD690" s="153"/>
    </row>
    <row r="691" spans="1:30" ht="30" customHeight="1" x14ac:dyDescent="0.3">
      <c r="A691" s="92" t="s">
        <v>89</v>
      </c>
      <c r="B691" s="92" t="s">
        <v>96</v>
      </c>
      <c r="C691" s="16">
        <v>111</v>
      </c>
      <c r="D691" s="187">
        <v>75836</v>
      </c>
      <c r="E691" s="16"/>
      <c r="F691" s="17" t="s">
        <v>791</v>
      </c>
      <c r="G691" s="17" t="s">
        <v>254</v>
      </c>
      <c r="H691" s="151" t="s">
        <v>176</v>
      </c>
      <c r="I691" s="16">
        <v>1</v>
      </c>
      <c r="J691" s="187">
        <v>2.5</v>
      </c>
      <c r="K691" s="187">
        <v>1.3</v>
      </c>
      <c r="L691" s="187"/>
      <c r="M691" s="16">
        <v>1</v>
      </c>
      <c r="N691" s="93" t="s">
        <v>160</v>
      </c>
      <c r="O691" s="93">
        <f t="shared" ref="O691" si="293">ROUND(IF(N691="m3",I691*J691*K691*L691,IF(N691="m2-LxH",I691*J691*L691,IF(N691="m2-LxW",I691*J691*K691,IF(N691="rm",I691*L691,IF(N691="lm",I691*J691,IF(N691="unit",I691,"NA")))))),2)</f>
        <v>3.25</v>
      </c>
      <c r="P691" s="188">
        <v>44940</v>
      </c>
      <c r="Q691" s="18"/>
      <c r="R691" s="140">
        <v>1</v>
      </c>
      <c r="S691" s="140">
        <v>1</v>
      </c>
      <c r="T691" s="140">
        <v>0</v>
      </c>
      <c r="U691" s="20">
        <f>IF(ISBLANK(Table1[[#This Row],[OHC Date]]),$B$7-Table1[[#This Row],[HOC Date]]+1,Table1[[#This Row],[OHC Date]]-Table1[[#This Row],[HOC Date]]+1)/7</f>
        <v>1.7142857142857142</v>
      </c>
      <c r="V691" s="142">
        <v>6.63</v>
      </c>
      <c r="W691" s="142">
        <v>0.7</v>
      </c>
      <c r="X691" s="21">
        <f>ROUND(0.7*Table1[[#This Row],[E&amp;D Rate per unit]]*R691*Table1[[#This Row],[Quantity]],2)</f>
        <v>15.08</v>
      </c>
      <c r="Y691" s="21">
        <f t="shared" ref="Y691" si="294">ROUND(O691*U691*W691*S691,2)</f>
        <v>3.9</v>
      </c>
      <c r="Z691" s="21">
        <f>ROUND(0.3*T691*Table1[[#This Row],[E&amp;D Rate per unit]]*Table1[[#This Row],[Quantity]],2)</f>
        <v>0</v>
      </c>
      <c r="AA691" s="21">
        <f t="shared" ref="AA691" si="295">ROUND(X691+Z691+Y691,2)</f>
        <v>18.98</v>
      </c>
      <c r="AB691" s="129"/>
      <c r="AC691" s="129">
        <f>Table1[[#This Row],[Total Amount]]-Table1[[#This Row],[Previous Amount]]</f>
        <v>18.98</v>
      </c>
      <c r="AD691" s="153"/>
    </row>
    <row r="692" spans="1:30" ht="30" customHeight="1" x14ac:dyDescent="0.3">
      <c r="A692" s="92" t="s">
        <v>89</v>
      </c>
      <c r="B692" s="92" t="s">
        <v>96</v>
      </c>
      <c r="C692" s="16" t="s">
        <v>792</v>
      </c>
      <c r="D692" s="187">
        <v>75837</v>
      </c>
      <c r="E692" s="16"/>
      <c r="F692" s="17" t="s">
        <v>793</v>
      </c>
      <c r="G692" s="17" t="s">
        <v>200</v>
      </c>
      <c r="H692" s="148" t="s">
        <v>176</v>
      </c>
      <c r="I692" s="16">
        <v>1</v>
      </c>
      <c r="J692" s="187">
        <v>1.5</v>
      </c>
      <c r="K692" s="187">
        <v>1.5</v>
      </c>
      <c r="L692" s="187"/>
      <c r="M692" s="16">
        <v>1</v>
      </c>
      <c r="N692" s="93" t="s">
        <v>160</v>
      </c>
      <c r="O692" s="93">
        <f t="shared" ref="O692" si="296">ROUND(IF(N692="m3",I692*J692*K692*L692,IF(N692="m2-LxH",I692*J692*L692,IF(N692="m2-LxW",I692*J692*K692,IF(N692="rm",I692*L692,IF(N692="lm",I692*J692,IF(N692="unit",I692,"NA")))))),2)</f>
        <v>2.25</v>
      </c>
      <c r="P692" s="188">
        <v>44940</v>
      </c>
      <c r="Q692" s="18"/>
      <c r="R692" s="140">
        <v>1</v>
      </c>
      <c r="S692" s="140">
        <v>1</v>
      </c>
      <c r="T692" s="140">
        <v>0</v>
      </c>
      <c r="U692" s="20">
        <f>IF(ISBLANK(Table1[[#This Row],[OHC Date]]),$B$7-Table1[[#This Row],[HOC Date]]+1,Table1[[#This Row],[OHC Date]]-Table1[[#This Row],[HOC Date]]+1)/7</f>
        <v>1.7142857142857142</v>
      </c>
      <c r="V692" s="142">
        <v>6.63</v>
      </c>
      <c r="W692" s="142">
        <v>0.7</v>
      </c>
      <c r="X692" s="21">
        <f>ROUND(0.7*Table1[[#This Row],[E&amp;D Rate per unit]]*R692*Table1[[#This Row],[Quantity]],2)</f>
        <v>10.44</v>
      </c>
      <c r="Y692" s="21">
        <f t="shared" ref="Y692" si="297">ROUND(O692*U692*W692*S692,2)</f>
        <v>2.7</v>
      </c>
      <c r="Z692" s="21">
        <f>ROUND(0.3*T692*Table1[[#This Row],[E&amp;D Rate per unit]]*Table1[[#This Row],[Quantity]],2)</f>
        <v>0</v>
      </c>
      <c r="AA692" s="21">
        <f t="shared" ref="AA692" si="298">ROUND(X692+Z692+Y692,2)</f>
        <v>13.14</v>
      </c>
      <c r="AB692" s="129"/>
      <c r="AC692" s="129">
        <f>Table1[[#This Row],[Total Amount]]-Table1[[#This Row],[Previous Amount]]</f>
        <v>13.14</v>
      </c>
      <c r="AD692" s="153"/>
    </row>
    <row r="693" spans="1:30" ht="30" customHeight="1" x14ac:dyDescent="0.3">
      <c r="A693" s="92" t="s">
        <v>89</v>
      </c>
      <c r="B693" s="92" t="s">
        <v>96</v>
      </c>
      <c r="C693" s="16">
        <v>112</v>
      </c>
      <c r="D693" s="187">
        <v>75840</v>
      </c>
      <c r="E693" s="16"/>
      <c r="F693" s="17" t="s">
        <v>289</v>
      </c>
      <c r="G693" s="17" t="s">
        <v>254</v>
      </c>
      <c r="H693" s="151" t="s">
        <v>220</v>
      </c>
      <c r="I693" s="16">
        <v>1</v>
      </c>
      <c r="J693" s="187">
        <v>2.5</v>
      </c>
      <c r="K693" s="187">
        <v>1.8</v>
      </c>
      <c r="L693" s="187">
        <v>3.2</v>
      </c>
      <c r="M693" s="16">
        <v>1</v>
      </c>
      <c r="N693" s="93" t="s">
        <v>221</v>
      </c>
      <c r="O693" s="93">
        <f t="shared" ref="O693" si="299">ROUND(IF(N693="m3",I693*J693*K693*L693,IF(N693="m2-LxH",I693*J693*L693,IF(N693="m2-LxW",I693*J693*K693,IF(N693="rm",I693*L693,IF(N693="lm",I693*J693,IF(N693="unit",I693,"NA")))))),2)</f>
        <v>3.2</v>
      </c>
      <c r="P693" s="188">
        <v>44942</v>
      </c>
      <c r="Q693" s="18"/>
      <c r="R693" s="140">
        <v>1</v>
      </c>
      <c r="S693" s="140">
        <v>1</v>
      </c>
      <c r="T693" s="140">
        <v>0</v>
      </c>
      <c r="U693" s="20">
        <f>IF(ISBLANK(Table1[[#This Row],[OHC Date]]),$B$7-Table1[[#This Row],[HOC Date]]+1,Table1[[#This Row],[OHC Date]]-Table1[[#This Row],[HOC Date]]+1)/7</f>
        <v>1.4285714285714286</v>
      </c>
      <c r="V693" s="142">
        <v>63.34</v>
      </c>
      <c r="W693" s="142">
        <v>7.28</v>
      </c>
      <c r="X693" s="21">
        <f>ROUND(0.7*Table1[[#This Row],[E&amp;D Rate per unit]]*R693*Table1[[#This Row],[Quantity]],2)</f>
        <v>141.88</v>
      </c>
      <c r="Y693" s="21">
        <f t="shared" ref="Y693" si="300">ROUND(O693*U693*W693*S693,2)</f>
        <v>33.28</v>
      </c>
      <c r="Z693" s="21">
        <f>ROUND(0.3*T693*Table1[[#This Row],[E&amp;D Rate per unit]]*Table1[[#This Row],[Quantity]],2)</f>
        <v>0</v>
      </c>
      <c r="AA693" s="21">
        <f t="shared" ref="AA693" si="301">ROUND(X693+Z693+Y693,2)</f>
        <v>175.16</v>
      </c>
      <c r="AB693" s="129"/>
      <c r="AC693" s="129">
        <f>Table1[[#This Row],[Total Amount]]-Table1[[#This Row],[Previous Amount]]</f>
        <v>175.16</v>
      </c>
      <c r="AD693" s="153"/>
    </row>
    <row r="694" spans="1:30" ht="30" customHeight="1" x14ac:dyDescent="0.3">
      <c r="A694" s="92" t="s">
        <v>89</v>
      </c>
      <c r="B694" s="92" t="s">
        <v>96</v>
      </c>
      <c r="C694" s="16">
        <v>112</v>
      </c>
      <c r="D694" s="190">
        <v>75840</v>
      </c>
      <c r="E694" s="16"/>
      <c r="F694" s="17" t="s">
        <v>289</v>
      </c>
      <c r="G694" s="17" t="s">
        <v>254</v>
      </c>
      <c r="H694" s="148" t="s">
        <v>176</v>
      </c>
      <c r="I694" s="16">
        <v>1</v>
      </c>
      <c r="J694" s="190">
        <v>2.5</v>
      </c>
      <c r="K694" s="190">
        <v>1.8</v>
      </c>
      <c r="L694" s="190"/>
      <c r="M694" s="16">
        <v>1</v>
      </c>
      <c r="N694" s="93" t="s">
        <v>160</v>
      </c>
      <c r="O694" s="93"/>
      <c r="P694" s="18">
        <v>44942</v>
      </c>
      <c r="Q694" s="18"/>
      <c r="R694" s="140">
        <v>1</v>
      </c>
      <c r="S694" s="140">
        <v>1</v>
      </c>
      <c r="T694" s="140">
        <v>0</v>
      </c>
      <c r="U694" s="20">
        <f>IF(ISBLANK(Table1[[#This Row],[OHC Date]]),$B$7-Table1[[#This Row],[HOC Date]]+1,Table1[[#This Row],[OHC Date]]-Table1[[#This Row],[HOC Date]]+1)/7</f>
        <v>1.4285714285714286</v>
      </c>
      <c r="V694" s="142">
        <v>6.63</v>
      </c>
      <c r="W694" s="142">
        <v>0.7</v>
      </c>
      <c r="X694" s="21">
        <f>ROUND(0.7*Table1[[#This Row],[E&amp;D Rate per unit]]*R694*Table1[[#This Row],[Quantity]],2)</f>
        <v>0</v>
      </c>
      <c r="Y694" s="21">
        <f t="shared" ref="Y694" si="302">ROUND(O694*U694*W694*S694,2)</f>
        <v>0</v>
      </c>
      <c r="Z694" s="21">
        <f>ROUND(0.3*T694*Table1[[#This Row],[E&amp;D Rate per unit]]*Table1[[#This Row],[Quantity]],2)</f>
        <v>0</v>
      </c>
      <c r="AA694" s="21">
        <f t="shared" ref="AA694" si="303">ROUND(X694+Z694+Y694,2)</f>
        <v>0</v>
      </c>
      <c r="AB694" s="129"/>
      <c r="AC694" s="129">
        <f>Table1[[#This Row],[Total Amount]]-Table1[[#This Row],[Previous Amount]]</f>
        <v>0</v>
      </c>
      <c r="AD694" s="153"/>
    </row>
    <row r="695" spans="1:30" ht="30" customHeight="1" x14ac:dyDescent="0.3">
      <c r="A695" s="92" t="s">
        <v>89</v>
      </c>
      <c r="B695" s="92" t="s">
        <v>96</v>
      </c>
      <c r="C695" s="16" t="s">
        <v>794</v>
      </c>
      <c r="D695" s="187">
        <v>75840</v>
      </c>
      <c r="E695" s="16"/>
      <c r="F695" s="17" t="s">
        <v>289</v>
      </c>
      <c r="G695" s="17" t="s">
        <v>254</v>
      </c>
      <c r="H695" s="102" t="s">
        <v>127</v>
      </c>
      <c r="I695" s="16">
        <v>1</v>
      </c>
      <c r="J695" s="187">
        <v>1.8</v>
      </c>
      <c r="K695" s="187">
        <v>0.75</v>
      </c>
      <c r="L695" s="187"/>
      <c r="M695" s="16">
        <v>1</v>
      </c>
      <c r="N695" s="93" t="s">
        <v>160</v>
      </c>
      <c r="O695" s="93">
        <f t="shared" ref="O695" si="304">ROUND(IF(N695="m3",I695*J695*K695*L695,IF(N695="m2-LxH",I695*J695*L695,IF(N695="m2-LxW",I695*J695*K695,IF(N695="rm",I695*L695,IF(N695="lm",I695*J695,IF(N695="unit",I695,"NA")))))),2)</f>
        <v>1.35</v>
      </c>
      <c r="P695" s="188">
        <v>44942</v>
      </c>
      <c r="Q695" s="18"/>
      <c r="R695" s="140">
        <v>1</v>
      </c>
      <c r="S695" s="140">
        <v>1</v>
      </c>
      <c r="T695" s="140">
        <v>0</v>
      </c>
      <c r="U695" s="20">
        <f>IF(ISBLANK(Table1[[#This Row],[OHC Date]]),$B$7-Table1[[#This Row],[HOC Date]]+1,Table1[[#This Row],[OHC Date]]-Table1[[#This Row],[HOC Date]]+1)/7</f>
        <v>1.4285714285714286</v>
      </c>
      <c r="V695" s="142">
        <v>36.520000000000003</v>
      </c>
      <c r="W695" s="142">
        <v>2.94</v>
      </c>
      <c r="X695" s="21">
        <f>ROUND(0.7*Table1[[#This Row],[E&amp;D Rate per unit]]*R695*Table1[[#This Row],[Quantity]],2)</f>
        <v>34.51</v>
      </c>
      <c r="Y695" s="21">
        <f t="shared" ref="Y695" si="305">ROUND(O695*U695*W695*S695,2)</f>
        <v>5.67</v>
      </c>
      <c r="Z695" s="21">
        <f>ROUND(0.3*T695*Table1[[#This Row],[E&amp;D Rate per unit]]*Table1[[#This Row],[Quantity]],2)</f>
        <v>0</v>
      </c>
      <c r="AA695" s="21">
        <f t="shared" ref="AA695" si="306">ROUND(X695+Z695+Y695,2)</f>
        <v>40.18</v>
      </c>
      <c r="AB695" s="129"/>
      <c r="AC695" s="129">
        <f>Table1[[#This Row],[Total Amount]]-Table1[[#This Row],[Previous Amount]]</f>
        <v>40.18</v>
      </c>
      <c r="AD695" s="153"/>
    </row>
    <row r="696" spans="1:30" ht="30" customHeight="1" x14ac:dyDescent="0.3">
      <c r="A696" s="92" t="s">
        <v>89</v>
      </c>
      <c r="B696" s="92" t="s">
        <v>96</v>
      </c>
      <c r="C696" s="16">
        <v>113</v>
      </c>
      <c r="D696" s="187">
        <v>75841</v>
      </c>
      <c r="E696" s="16"/>
      <c r="F696" s="17" t="s">
        <v>289</v>
      </c>
      <c r="G696" s="17" t="s">
        <v>254</v>
      </c>
      <c r="H696" s="102" t="s">
        <v>205</v>
      </c>
      <c r="I696" s="16">
        <v>1</v>
      </c>
      <c r="J696" s="187">
        <v>4</v>
      </c>
      <c r="K696" s="187">
        <v>1.5</v>
      </c>
      <c r="L696" s="187">
        <v>2.2999999999999998</v>
      </c>
      <c r="M696" s="16">
        <v>1</v>
      </c>
      <c r="N696" s="93" t="s">
        <v>206</v>
      </c>
      <c r="O696" s="93">
        <f t="shared" ref="O696" si="307">ROUND(IF(N696="m3",I696*J696*K696*L696,IF(N696="m2-LxH",I696*J696*L696,IF(N696="m2-LxW",I696*J696*K696,IF(N696="rm",I696*L696,IF(N696="lm",I696*J696,IF(N696="unit",I696,"NA")))))),2)</f>
        <v>9.1999999999999993</v>
      </c>
      <c r="P696" s="188">
        <v>44942</v>
      </c>
      <c r="Q696" s="18"/>
      <c r="R696" s="140">
        <v>1</v>
      </c>
      <c r="S696" s="140">
        <v>1</v>
      </c>
      <c r="T696" s="140">
        <v>0</v>
      </c>
      <c r="U696" s="20">
        <f>IF(ISBLANK(Table1[[#This Row],[OHC Date]]),$B$7-Table1[[#This Row],[HOC Date]]+1,Table1[[#This Row],[OHC Date]]-Table1[[#This Row],[HOC Date]]+1)/7</f>
        <v>1.4285714285714286</v>
      </c>
      <c r="V696" s="142">
        <v>12.01</v>
      </c>
      <c r="W696" s="142">
        <v>0.49</v>
      </c>
      <c r="X696" s="21">
        <f>ROUND(0.7*Table1[[#This Row],[E&amp;D Rate per unit]]*R696*Table1[[#This Row],[Quantity]],2)</f>
        <v>77.34</v>
      </c>
      <c r="Y696" s="21">
        <f t="shared" ref="Y696" si="308">ROUND(O696*U696*W696*S696,2)</f>
        <v>6.44</v>
      </c>
      <c r="Z696" s="21">
        <f>ROUND(0.3*T696*Table1[[#This Row],[E&amp;D Rate per unit]]*Table1[[#This Row],[Quantity]],2)</f>
        <v>0</v>
      </c>
      <c r="AA696" s="21">
        <f t="shared" ref="AA696" si="309">ROUND(X696+Z696+Y696,2)</f>
        <v>83.78</v>
      </c>
      <c r="AB696" s="129"/>
      <c r="AC696" s="129">
        <f>Table1[[#This Row],[Total Amount]]-Table1[[#This Row],[Previous Amount]]</f>
        <v>83.78</v>
      </c>
      <c r="AD696" s="153"/>
    </row>
    <row r="697" spans="1:30" ht="30" customHeight="1" x14ac:dyDescent="0.3">
      <c r="A697" s="92" t="s">
        <v>89</v>
      </c>
      <c r="B697" s="92" t="s">
        <v>96</v>
      </c>
      <c r="C697" s="16">
        <v>114</v>
      </c>
      <c r="D697" s="187">
        <v>75842</v>
      </c>
      <c r="E697" s="187">
        <v>80915</v>
      </c>
      <c r="F697" s="17" t="s">
        <v>728</v>
      </c>
      <c r="G697" s="17" t="s">
        <v>163</v>
      </c>
      <c r="H697" s="151" t="s">
        <v>220</v>
      </c>
      <c r="I697" s="16">
        <v>1</v>
      </c>
      <c r="J697" s="187">
        <v>2.5</v>
      </c>
      <c r="K697" s="187">
        <v>1.3</v>
      </c>
      <c r="L697" s="187">
        <v>1.5</v>
      </c>
      <c r="M697" s="16">
        <v>1</v>
      </c>
      <c r="N697" s="93" t="s">
        <v>221</v>
      </c>
      <c r="O697" s="93">
        <f t="shared" ref="O697" si="310">ROUND(IF(N697="m3",I697*J697*K697*L697,IF(N697="m2-LxH",I697*J697*L697,IF(N697="m2-LxW",I697*J697*K697,IF(N697="rm",I697*L697,IF(N697="lm",I697*J697,IF(N697="unit",I697,"NA")))))),2)</f>
        <v>1.5</v>
      </c>
      <c r="P697" s="188">
        <v>44942</v>
      </c>
      <c r="Q697" s="188">
        <v>44945</v>
      </c>
      <c r="R697" s="140">
        <v>1</v>
      </c>
      <c r="S697" s="140">
        <v>1</v>
      </c>
      <c r="T697" s="140">
        <v>1</v>
      </c>
      <c r="U697" s="20">
        <f>IF(ISBLANK(Table1[[#This Row],[OHC Date]]),$B$7-Table1[[#This Row],[HOC Date]]+1,Table1[[#This Row],[OHC Date]]-Table1[[#This Row],[HOC Date]]+1)/7</f>
        <v>0.5714285714285714</v>
      </c>
      <c r="V697" s="142">
        <v>63.34</v>
      </c>
      <c r="W697" s="142">
        <v>7.28</v>
      </c>
      <c r="X697" s="21">
        <f>ROUND(0.7*Table1[[#This Row],[E&amp;D Rate per unit]]*R697*Table1[[#This Row],[Quantity]],2)</f>
        <v>66.510000000000005</v>
      </c>
      <c r="Y697" s="21">
        <f t="shared" ref="Y697" si="311">ROUND(O697*U697*W697*S697,2)</f>
        <v>6.24</v>
      </c>
      <c r="Z697" s="21">
        <f>ROUND(0.3*T697*Table1[[#This Row],[E&amp;D Rate per unit]]*Table1[[#This Row],[Quantity]],2)</f>
        <v>28.5</v>
      </c>
      <c r="AA697" s="21">
        <f t="shared" ref="AA697" si="312">ROUND(X697+Z697+Y697,2)</f>
        <v>101.25</v>
      </c>
      <c r="AB697" s="129"/>
      <c r="AC697" s="129">
        <f>Table1[[#This Row],[Total Amount]]-Table1[[#This Row],[Previous Amount]]</f>
        <v>101.25</v>
      </c>
      <c r="AD697" s="153"/>
    </row>
    <row r="698" spans="1:30" ht="30" customHeight="1" x14ac:dyDescent="0.3">
      <c r="A698" s="92" t="s">
        <v>89</v>
      </c>
      <c r="B698" s="92" t="s">
        <v>96</v>
      </c>
      <c r="C698" s="16">
        <v>115</v>
      </c>
      <c r="D698" s="187">
        <v>75843</v>
      </c>
      <c r="E698" s="16"/>
      <c r="F698" s="17" t="s">
        <v>728</v>
      </c>
      <c r="G698" s="17" t="s">
        <v>163</v>
      </c>
      <c r="H698" s="102" t="s">
        <v>118</v>
      </c>
      <c r="I698" s="16">
        <v>1</v>
      </c>
      <c r="J698" s="187">
        <v>11.8</v>
      </c>
      <c r="K698" s="187">
        <v>2.5</v>
      </c>
      <c r="L698" s="187">
        <v>3</v>
      </c>
      <c r="M698" s="16">
        <v>1</v>
      </c>
      <c r="N698" s="93" t="s">
        <v>206</v>
      </c>
      <c r="O698" s="93">
        <f t="shared" ref="O698" si="313">ROUND(IF(N698="m3",I698*J698*K698*L698,IF(N698="m2-LxH",I698*J698*L698,IF(N698="m2-LxW",I698*J698*K698,IF(N698="rm",I698*L698,IF(N698="lm",I698*J698,IF(N698="unit",I698,"NA")))))),2)</f>
        <v>35.4</v>
      </c>
      <c r="P698" s="188">
        <v>44942</v>
      </c>
      <c r="Q698" s="18"/>
      <c r="R698" s="140">
        <v>1</v>
      </c>
      <c r="S698" s="140">
        <v>1</v>
      </c>
      <c r="T698" s="140">
        <v>0</v>
      </c>
      <c r="U698" s="20">
        <f>IF(ISBLANK(Table1[[#This Row],[OHC Date]]),$B$7-Table1[[#This Row],[HOC Date]]+1,Table1[[#This Row],[OHC Date]]-Table1[[#This Row],[HOC Date]]+1)/7</f>
        <v>1.4285714285714286</v>
      </c>
      <c r="V698" s="142">
        <v>16.760000000000002</v>
      </c>
      <c r="W698" s="142">
        <v>0.77</v>
      </c>
      <c r="X698" s="21">
        <f>ROUND(0.7*Table1[[#This Row],[E&amp;D Rate per unit]]*R698*Table1[[#This Row],[Quantity]],2)</f>
        <v>415.31</v>
      </c>
      <c r="Y698" s="21">
        <f t="shared" ref="Y698" si="314">ROUND(O698*U698*W698*S698,2)</f>
        <v>38.94</v>
      </c>
      <c r="Z698" s="21">
        <f>ROUND(0.3*T698*Table1[[#This Row],[E&amp;D Rate per unit]]*Table1[[#This Row],[Quantity]],2)</f>
        <v>0</v>
      </c>
      <c r="AA698" s="21">
        <f t="shared" ref="AA698" si="315">ROUND(X698+Z698+Y698,2)</f>
        <v>454.25</v>
      </c>
      <c r="AB698" s="129"/>
      <c r="AC698" s="129">
        <f>Table1[[#This Row],[Total Amount]]-Table1[[#This Row],[Previous Amount]]</f>
        <v>454.25</v>
      </c>
      <c r="AD698" s="153"/>
    </row>
    <row r="699" spans="1:30" ht="30" customHeight="1" x14ac:dyDescent="0.3">
      <c r="A699" s="92" t="s">
        <v>89</v>
      </c>
      <c r="B699" s="92" t="s">
        <v>96</v>
      </c>
      <c r="C699" s="16" t="s">
        <v>795</v>
      </c>
      <c r="D699" s="187">
        <v>75843</v>
      </c>
      <c r="E699" s="16"/>
      <c r="F699" s="17" t="s">
        <v>728</v>
      </c>
      <c r="G699" s="17" t="s">
        <v>163</v>
      </c>
      <c r="H699" s="16" t="s">
        <v>126</v>
      </c>
      <c r="I699" s="16">
        <v>1</v>
      </c>
      <c r="J699" s="187">
        <v>10</v>
      </c>
      <c r="K699" s="187">
        <v>0.5</v>
      </c>
      <c r="L699" s="187"/>
      <c r="M699" s="16">
        <v>1</v>
      </c>
      <c r="N699" s="93" t="s">
        <v>160</v>
      </c>
      <c r="O699" s="93">
        <f t="shared" ref="O699:O700" si="316">ROUND(IF(N699="m3",I699*J699*K699*L699,IF(N699="m2-LxH",I699*J699*L699,IF(N699="m2-LxW",I699*J699*K699,IF(N699="rm",I699*L699,IF(N699="lm",I699*J699,IF(N699="unit",I699,"NA")))))),2)</f>
        <v>5</v>
      </c>
      <c r="P699" s="188">
        <v>44942</v>
      </c>
      <c r="Q699" s="18"/>
      <c r="R699" s="140">
        <v>1</v>
      </c>
      <c r="S699" s="140">
        <v>1</v>
      </c>
      <c r="T699" s="140">
        <v>0</v>
      </c>
      <c r="U699" s="20">
        <f>IF(ISBLANK(Table1[[#This Row],[OHC Date]]),$B$7-Table1[[#This Row],[HOC Date]]+1,Table1[[#This Row],[OHC Date]]-Table1[[#This Row],[HOC Date]]+1)/7</f>
        <v>1.4285714285714286</v>
      </c>
      <c r="V699" s="142">
        <v>32.75</v>
      </c>
      <c r="W699" s="142">
        <v>1.05</v>
      </c>
      <c r="X699" s="21">
        <f>ROUND(0.7*Table1[[#This Row],[E&amp;D Rate per unit]]*R699*Table1[[#This Row],[Quantity]],2)</f>
        <v>114.63</v>
      </c>
      <c r="Y699" s="21">
        <f t="shared" ref="Y699:Y700" si="317">ROUND(O699*U699*W699*S699,2)</f>
        <v>7.5</v>
      </c>
      <c r="Z699" s="21">
        <f>ROUND(0.3*T699*Table1[[#This Row],[E&amp;D Rate per unit]]*Table1[[#This Row],[Quantity]],2)</f>
        <v>0</v>
      </c>
      <c r="AA699" s="21">
        <f t="shared" ref="AA699:AA700" si="318">ROUND(X699+Z699+Y699,2)</f>
        <v>122.13</v>
      </c>
      <c r="AB699" s="129"/>
      <c r="AC699" s="129">
        <f>Table1[[#This Row],[Total Amount]]-Table1[[#This Row],[Previous Amount]]</f>
        <v>122.13</v>
      </c>
      <c r="AD699" s="153"/>
    </row>
    <row r="700" spans="1:30" ht="30" customHeight="1" x14ac:dyDescent="0.3">
      <c r="A700" s="92" t="s">
        <v>89</v>
      </c>
      <c r="B700" s="92" t="s">
        <v>96</v>
      </c>
      <c r="C700" s="16">
        <v>116</v>
      </c>
      <c r="D700" s="187">
        <v>75844</v>
      </c>
      <c r="E700" s="187">
        <v>80914</v>
      </c>
      <c r="F700" s="17" t="s">
        <v>307</v>
      </c>
      <c r="G700" s="17" t="s">
        <v>163</v>
      </c>
      <c r="H700" s="102" t="s">
        <v>339</v>
      </c>
      <c r="I700" s="16">
        <v>1</v>
      </c>
      <c r="J700" s="187">
        <v>20</v>
      </c>
      <c r="K700" s="16"/>
      <c r="L700" s="16">
        <v>1.5</v>
      </c>
      <c r="M700" s="16">
        <v>1</v>
      </c>
      <c r="N700" s="93" t="s">
        <v>283</v>
      </c>
      <c r="O700" s="93">
        <f t="shared" si="316"/>
        <v>20</v>
      </c>
      <c r="P700" s="188">
        <v>44943</v>
      </c>
      <c r="Q700" s="188">
        <v>44944</v>
      </c>
      <c r="R700" s="140">
        <v>1</v>
      </c>
      <c r="S700" s="140">
        <v>1</v>
      </c>
      <c r="T700" s="140">
        <v>1</v>
      </c>
      <c r="U700" s="20">
        <f>IF(ISBLANK(Table1[[#This Row],[OHC Date]]),$B$7-Table1[[#This Row],[HOC Date]]+1,Table1[[#This Row],[OHC Date]]-Table1[[#This Row],[HOC Date]]+1)/7</f>
        <v>0.2857142857142857</v>
      </c>
      <c r="V700" s="107">
        <v>15</v>
      </c>
      <c r="W700" s="107">
        <v>0.91</v>
      </c>
      <c r="X700" s="21">
        <f>ROUND(0.7*Table1[[#This Row],[E&amp;D Rate per unit]]*R700*Table1[[#This Row],[Quantity]],2)</f>
        <v>210</v>
      </c>
      <c r="Y700" s="21">
        <f t="shared" si="317"/>
        <v>5.2</v>
      </c>
      <c r="Z700" s="21">
        <f>ROUND(0.3*T700*Table1[[#This Row],[E&amp;D Rate per unit]]*Table1[[#This Row],[Quantity]],2)</f>
        <v>90</v>
      </c>
      <c r="AA700" s="21">
        <f t="shared" si="318"/>
        <v>305.2</v>
      </c>
      <c r="AB700" s="129"/>
      <c r="AC700" s="129">
        <f>Table1[[#This Row],[Total Amount]]-Table1[[#This Row],[Previous Amount]]</f>
        <v>305.2</v>
      </c>
      <c r="AD700" s="153"/>
    </row>
    <row r="701" spans="1:30" ht="30" customHeight="1" x14ac:dyDescent="0.3">
      <c r="A701" s="92" t="s">
        <v>89</v>
      </c>
      <c r="B701" s="92" t="s">
        <v>96</v>
      </c>
      <c r="C701" s="16">
        <v>117</v>
      </c>
      <c r="D701" s="187">
        <v>75845</v>
      </c>
      <c r="E701" s="16"/>
      <c r="F701" s="17" t="s">
        <v>740</v>
      </c>
      <c r="G701" s="17" t="s">
        <v>261</v>
      </c>
      <c r="H701" s="102" t="s">
        <v>118</v>
      </c>
      <c r="I701" s="16">
        <v>1</v>
      </c>
      <c r="J701" s="187">
        <v>8</v>
      </c>
      <c r="K701" s="187">
        <v>2.5</v>
      </c>
      <c r="L701" s="187">
        <v>1.5</v>
      </c>
      <c r="M701" s="16">
        <v>1</v>
      </c>
      <c r="N701" s="93" t="s">
        <v>206</v>
      </c>
      <c r="O701" s="93">
        <f t="shared" ref="O701:O702" si="319">ROUND(IF(N701="m3",I701*J701*K701*L701,IF(N701="m2-LxH",I701*J701*L701,IF(N701="m2-LxW",I701*J701*K701,IF(N701="rm",I701*L701,IF(N701="lm",I701*J701,IF(N701="unit",I701,"NA")))))),2)</f>
        <v>12</v>
      </c>
      <c r="P701" s="188">
        <v>44944</v>
      </c>
      <c r="Q701" s="18"/>
      <c r="R701" s="140">
        <v>1</v>
      </c>
      <c r="S701" s="140">
        <v>1</v>
      </c>
      <c r="T701" s="140">
        <v>0</v>
      </c>
      <c r="U701" s="20">
        <f>IF(ISBLANK(Table1[[#This Row],[OHC Date]]),$B$7-Table1[[#This Row],[HOC Date]]+1,Table1[[#This Row],[OHC Date]]-Table1[[#This Row],[HOC Date]]+1)/7</f>
        <v>1.1428571428571428</v>
      </c>
      <c r="V701" s="142">
        <v>16.760000000000002</v>
      </c>
      <c r="W701" s="142">
        <v>0.77</v>
      </c>
      <c r="X701" s="21">
        <f>ROUND(0.7*Table1[[#This Row],[E&amp;D Rate per unit]]*R701*Table1[[#This Row],[Quantity]],2)</f>
        <v>140.78</v>
      </c>
      <c r="Y701" s="21">
        <f t="shared" ref="Y701:Y702" si="320">ROUND(O701*U701*W701*S701,2)</f>
        <v>10.56</v>
      </c>
      <c r="Z701" s="21">
        <f>ROUND(0.3*T701*Table1[[#This Row],[E&amp;D Rate per unit]]*Table1[[#This Row],[Quantity]],2)</f>
        <v>0</v>
      </c>
      <c r="AA701" s="21">
        <f t="shared" ref="AA701:AA702" si="321">ROUND(X701+Z701+Y701,2)</f>
        <v>151.34</v>
      </c>
      <c r="AB701" s="129"/>
      <c r="AC701" s="129">
        <f>Table1[[#This Row],[Total Amount]]-Table1[[#This Row],[Previous Amount]]</f>
        <v>151.34</v>
      </c>
      <c r="AD701" s="153"/>
    </row>
    <row r="702" spans="1:30" ht="30" customHeight="1" x14ac:dyDescent="0.3">
      <c r="A702" s="92" t="s">
        <v>89</v>
      </c>
      <c r="B702" s="92" t="s">
        <v>96</v>
      </c>
      <c r="C702" s="16" t="s">
        <v>813</v>
      </c>
      <c r="D702" s="187">
        <v>75845</v>
      </c>
      <c r="E702" s="16"/>
      <c r="F702" s="17" t="s">
        <v>740</v>
      </c>
      <c r="G702" s="17" t="s">
        <v>261</v>
      </c>
      <c r="H702" s="16" t="s">
        <v>126</v>
      </c>
      <c r="I702" s="16">
        <v>1</v>
      </c>
      <c r="J702" s="187">
        <v>8</v>
      </c>
      <c r="K702" s="187">
        <v>0.5</v>
      </c>
      <c r="L702" s="187"/>
      <c r="M702" s="16">
        <v>1</v>
      </c>
      <c r="N702" s="93" t="s">
        <v>160</v>
      </c>
      <c r="O702" s="93">
        <f t="shared" si="319"/>
        <v>4</v>
      </c>
      <c r="P702" s="188">
        <v>44944</v>
      </c>
      <c r="Q702" s="18"/>
      <c r="R702" s="140">
        <v>1</v>
      </c>
      <c r="S702" s="140">
        <v>1</v>
      </c>
      <c r="T702" s="140">
        <v>0</v>
      </c>
      <c r="U702" s="20">
        <f>IF(ISBLANK(Table1[[#This Row],[OHC Date]]),$B$7-Table1[[#This Row],[HOC Date]]+1,Table1[[#This Row],[OHC Date]]-Table1[[#This Row],[HOC Date]]+1)/7</f>
        <v>1.1428571428571428</v>
      </c>
      <c r="V702" s="142">
        <v>32.75</v>
      </c>
      <c r="W702" s="142">
        <v>1.05</v>
      </c>
      <c r="X702" s="21">
        <f>ROUND(0.7*Table1[[#This Row],[E&amp;D Rate per unit]]*R702*Table1[[#This Row],[Quantity]],2)</f>
        <v>91.7</v>
      </c>
      <c r="Y702" s="21">
        <f t="shared" si="320"/>
        <v>4.8</v>
      </c>
      <c r="Z702" s="21">
        <f>ROUND(0.3*T702*Table1[[#This Row],[E&amp;D Rate per unit]]*Table1[[#This Row],[Quantity]],2)</f>
        <v>0</v>
      </c>
      <c r="AA702" s="21">
        <f t="shared" si="321"/>
        <v>96.5</v>
      </c>
      <c r="AB702" s="129"/>
      <c r="AC702" s="129">
        <f>Table1[[#This Row],[Total Amount]]-Table1[[#This Row],[Previous Amount]]</f>
        <v>96.5</v>
      </c>
      <c r="AD702" s="153"/>
    </row>
    <row r="703" spans="1:30" ht="30" customHeight="1" x14ac:dyDescent="0.3">
      <c r="A703" s="92" t="s">
        <v>89</v>
      </c>
      <c r="B703" s="92" t="s">
        <v>96</v>
      </c>
      <c r="C703" s="16" t="s">
        <v>814</v>
      </c>
      <c r="D703" s="187">
        <v>75846</v>
      </c>
      <c r="E703" s="16"/>
      <c r="F703" s="17" t="s">
        <v>740</v>
      </c>
      <c r="G703" s="17" t="s">
        <v>163</v>
      </c>
      <c r="H703" s="102" t="s">
        <v>127</v>
      </c>
      <c r="I703" s="16">
        <v>1</v>
      </c>
      <c r="J703" s="187">
        <v>4</v>
      </c>
      <c r="K703" s="187">
        <v>1</v>
      </c>
      <c r="L703" s="187"/>
      <c r="M703" s="16">
        <v>1</v>
      </c>
      <c r="N703" s="93" t="s">
        <v>160</v>
      </c>
      <c r="O703" s="93">
        <f t="shared" ref="O703:O704" si="322">ROUND(IF(N703="m3",I703*J703*K703*L703,IF(N703="m2-LxH",I703*J703*L703,IF(N703="m2-LxW",I703*J703*K703,IF(N703="rm",I703*L703,IF(N703="lm",I703*J703,IF(N703="unit",I703,"NA")))))),2)</f>
        <v>4</v>
      </c>
      <c r="P703" s="188">
        <v>44944</v>
      </c>
      <c r="Q703" s="18"/>
      <c r="R703" s="140">
        <v>1</v>
      </c>
      <c r="S703" s="140">
        <v>1</v>
      </c>
      <c r="T703" s="140">
        <v>0</v>
      </c>
      <c r="U703" s="20">
        <f>IF(ISBLANK(Table1[[#This Row],[OHC Date]]),$B$7-Table1[[#This Row],[HOC Date]]+1,Table1[[#This Row],[OHC Date]]-Table1[[#This Row],[HOC Date]]+1)/7</f>
        <v>1.1428571428571428</v>
      </c>
      <c r="V703" s="142">
        <v>36.520000000000003</v>
      </c>
      <c r="W703" s="142">
        <v>2.94</v>
      </c>
      <c r="X703" s="21">
        <f>ROUND(0.7*Table1[[#This Row],[E&amp;D Rate per unit]]*R703*Table1[[#This Row],[Quantity]],2)</f>
        <v>102.26</v>
      </c>
      <c r="Y703" s="21">
        <f t="shared" ref="Y703:Y704" si="323">ROUND(O703*U703*W703*S703,2)</f>
        <v>13.44</v>
      </c>
      <c r="Z703" s="21">
        <f>ROUND(0.3*T703*Table1[[#This Row],[E&amp;D Rate per unit]]*Table1[[#This Row],[Quantity]],2)</f>
        <v>0</v>
      </c>
      <c r="AA703" s="21">
        <f t="shared" ref="AA703:AA704" si="324">ROUND(X703+Z703+Y703,2)</f>
        <v>115.7</v>
      </c>
      <c r="AB703" s="129"/>
      <c r="AC703" s="129">
        <f>Table1[[#This Row],[Total Amount]]-Table1[[#This Row],[Previous Amount]]</f>
        <v>115.7</v>
      </c>
      <c r="AD703" s="153"/>
    </row>
    <row r="704" spans="1:30" ht="30" customHeight="1" x14ac:dyDescent="0.3">
      <c r="A704" s="92" t="s">
        <v>89</v>
      </c>
      <c r="B704" s="92" t="s">
        <v>96</v>
      </c>
      <c r="C704" s="16">
        <v>118</v>
      </c>
      <c r="D704" s="187">
        <v>75847</v>
      </c>
      <c r="E704" s="16"/>
      <c r="F704" s="17" t="s">
        <v>307</v>
      </c>
      <c r="G704" s="17" t="s">
        <v>163</v>
      </c>
      <c r="H704" s="102" t="s">
        <v>339</v>
      </c>
      <c r="I704" s="16">
        <v>1</v>
      </c>
      <c r="J704" s="187">
        <v>20</v>
      </c>
      <c r="K704" s="16"/>
      <c r="L704" s="16">
        <v>1.5</v>
      </c>
      <c r="M704" s="16">
        <v>1</v>
      </c>
      <c r="N704" s="93" t="s">
        <v>283</v>
      </c>
      <c r="O704" s="93">
        <f t="shared" si="322"/>
        <v>20</v>
      </c>
      <c r="P704" s="188">
        <v>44944</v>
      </c>
      <c r="Q704" s="18"/>
      <c r="R704" s="140">
        <v>1</v>
      </c>
      <c r="S704" s="140">
        <v>1</v>
      </c>
      <c r="T704" s="140">
        <v>0</v>
      </c>
      <c r="U704" s="20">
        <f>IF(ISBLANK(Table1[[#This Row],[OHC Date]]),$B$7-Table1[[#This Row],[HOC Date]]+1,Table1[[#This Row],[OHC Date]]-Table1[[#This Row],[HOC Date]]+1)/7</f>
        <v>1.1428571428571428</v>
      </c>
      <c r="V704" s="107">
        <v>15</v>
      </c>
      <c r="W704" s="107">
        <v>0.91</v>
      </c>
      <c r="X704" s="21">
        <f>ROUND(0.7*Table1[[#This Row],[E&amp;D Rate per unit]]*R704*Table1[[#This Row],[Quantity]],2)</f>
        <v>210</v>
      </c>
      <c r="Y704" s="21">
        <f t="shared" si="323"/>
        <v>20.8</v>
      </c>
      <c r="Z704" s="21">
        <f>ROUND(0.3*T704*Table1[[#This Row],[E&amp;D Rate per unit]]*Table1[[#This Row],[Quantity]],2)</f>
        <v>0</v>
      </c>
      <c r="AA704" s="21">
        <f t="shared" si="324"/>
        <v>230.8</v>
      </c>
      <c r="AB704" s="129"/>
      <c r="AC704" s="129">
        <f>Table1[[#This Row],[Total Amount]]-Table1[[#This Row],[Previous Amount]]</f>
        <v>230.8</v>
      </c>
      <c r="AD704" s="153"/>
    </row>
    <row r="705" spans="1:30" ht="30" customHeight="1" x14ac:dyDescent="0.3">
      <c r="A705" s="92" t="s">
        <v>89</v>
      </c>
      <c r="B705" s="92" t="s">
        <v>96</v>
      </c>
      <c r="C705" s="16">
        <v>119</v>
      </c>
      <c r="D705" s="187">
        <v>75848</v>
      </c>
      <c r="E705" s="16"/>
      <c r="F705" s="17" t="s">
        <v>744</v>
      </c>
      <c r="G705" s="17" t="s">
        <v>159</v>
      </c>
      <c r="H705" s="151" t="s">
        <v>220</v>
      </c>
      <c r="I705" s="16">
        <v>1</v>
      </c>
      <c r="J705" s="187">
        <v>2.5</v>
      </c>
      <c r="K705" s="187">
        <v>1.3</v>
      </c>
      <c r="L705" s="187">
        <v>1.3</v>
      </c>
      <c r="M705" s="16">
        <v>1</v>
      </c>
      <c r="N705" s="93" t="s">
        <v>221</v>
      </c>
      <c r="O705" s="93">
        <f t="shared" ref="O705" si="325">ROUND(IF(N705="m3",I705*J705*K705*L705,IF(N705="m2-LxH",I705*J705*L705,IF(N705="m2-LxW",I705*J705*K705,IF(N705="rm",I705*L705,IF(N705="lm",I705*J705,IF(N705="unit",I705,"NA")))))),2)</f>
        <v>1.3</v>
      </c>
      <c r="P705" s="188">
        <v>44944</v>
      </c>
      <c r="Q705" s="18"/>
      <c r="R705" s="140">
        <v>1</v>
      </c>
      <c r="S705" s="140">
        <v>1</v>
      </c>
      <c r="T705" s="140">
        <v>0</v>
      </c>
      <c r="U705" s="20">
        <f>IF(ISBLANK(Table1[[#This Row],[OHC Date]]),$B$7-Table1[[#This Row],[HOC Date]]+1,Table1[[#This Row],[OHC Date]]-Table1[[#This Row],[HOC Date]]+1)/7</f>
        <v>1.1428571428571428</v>
      </c>
      <c r="V705" s="107">
        <v>63.34</v>
      </c>
      <c r="W705" s="107">
        <v>7.28</v>
      </c>
      <c r="X705" s="21">
        <f>ROUND(0.7*Table1[[#This Row],[E&amp;D Rate per unit]]*R705*Table1[[#This Row],[Quantity]],2)</f>
        <v>57.64</v>
      </c>
      <c r="Y705" s="21">
        <f t="shared" ref="Y705" si="326">ROUND(O705*U705*W705*S705,2)</f>
        <v>10.82</v>
      </c>
      <c r="Z705" s="21">
        <f>ROUND(0.3*T705*Table1[[#This Row],[E&amp;D Rate per unit]]*Table1[[#This Row],[Quantity]],2)</f>
        <v>0</v>
      </c>
      <c r="AA705" s="21">
        <f t="shared" ref="AA705" si="327">ROUND(X705+Z705+Y705,2)</f>
        <v>68.459999999999994</v>
      </c>
      <c r="AB705" s="129"/>
      <c r="AC705" s="129">
        <f>Table1[[#This Row],[Total Amount]]-Table1[[#This Row],[Previous Amount]]</f>
        <v>68.459999999999994</v>
      </c>
      <c r="AD705" s="153"/>
    </row>
    <row r="706" spans="1:30" ht="30" customHeight="1" x14ac:dyDescent="0.3">
      <c r="A706" s="92" t="s">
        <v>89</v>
      </c>
      <c r="B706" s="92" t="s">
        <v>96</v>
      </c>
      <c r="C706" s="16" t="s">
        <v>518</v>
      </c>
      <c r="D706" s="187">
        <v>75848</v>
      </c>
      <c r="E706" s="16"/>
      <c r="F706" s="17" t="s">
        <v>744</v>
      </c>
      <c r="G706" s="17" t="s">
        <v>159</v>
      </c>
      <c r="H706" s="102" t="s">
        <v>127</v>
      </c>
      <c r="I706" s="16">
        <v>1</v>
      </c>
      <c r="J706" s="187">
        <v>2</v>
      </c>
      <c r="K706" s="187">
        <v>0.75</v>
      </c>
      <c r="L706" s="187"/>
      <c r="M706" s="16">
        <v>1</v>
      </c>
      <c r="N706" s="93" t="s">
        <v>160</v>
      </c>
      <c r="O706" s="93">
        <f t="shared" ref="O706" si="328">ROUND(IF(N706="m3",I706*J706*K706*L706,IF(N706="m2-LxH",I706*J706*L706,IF(N706="m2-LxW",I706*J706*K706,IF(N706="rm",I706*L706,IF(N706="lm",I706*J706,IF(N706="unit",I706,"NA")))))),2)</f>
        <v>1.5</v>
      </c>
      <c r="P706" s="188">
        <v>44944</v>
      </c>
      <c r="Q706" s="18"/>
      <c r="R706" s="140">
        <v>1</v>
      </c>
      <c r="S706" s="140">
        <v>1</v>
      </c>
      <c r="T706" s="140">
        <v>0</v>
      </c>
      <c r="U706" s="20">
        <f>IF(ISBLANK(Table1[[#This Row],[OHC Date]]),$B$7-Table1[[#This Row],[HOC Date]]+1,Table1[[#This Row],[OHC Date]]-Table1[[#This Row],[HOC Date]]+1)/7</f>
        <v>1.1428571428571428</v>
      </c>
      <c r="V706" s="142">
        <v>36.520000000000003</v>
      </c>
      <c r="W706" s="142">
        <v>2.94</v>
      </c>
      <c r="X706" s="21">
        <f>ROUND(0.7*Table1[[#This Row],[E&amp;D Rate per unit]]*R706*Table1[[#This Row],[Quantity]],2)</f>
        <v>38.35</v>
      </c>
      <c r="Y706" s="21">
        <f t="shared" ref="Y706" si="329">ROUND(O706*U706*W706*S706,2)</f>
        <v>5.04</v>
      </c>
      <c r="Z706" s="21">
        <f>ROUND(0.3*T706*Table1[[#This Row],[E&amp;D Rate per unit]]*Table1[[#This Row],[Quantity]],2)</f>
        <v>0</v>
      </c>
      <c r="AA706" s="21">
        <f t="shared" ref="AA706" si="330">ROUND(X706+Z706+Y706,2)</f>
        <v>43.39</v>
      </c>
      <c r="AB706" s="129"/>
      <c r="AC706" s="129">
        <f>Table1[[#This Row],[Total Amount]]-Table1[[#This Row],[Previous Amount]]</f>
        <v>43.39</v>
      </c>
      <c r="AD706" s="153"/>
    </row>
    <row r="707" spans="1:30" ht="30" customHeight="1" x14ac:dyDescent="0.3">
      <c r="A707" s="92" t="s">
        <v>89</v>
      </c>
      <c r="B707" s="92" t="s">
        <v>96</v>
      </c>
      <c r="C707" s="16" t="s">
        <v>815</v>
      </c>
      <c r="D707" s="187">
        <v>75849</v>
      </c>
      <c r="E707" s="16"/>
      <c r="F707" s="17" t="s">
        <v>799</v>
      </c>
      <c r="G707" s="17" t="s">
        <v>163</v>
      </c>
      <c r="H707" s="151" t="s">
        <v>176</v>
      </c>
      <c r="I707" s="187">
        <v>2</v>
      </c>
      <c r="J707" s="187">
        <v>22.5</v>
      </c>
      <c r="K707" s="187">
        <v>1.8</v>
      </c>
      <c r="L707" s="16"/>
      <c r="M707" s="16">
        <v>2</v>
      </c>
      <c r="N707" s="93" t="s">
        <v>160</v>
      </c>
      <c r="O707" s="93">
        <f t="shared" ref="O707" si="331">ROUND(IF(N707="m3",I707*J707*K707*L707,IF(N707="m2-LxH",I707*J707*L707,IF(N707="m2-LxW",I707*J707*K707,IF(N707="rm",I707*L707,IF(N707="lm",I707*J707,IF(N707="unit",I707,"NA")))))),2)</f>
        <v>81</v>
      </c>
      <c r="P707" s="188">
        <v>44944</v>
      </c>
      <c r="Q707" s="18"/>
      <c r="R707" s="140">
        <v>1</v>
      </c>
      <c r="S707" s="140">
        <v>1</v>
      </c>
      <c r="T707" s="140">
        <v>0</v>
      </c>
      <c r="U707" s="20">
        <f>IF(ISBLANK(Table1[[#This Row],[OHC Date]]),$B$7-Table1[[#This Row],[HOC Date]]+1,Table1[[#This Row],[OHC Date]]-Table1[[#This Row],[HOC Date]]+1)/7</f>
        <v>1.1428571428571428</v>
      </c>
      <c r="V707" s="142">
        <v>6.63</v>
      </c>
      <c r="W707" s="142">
        <v>0.7</v>
      </c>
      <c r="X707" s="21">
        <f>ROUND(0.7*Table1[[#This Row],[E&amp;D Rate per unit]]*R707*Table1[[#This Row],[Quantity]],2)</f>
        <v>375.92</v>
      </c>
      <c r="Y707" s="21">
        <f t="shared" ref="Y707" si="332">ROUND(O707*U707*W707*S707,2)</f>
        <v>64.8</v>
      </c>
      <c r="Z707" s="21">
        <f>ROUND(0.3*T707*Table1[[#This Row],[E&amp;D Rate per unit]]*Table1[[#This Row],[Quantity]],2)</f>
        <v>0</v>
      </c>
      <c r="AA707" s="21">
        <f t="shared" ref="AA707" si="333">ROUND(X707+Z707+Y707,2)</f>
        <v>440.72</v>
      </c>
      <c r="AB707" s="129"/>
      <c r="AC707" s="129">
        <f>Table1[[#This Row],[Total Amount]]-Table1[[#This Row],[Previous Amount]]</f>
        <v>440.72</v>
      </c>
      <c r="AD707" s="153"/>
    </row>
    <row r="708" spans="1:30" ht="30" customHeight="1" x14ac:dyDescent="0.3">
      <c r="A708" s="92" t="s">
        <v>89</v>
      </c>
      <c r="B708" s="92" t="s">
        <v>96</v>
      </c>
      <c r="C708" s="16">
        <v>120</v>
      </c>
      <c r="D708" s="187">
        <v>75850</v>
      </c>
      <c r="E708" s="16"/>
      <c r="F708" s="17" t="s">
        <v>816</v>
      </c>
      <c r="G708" s="17" t="s">
        <v>661</v>
      </c>
      <c r="H708" s="148" t="s">
        <v>119</v>
      </c>
      <c r="I708" s="16">
        <v>1</v>
      </c>
      <c r="J708" s="187">
        <v>19.3</v>
      </c>
      <c r="K708" s="187">
        <v>6</v>
      </c>
      <c r="L708" s="187">
        <v>3.5</v>
      </c>
      <c r="M708" s="16">
        <v>1</v>
      </c>
      <c r="N708" s="93" t="s">
        <v>224</v>
      </c>
      <c r="O708" s="93">
        <f t="shared" ref="O708" si="334">ROUND(IF(N708="m3",I708*J708*K708*L708,IF(N708="m2-LxH",I708*J708*L708,IF(N708="m2-LxW",I708*J708*K708,IF(N708="rm",I708*L708,IF(N708="lm",I708*J708,IF(N708="unit",I708,"NA")))))),2)</f>
        <v>405.3</v>
      </c>
      <c r="P708" s="188">
        <v>44945</v>
      </c>
      <c r="Q708" s="18"/>
      <c r="R708" s="140">
        <v>1</v>
      </c>
      <c r="S708" s="140">
        <v>1</v>
      </c>
      <c r="T708" s="140">
        <v>0</v>
      </c>
      <c r="U708" s="20">
        <f>IF(ISBLANK(Table1[[#This Row],[OHC Date]]),$B$7-Table1[[#This Row],[HOC Date]]+1,Table1[[#This Row],[OHC Date]]-Table1[[#This Row],[HOC Date]]+1)/7</f>
        <v>1</v>
      </c>
      <c r="V708" s="142">
        <v>7.08</v>
      </c>
      <c r="W708" s="142">
        <v>0.49</v>
      </c>
      <c r="X708" s="21">
        <f>ROUND(0.7*Table1[[#This Row],[E&amp;D Rate per unit]]*R708*Table1[[#This Row],[Quantity]],2)</f>
        <v>2008.67</v>
      </c>
      <c r="Y708" s="21">
        <f t="shared" ref="Y708" si="335">ROUND(O708*U708*W708*S708,2)</f>
        <v>198.6</v>
      </c>
      <c r="Z708" s="21">
        <f>ROUND(0.3*T708*Table1[[#This Row],[E&amp;D Rate per unit]]*Table1[[#This Row],[Quantity]],2)</f>
        <v>0</v>
      </c>
      <c r="AA708" s="21">
        <f t="shared" ref="AA708" si="336">ROUND(X708+Z708+Y708,2)</f>
        <v>2207.27</v>
      </c>
      <c r="AB708" s="129"/>
      <c r="AC708" s="129">
        <f>Table1[[#This Row],[Total Amount]]-Table1[[#This Row],[Previous Amount]]</f>
        <v>2207.27</v>
      </c>
      <c r="AD708" s="153"/>
    </row>
    <row r="709" spans="1:30" ht="30" customHeight="1" x14ac:dyDescent="0.3">
      <c r="A709" s="16" t="s">
        <v>817</v>
      </c>
      <c r="B709" s="92" t="s">
        <v>96</v>
      </c>
      <c r="C709" s="16" t="s">
        <v>818</v>
      </c>
      <c r="D709" s="187">
        <v>75901</v>
      </c>
      <c r="E709" s="16"/>
      <c r="F709" s="17" t="s">
        <v>819</v>
      </c>
      <c r="G709" s="17" t="s">
        <v>163</v>
      </c>
      <c r="H709" s="151" t="s">
        <v>820</v>
      </c>
      <c r="I709" s="16">
        <v>1</v>
      </c>
      <c r="J709" s="187">
        <v>2.5</v>
      </c>
      <c r="K709" s="187">
        <v>1.3</v>
      </c>
      <c r="L709" s="187">
        <v>5.5</v>
      </c>
      <c r="M709" s="16">
        <v>1</v>
      </c>
      <c r="N709" s="93" t="s">
        <v>56</v>
      </c>
      <c r="O709" s="93">
        <f t="shared" ref="O709" si="337">ROUND(IF(N709="m3",I709*J709*K709*L709,IF(N709="m2-LxH",I709*J709*L709,IF(N709="m2-LxW",I709*J709*K709,IF(N709="rm",I709*L709,IF(N709="lm",I709*J709,IF(N709="unit",I709,"NA")))))),2)</f>
        <v>1</v>
      </c>
      <c r="P709" s="188">
        <v>44945</v>
      </c>
      <c r="Q709" s="18"/>
      <c r="R709" s="140">
        <v>1</v>
      </c>
      <c r="S709" s="140">
        <v>1</v>
      </c>
      <c r="T709" s="140">
        <v>0</v>
      </c>
      <c r="U709" s="20">
        <f>IF(ISBLANK(Table1[[#This Row],[OHC Date]]),$B$7-Table1[[#This Row],[HOC Date]]+1,Table1[[#This Row],[OHC Date]]-Table1[[#This Row],[HOC Date]]+1)/7</f>
        <v>1</v>
      </c>
      <c r="V709" s="142">
        <v>4805.88</v>
      </c>
      <c r="W709" s="142">
        <v>212.24</v>
      </c>
      <c r="X709" s="21">
        <f>ROUND(0.7*Table1[[#This Row],[E&amp;D Rate per unit]]*R709*Table1[[#This Row],[Quantity]],2)</f>
        <v>3364.12</v>
      </c>
      <c r="Y709" s="21">
        <f t="shared" ref="Y709" si="338">ROUND(O709*U709*W709*S709,2)</f>
        <v>212.24</v>
      </c>
      <c r="Z709" s="21">
        <f>ROUND(0.3*T709*Table1[[#This Row],[E&amp;D Rate per unit]]*Table1[[#This Row],[Quantity]],2)</f>
        <v>0</v>
      </c>
      <c r="AA709" s="21">
        <f t="shared" ref="AA709" si="339">ROUND(X709+Z709+Y709,2)</f>
        <v>3576.36</v>
      </c>
      <c r="AB709" s="129"/>
      <c r="AC709" s="129">
        <f>Table1[[#This Row],[Total Amount]]-Table1[[#This Row],[Previous Amount]]</f>
        <v>3576.36</v>
      </c>
      <c r="AD709" s="153" t="s">
        <v>821</v>
      </c>
    </row>
    <row r="710" spans="1:30" ht="30" customHeight="1" x14ac:dyDescent="0.3">
      <c r="A710" s="92" t="s">
        <v>89</v>
      </c>
      <c r="B710" s="92" t="s">
        <v>96</v>
      </c>
      <c r="C710" s="16" t="s">
        <v>822</v>
      </c>
      <c r="D710" s="187">
        <v>75902</v>
      </c>
      <c r="E710" s="16"/>
      <c r="F710" s="17" t="s">
        <v>744</v>
      </c>
      <c r="G710" s="17" t="s">
        <v>163</v>
      </c>
      <c r="H710" s="102" t="s">
        <v>127</v>
      </c>
      <c r="I710" s="16">
        <v>1</v>
      </c>
      <c r="J710" s="187">
        <v>1.5</v>
      </c>
      <c r="K710" s="187">
        <v>1</v>
      </c>
      <c r="L710" s="187"/>
      <c r="M710" s="16">
        <v>1</v>
      </c>
      <c r="N710" s="93" t="s">
        <v>160</v>
      </c>
      <c r="O710" s="93">
        <f t="shared" ref="O710:O718" si="340">ROUND(IF(N710="m3",I710*J710*K710*L710,IF(N710="m2-LxH",I710*J710*L710,IF(N710="m2-LxW",I710*J710*K710,IF(N710="rm",I710*L710,IF(N710="lm",I710*J710,IF(N710="unit",I710,"NA")))))),2)</f>
        <v>1.5</v>
      </c>
      <c r="P710" s="188">
        <v>44945</v>
      </c>
      <c r="Q710" s="18"/>
      <c r="R710" s="140">
        <v>1</v>
      </c>
      <c r="S710" s="140">
        <v>1</v>
      </c>
      <c r="T710" s="140">
        <v>0</v>
      </c>
      <c r="U710" s="20">
        <f>IF(ISBLANK(Table1[[#This Row],[OHC Date]]),$B$7-Table1[[#This Row],[HOC Date]]+1,Table1[[#This Row],[OHC Date]]-Table1[[#This Row],[HOC Date]]+1)/7</f>
        <v>1</v>
      </c>
      <c r="V710" s="142">
        <v>36.520000000000003</v>
      </c>
      <c r="W710" s="142">
        <v>2.94</v>
      </c>
      <c r="X710" s="21">
        <f>ROUND(0.7*Table1[[#This Row],[E&amp;D Rate per unit]]*R710*Table1[[#This Row],[Quantity]],2)</f>
        <v>38.35</v>
      </c>
      <c r="Y710" s="21">
        <f t="shared" ref="Y710:Y718" si="341">ROUND(O710*U710*W710*S710,2)</f>
        <v>4.41</v>
      </c>
      <c r="Z710" s="21">
        <f>ROUND(0.3*T710*Table1[[#This Row],[E&amp;D Rate per unit]]*Table1[[#This Row],[Quantity]],2)</f>
        <v>0</v>
      </c>
      <c r="AA710" s="21">
        <f t="shared" ref="AA710:AA718" si="342">ROUND(X710+Z710+Y710,2)</f>
        <v>42.76</v>
      </c>
      <c r="AB710" s="129"/>
      <c r="AC710" s="129">
        <f>Table1[[#This Row],[Total Amount]]-Table1[[#This Row],[Previous Amount]]</f>
        <v>42.76</v>
      </c>
      <c r="AD710" s="153"/>
    </row>
    <row r="711" spans="1:30" ht="30" customHeight="1" x14ac:dyDescent="0.3">
      <c r="A711" s="92" t="s">
        <v>89</v>
      </c>
      <c r="B711" s="92" t="s">
        <v>96</v>
      </c>
      <c r="C711" s="151">
        <v>210</v>
      </c>
      <c r="D711" s="187">
        <v>75856</v>
      </c>
      <c r="E711" s="187">
        <v>80893</v>
      </c>
      <c r="F711" s="17" t="s">
        <v>811</v>
      </c>
      <c r="G711" s="17" t="s">
        <v>200</v>
      </c>
      <c r="H711" s="16" t="s">
        <v>119</v>
      </c>
      <c r="I711" s="187">
        <v>1</v>
      </c>
      <c r="J711" s="187">
        <v>5</v>
      </c>
      <c r="K711" s="187">
        <v>3.8</v>
      </c>
      <c r="L711" s="187">
        <v>12.2</v>
      </c>
      <c r="M711" s="187">
        <v>1</v>
      </c>
      <c r="N711" s="93" t="s">
        <v>224</v>
      </c>
      <c r="O711" s="93">
        <f t="shared" si="340"/>
        <v>231.8</v>
      </c>
      <c r="P711" s="188">
        <v>44945</v>
      </c>
      <c r="Q711" s="188">
        <v>44947</v>
      </c>
      <c r="R711" s="140">
        <v>1</v>
      </c>
      <c r="S711" s="140">
        <v>1</v>
      </c>
      <c r="T711" s="140">
        <v>1</v>
      </c>
      <c r="U711" s="20">
        <f>IF(ISBLANK(Table1[[#This Row],[OHC Date]]),$B$7-Table1[[#This Row],[HOC Date]]+1,Table1[[#This Row],[OHC Date]]-Table1[[#This Row],[HOC Date]]+1)/7</f>
        <v>0.42857142857142855</v>
      </c>
      <c r="V711" s="142">
        <v>7.08</v>
      </c>
      <c r="W711" s="142">
        <v>0.49</v>
      </c>
      <c r="X711" s="21">
        <f>ROUND(0.7*Table1[[#This Row],[E&amp;D Rate per unit]]*R711*Table1[[#This Row],[Quantity]],2)</f>
        <v>1148.8</v>
      </c>
      <c r="Y711" s="21">
        <f t="shared" si="341"/>
        <v>48.68</v>
      </c>
      <c r="Z711" s="21">
        <f>ROUND(0.3*T711*Table1[[#This Row],[E&amp;D Rate per unit]]*Table1[[#This Row],[Quantity]],2)</f>
        <v>492.34</v>
      </c>
      <c r="AA711" s="21">
        <f t="shared" si="342"/>
        <v>1689.82</v>
      </c>
      <c r="AB711" s="129"/>
      <c r="AC711" s="129">
        <f>Table1[[#This Row],[Total Amount]]-Table1[[#This Row],[Previous Amount]]</f>
        <v>1689.82</v>
      </c>
      <c r="AD711" s="153"/>
    </row>
    <row r="712" spans="1:30" ht="30" customHeight="1" x14ac:dyDescent="0.3">
      <c r="A712" s="92" t="s">
        <v>89</v>
      </c>
      <c r="B712" s="92" t="s">
        <v>96</v>
      </c>
      <c r="C712" s="148">
        <v>210</v>
      </c>
      <c r="D712" s="187">
        <v>75856</v>
      </c>
      <c r="E712" s="187">
        <v>80893</v>
      </c>
      <c r="F712" s="17" t="s">
        <v>811</v>
      </c>
      <c r="G712" s="17" t="s">
        <v>200</v>
      </c>
      <c r="H712" s="16" t="s">
        <v>176</v>
      </c>
      <c r="I712" s="187">
        <v>5</v>
      </c>
      <c r="J712" s="187">
        <v>5</v>
      </c>
      <c r="K712" s="187">
        <v>3.8</v>
      </c>
      <c r="L712" s="187"/>
      <c r="M712" s="187">
        <v>5</v>
      </c>
      <c r="N712" s="93" t="s">
        <v>160</v>
      </c>
      <c r="O712" s="93">
        <f t="shared" si="340"/>
        <v>95</v>
      </c>
      <c r="P712" s="188">
        <v>44945</v>
      </c>
      <c r="Q712" s="188">
        <v>44947</v>
      </c>
      <c r="R712" s="140">
        <v>1</v>
      </c>
      <c r="S712" s="140">
        <v>1</v>
      </c>
      <c r="T712" s="140">
        <v>1</v>
      </c>
      <c r="U712" s="20">
        <f>IF(ISBLANK(Table1[[#This Row],[OHC Date]]),$B$7-Table1[[#This Row],[HOC Date]]+1,Table1[[#This Row],[OHC Date]]-Table1[[#This Row],[HOC Date]]+1)/7</f>
        <v>0.42857142857142855</v>
      </c>
      <c r="V712" s="107">
        <v>6.63</v>
      </c>
      <c r="W712" s="107">
        <v>0.7</v>
      </c>
      <c r="X712" s="21">
        <f>ROUND(0.7*Table1[[#This Row],[E&amp;D Rate per unit]]*R712*Table1[[#This Row],[Quantity]],2)</f>
        <v>440.9</v>
      </c>
      <c r="Y712" s="21">
        <f t="shared" si="341"/>
        <v>28.5</v>
      </c>
      <c r="Z712" s="21">
        <f>ROUND(0.3*T712*Table1[[#This Row],[E&amp;D Rate per unit]]*Table1[[#This Row],[Quantity]],2)</f>
        <v>188.96</v>
      </c>
      <c r="AA712" s="21">
        <f t="shared" si="342"/>
        <v>658.36</v>
      </c>
      <c r="AB712" s="129"/>
      <c r="AC712" s="129">
        <f>Table1[[#This Row],[Total Amount]]-Table1[[#This Row],[Previous Amount]]</f>
        <v>658.36</v>
      </c>
      <c r="AD712" s="153"/>
    </row>
    <row r="713" spans="1:30" ht="30" customHeight="1" x14ac:dyDescent="0.3">
      <c r="A713" s="92" t="s">
        <v>89</v>
      </c>
      <c r="B713" s="92" t="s">
        <v>96</v>
      </c>
      <c r="C713" s="16">
        <v>122</v>
      </c>
      <c r="D713" s="187">
        <v>75905</v>
      </c>
      <c r="E713" s="16"/>
      <c r="F713" s="17" t="s">
        <v>831</v>
      </c>
      <c r="G713" s="17" t="s">
        <v>254</v>
      </c>
      <c r="H713" s="151" t="s">
        <v>220</v>
      </c>
      <c r="I713" s="16">
        <v>1</v>
      </c>
      <c r="J713" s="187">
        <v>2.5</v>
      </c>
      <c r="K713" s="187">
        <v>1.3</v>
      </c>
      <c r="L713" s="187">
        <v>2.5</v>
      </c>
      <c r="M713" s="16">
        <v>1</v>
      </c>
      <c r="N713" s="93" t="s">
        <v>221</v>
      </c>
      <c r="O713" s="93">
        <f t="shared" ref="O713" si="343">ROUND(IF(N713="m3",I713*J713*K713*L713,IF(N713="m2-LxH",I713*J713*L713,IF(N713="m2-LxW",I713*J713*K713,IF(N713="rm",I713*L713,IF(N713="lm",I713*J713,IF(N713="unit",I713,"NA")))))),2)</f>
        <v>2.5</v>
      </c>
      <c r="P713" s="188">
        <v>44946</v>
      </c>
      <c r="Q713" s="18"/>
      <c r="R713" s="140">
        <v>1</v>
      </c>
      <c r="S713" s="140">
        <v>1</v>
      </c>
      <c r="T713" s="140">
        <v>0</v>
      </c>
      <c r="U713" s="20">
        <f>IF(ISBLANK(Table1[[#This Row],[OHC Date]]),$B$7-Table1[[#This Row],[HOC Date]]+1,Table1[[#This Row],[OHC Date]]-Table1[[#This Row],[HOC Date]]+1)/7</f>
        <v>0.8571428571428571</v>
      </c>
      <c r="V713" s="107">
        <v>63.34</v>
      </c>
      <c r="W713" s="107">
        <v>7.28</v>
      </c>
      <c r="X713" s="21">
        <f>ROUND(0.7*Table1[[#This Row],[E&amp;D Rate per unit]]*R713*Table1[[#This Row],[Quantity]],2)</f>
        <v>110.85</v>
      </c>
      <c r="Y713" s="21">
        <f t="shared" ref="Y713" si="344">ROUND(O713*U713*W713*S713,2)</f>
        <v>15.6</v>
      </c>
      <c r="Z713" s="21">
        <f>ROUND(0.3*T713*Table1[[#This Row],[E&amp;D Rate per unit]]*Table1[[#This Row],[Quantity]],2)</f>
        <v>0</v>
      </c>
      <c r="AA713" s="21">
        <f t="shared" ref="AA713" si="345">ROUND(X713+Z713+Y713,2)</f>
        <v>126.45</v>
      </c>
      <c r="AB713" s="129"/>
      <c r="AC713" s="129">
        <f>Table1[[#This Row],[Total Amount]]-Table1[[#This Row],[Previous Amount]]</f>
        <v>126.45</v>
      </c>
      <c r="AD713" s="153"/>
    </row>
    <row r="714" spans="1:30" ht="30" customHeight="1" x14ac:dyDescent="0.3">
      <c r="A714" s="92" t="s">
        <v>89</v>
      </c>
      <c r="B714" s="92" t="s">
        <v>96</v>
      </c>
      <c r="C714" s="16">
        <v>123</v>
      </c>
      <c r="D714" s="187">
        <v>75906</v>
      </c>
      <c r="E714" s="16"/>
      <c r="F714" s="17" t="s">
        <v>832</v>
      </c>
      <c r="G714" s="17" t="s">
        <v>254</v>
      </c>
      <c r="H714" s="148" t="s">
        <v>220</v>
      </c>
      <c r="I714" s="16">
        <v>1</v>
      </c>
      <c r="J714" s="187">
        <v>2.5</v>
      </c>
      <c r="K714" s="187">
        <v>1.3</v>
      </c>
      <c r="L714" s="187">
        <v>2.5</v>
      </c>
      <c r="M714" s="16">
        <v>1</v>
      </c>
      <c r="N714" s="93" t="s">
        <v>221</v>
      </c>
      <c r="O714" s="93">
        <f t="shared" ref="O714" si="346">ROUND(IF(N714="m3",I714*J714*K714*L714,IF(N714="m2-LxH",I714*J714*L714,IF(N714="m2-LxW",I714*J714*K714,IF(N714="rm",I714*L714,IF(N714="lm",I714*J714,IF(N714="unit",I714,"NA")))))),2)</f>
        <v>2.5</v>
      </c>
      <c r="P714" s="188">
        <v>44946</v>
      </c>
      <c r="Q714" s="18"/>
      <c r="R714" s="140">
        <v>1</v>
      </c>
      <c r="S714" s="140">
        <v>1</v>
      </c>
      <c r="T714" s="140">
        <v>0</v>
      </c>
      <c r="U714" s="20">
        <f>IF(ISBLANK(Table1[[#This Row],[OHC Date]]),$B$7-Table1[[#This Row],[HOC Date]]+1,Table1[[#This Row],[OHC Date]]-Table1[[#This Row],[HOC Date]]+1)/7</f>
        <v>0.8571428571428571</v>
      </c>
      <c r="V714" s="107">
        <v>63.34</v>
      </c>
      <c r="W714" s="107">
        <v>7.28</v>
      </c>
      <c r="X714" s="21">
        <f>ROUND(0.7*Table1[[#This Row],[E&amp;D Rate per unit]]*R714*Table1[[#This Row],[Quantity]],2)</f>
        <v>110.85</v>
      </c>
      <c r="Y714" s="21">
        <f t="shared" ref="Y714" si="347">ROUND(O714*U714*W714*S714,2)</f>
        <v>15.6</v>
      </c>
      <c r="Z714" s="21">
        <f>ROUND(0.3*T714*Table1[[#This Row],[E&amp;D Rate per unit]]*Table1[[#This Row],[Quantity]],2)</f>
        <v>0</v>
      </c>
      <c r="AA714" s="21">
        <f t="shared" ref="AA714" si="348">ROUND(X714+Z714+Y714,2)</f>
        <v>126.45</v>
      </c>
      <c r="AB714" s="129"/>
      <c r="AC714" s="129">
        <f>Table1[[#This Row],[Total Amount]]-Table1[[#This Row],[Previous Amount]]</f>
        <v>126.45</v>
      </c>
      <c r="AD714" s="153"/>
    </row>
    <row r="715" spans="1:30" ht="30" customHeight="1" x14ac:dyDescent="0.3">
      <c r="A715" s="92" t="s">
        <v>89</v>
      </c>
      <c r="B715" s="92" t="s">
        <v>96</v>
      </c>
      <c r="C715" s="16" t="s">
        <v>523</v>
      </c>
      <c r="D715" s="187">
        <v>75906</v>
      </c>
      <c r="E715" s="16"/>
      <c r="F715" s="17" t="s">
        <v>832</v>
      </c>
      <c r="G715" s="17" t="s">
        <v>254</v>
      </c>
      <c r="H715" s="102" t="s">
        <v>127</v>
      </c>
      <c r="I715" s="16">
        <v>1</v>
      </c>
      <c r="J715" s="187">
        <v>2.5</v>
      </c>
      <c r="K715" s="187">
        <v>0.75</v>
      </c>
      <c r="L715" s="187"/>
      <c r="M715" s="16">
        <v>1</v>
      </c>
      <c r="N715" s="93" t="s">
        <v>160</v>
      </c>
      <c r="O715" s="93">
        <f t="shared" ref="O715" si="349">ROUND(IF(N715="m3",I715*J715*K715*L715,IF(N715="m2-LxH",I715*J715*L715,IF(N715="m2-LxW",I715*J715*K715,IF(N715="rm",I715*L715,IF(N715="lm",I715*J715,IF(N715="unit",I715,"NA")))))),2)</f>
        <v>1.88</v>
      </c>
      <c r="P715" s="188">
        <v>44946</v>
      </c>
      <c r="Q715" s="18"/>
      <c r="R715" s="140">
        <v>1</v>
      </c>
      <c r="S715" s="140">
        <v>1</v>
      </c>
      <c r="T715" s="140">
        <v>0</v>
      </c>
      <c r="U715" s="20">
        <f>IF(ISBLANK(Table1[[#This Row],[OHC Date]]),$B$7-Table1[[#This Row],[HOC Date]]+1,Table1[[#This Row],[OHC Date]]-Table1[[#This Row],[HOC Date]]+1)/7</f>
        <v>0.8571428571428571</v>
      </c>
      <c r="V715" s="107">
        <v>36.520000000000003</v>
      </c>
      <c r="W715" s="107">
        <f>0.42*7</f>
        <v>2.94</v>
      </c>
      <c r="X715" s="21">
        <f>ROUND(0.7*Table1[[#This Row],[E&amp;D Rate per unit]]*R715*Table1[[#This Row],[Quantity]],2)</f>
        <v>48.06</v>
      </c>
      <c r="Y715" s="21">
        <f t="shared" ref="Y715" si="350">ROUND(O715*U715*W715*S715,2)</f>
        <v>4.74</v>
      </c>
      <c r="Z715" s="21">
        <f>ROUND(0.3*T715*Table1[[#This Row],[E&amp;D Rate per unit]]*Table1[[#This Row],[Quantity]],2)</f>
        <v>0</v>
      </c>
      <c r="AA715" s="21">
        <f t="shared" ref="AA715" si="351">ROUND(X715+Z715+Y715,2)</f>
        <v>52.8</v>
      </c>
      <c r="AB715" s="129"/>
      <c r="AC715" s="129">
        <f>Table1[[#This Row],[Total Amount]]-Table1[[#This Row],[Previous Amount]]</f>
        <v>52.8</v>
      </c>
      <c r="AD715" s="153"/>
    </row>
    <row r="716" spans="1:30" ht="30" customHeight="1" x14ac:dyDescent="0.3">
      <c r="A716" s="92" t="s">
        <v>89</v>
      </c>
      <c r="B716" s="92" t="s">
        <v>96</v>
      </c>
      <c r="C716" s="16">
        <v>124</v>
      </c>
      <c r="D716" s="187">
        <v>75907</v>
      </c>
      <c r="E716" s="16"/>
      <c r="F716" s="17" t="s">
        <v>833</v>
      </c>
      <c r="G716" s="17" t="s">
        <v>254</v>
      </c>
      <c r="H716" s="148" t="s">
        <v>220</v>
      </c>
      <c r="I716" s="16">
        <v>1</v>
      </c>
      <c r="J716" s="187">
        <v>2.5</v>
      </c>
      <c r="K716" s="187">
        <v>1.3</v>
      </c>
      <c r="L716" s="187">
        <v>2</v>
      </c>
      <c r="M716" s="16">
        <v>1</v>
      </c>
      <c r="N716" s="93" t="s">
        <v>221</v>
      </c>
      <c r="O716" s="93">
        <f t="shared" ref="O716" si="352">ROUND(IF(N716="m3",I716*J716*K716*L716,IF(N716="m2-LxH",I716*J716*L716,IF(N716="m2-LxW",I716*J716*K716,IF(N716="rm",I716*L716,IF(N716="lm",I716*J716,IF(N716="unit",I716,"NA")))))),2)</f>
        <v>2</v>
      </c>
      <c r="P716" s="188">
        <v>44946</v>
      </c>
      <c r="Q716" s="18"/>
      <c r="R716" s="140">
        <v>1</v>
      </c>
      <c r="S716" s="140">
        <v>1</v>
      </c>
      <c r="T716" s="140">
        <v>0</v>
      </c>
      <c r="U716" s="20">
        <f>IF(ISBLANK(Table1[[#This Row],[OHC Date]]),$B$7-Table1[[#This Row],[HOC Date]]+1,Table1[[#This Row],[OHC Date]]-Table1[[#This Row],[HOC Date]]+1)/7</f>
        <v>0.8571428571428571</v>
      </c>
      <c r="V716" s="107">
        <v>63.34</v>
      </c>
      <c r="W716" s="107">
        <v>7.28</v>
      </c>
      <c r="X716" s="21">
        <f>ROUND(0.7*Table1[[#This Row],[E&amp;D Rate per unit]]*R716*Table1[[#This Row],[Quantity]],2)</f>
        <v>88.68</v>
      </c>
      <c r="Y716" s="21">
        <f t="shared" ref="Y716" si="353">ROUND(O716*U716*W716*S716,2)</f>
        <v>12.48</v>
      </c>
      <c r="Z716" s="21">
        <f>ROUND(0.3*T716*Table1[[#This Row],[E&amp;D Rate per unit]]*Table1[[#This Row],[Quantity]],2)</f>
        <v>0</v>
      </c>
      <c r="AA716" s="21">
        <f t="shared" ref="AA716" si="354">ROUND(X716+Z716+Y716,2)</f>
        <v>101.16</v>
      </c>
      <c r="AB716" s="129"/>
      <c r="AC716" s="129">
        <f>Table1[[#This Row],[Total Amount]]-Table1[[#This Row],[Previous Amount]]</f>
        <v>101.16</v>
      </c>
      <c r="AD716" s="153"/>
    </row>
    <row r="717" spans="1:30" ht="30" customHeight="1" x14ac:dyDescent="0.3">
      <c r="A717" s="92" t="s">
        <v>89</v>
      </c>
      <c r="B717" s="92" t="s">
        <v>96</v>
      </c>
      <c r="C717" s="16">
        <v>125</v>
      </c>
      <c r="D717" s="187">
        <v>75908</v>
      </c>
      <c r="E717" s="16"/>
      <c r="F717" s="17" t="s">
        <v>834</v>
      </c>
      <c r="G717" s="17" t="s">
        <v>226</v>
      </c>
      <c r="H717" s="151" t="s">
        <v>220</v>
      </c>
      <c r="I717" s="16">
        <v>1</v>
      </c>
      <c r="J717" s="187">
        <v>1.8</v>
      </c>
      <c r="K717" s="187">
        <v>1</v>
      </c>
      <c r="L717" s="187">
        <v>0.5</v>
      </c>
      <c r="M717" s="16">
        <v>1</v>
      </c>
      <c r="N717" s="93" t="s">
        <v>221</v>
      </c>
      <c r="O717" s="93">
        <f t="shared" ref="O717" si="355">ROUND(IF(N717="m3",I717*J717*K717*L717,IF(N717="m2-LxH",I717*J717*L717,IF(N717="m2-LxW",I717*J717*K717,IF(N717="rm",I717*L717,IF(N717="lm",I717*J717,IF(N717="unit",I717,"NA")))))),2)</f>
        <v>0.5</v>
      </c>
      <c r="P717" s="188">
        <v>44946</v>
      </c>
      <c r="Q717" s="18"/>
      <c r="R717" s="140">
        <v>1</v>
      </c>
      <c r="S717" s="140">
        <v>1</v>
      </c>
      <c r="T717" s="140">
        <v>0</v>
      </c>
      <c r="U717" s="20">
        <f>IF(ISBLANK(Table1[[#This Row],[OHC Date]]),$B$7-Table1[[#This Row],[HOC Date]]+1,Table1[[#This Row],[OHC Date]]-Table1[[#This Row],[HOC Date]]+1)/7</f>
        <v>0.8571428571428571</v>
      </c>
      <c r="V717" s="107">
        <v>63.34</v>
      </c>
      <c r="W717" s="107">
        <v>7.28</v>
      </c>
      <c r="X717" s="21">
        <f>ROUND(0.7*Table1[[#This Row],[E&amp;D Rate per unit]]*R717*Table1[[#This Row],[Quantity]],2)</f>
        <v>22.17</v>
      </c>
      <c r="Y717" s="21">
        <f t="shared" ref="Y717" si="356">ROUND(O717*U717*W717*S717,2)</f>
        <v>3.12</v>
      </c>
      <c r="Z717" s="21">
        <f>ROUND(0.3*T717*Table1[[#This Row],[E&amp;D Rate per unit]]*Table1[[#This Row],[Quantity]],2)</f>
        <v>0</v>
      </c>
      <c r="AA717" s="21">
        <f t="shared" ref="AA717" si="357">ROUND(X717+Z717+Y717,2)</f>
        <v>25.29</v>
      </c>
      <c r="AB717" s="129"/>
      <c r="AC717" s="129">
        <f>Table1[[#This Row],[Total Amount]]-Table1[[#This Row],[Previous Amount]]</f>
        <v>25.29</v>
      </c>
      <c r="AD717" s="153"/>
    </row>
    <row r="718" spans="1:30" ht="30" customHeight="1" x14ac:dyDescent="0.3">
      <c r="A718" s="92" t="s">
        <v>89</v>
      </c>
      <c r="B718" s="92" t="s">
        <v>96</v>
      </c>
      <c r="C718" s="16">
        <v>126</v>
      </c>
      <c r="D718" s="187">
        <v>75909</v>
      </c>
      <c r="E718" s="16"/>
      <c r="F718" s="17" t="s">
        <v>816</v>
      </c>
      <c r="G718" s="17" t="s">
        <v>661</v>
      </c>
      <c r="H718" s="148" t="s">
        <v>220</v>
      </c>
      <c r="I718" s="16">
        <v>1</v>
      </c>
      <c r="J718" s="187">
        <v>2.5</v>
      </c>
      <c r="K718" s="187">
        <v>1.3</v>
      </c>
      <c r="L718" s="187">
        <v>3</v>
      </c>
      <c r="M718" s="16">
        <v>1</v>
      </c>
      <c r="N718" s="93" t="s">
        <v>221</v>
      </c>
      <c r="O718" s="93">
        <f t="shared" si="340"/>
        <v>3</v>
      </c>
      <c r="P718" s="188">
        <v>44946</v>
      </c>
      <c r="Q718" s="18"/>
      <c r="R718" s="140">
        <v>1</v>
      </c>
      <c r="S718" s="140">
        <v>1</v>
      </c>
      <c r="T718" s="140">
        <v>0</v>
      </c>
      <c r="U718" s="20">
        <f>IF(ISBLANK(Table1[[#This Row],[OHC Date]]),$B$7-Table1[[#This Row],[HOC Date]]+1,Table1[[#This Row],[OHC Date]]-Table1[[#This Row],[HOC Date]]+1)/7</f>
        <v>0.8571428571428571</v>
      </c>
      <c r="V718" s="107">
        <v>63.34</v>
      </c>
      <c r="W718" s="107">
        <v>7.28</v>
      </c>
      <c r="X718" s="21">
        <f>ROUND(0.7*Table1[[#This Row],[E&amp;D Rate per unit]]*R718*Table1[[#This Row],[Quantity]],2)</f>
        <v>133.01</v>
      </c>
      <c r="Y718" s="21">
        <f t="shared" si="341"/>
        <v>18.72</v>
      </c>
      <c r="Z718" s="21">
        <f>ROUND(0.3*T718*Table1[[#This Row],[E&amp;D Rate per unit]]*Table1[[#This Row],[Quantity]],2)</f>
        <v>0</v>
      </c>
      <c r="AA718" s="21">
        <f t="shared" si="342"/>
        <v>151.72999999999999</v>
      </c>
      <c r="AB718" s="129"/>
      <c r="AC718" s="129">
        <f>Table1[[#This Row],[Total Amount]]-Table1[[#This Row],[Previous Amount]]</f>
        <v>151.72999999999999</v>
      </c>
      <c r="AD718" s="153"/>
    </row>
    <row r="719" spans="1:30" ht="30" customHeight="1" x14ac:dyDescent="0.3">
      <c r="A719" s="92" t="s">
        <v>89</v>
      </c>
      <c r="B719" s="92" t="s">
        <v>96</v>
      </c>
      <c r="C719" s="16">
        <v>127</v>
      </c>
      <c r="D719" s="187">
        <v>75910</v>
      </c>
      <c r="E719" s="16"/>
      <c r="F719" s="17" t="s">
        <v>307</v>
      </c>
      <c r="G719" s="17" t="s">
        <v>163</v>
      </c>
      <c r="H719" s="102" t="s">
        <v>339</v>
      </c>
      <c r="I719" s="16">
        <v>1</v>
      </c>
      <c r="J719" s="187">
        <v>20</v>
      </c>
      <c r="K719" s="16"/>
      <c r="L719" s="16">
        <v>1.5</v>
      </c>
      <c r="M719" s="16"/>
      <c r="N719" s="93" t="s">
        <v>283</v>
      </c>
      <c r="O719" s="93">
        <f t="shared" ref="O719:O720" si="358">ROUND(IF(N719="m3",I719*J719*K719*L719,IF(N719="m2-LxH",I719*J719*L719,IF(N719="m2-LxW",I719*J719*K719,IF(N719="rm",I719*L719,IF(N719="lm",I719*J719,IF(N719="unit",I719,"NA")))))),2)</f>
        <v>20</v>
      </c>
      <c r="P719" s="188">
        <v>44946</v>
      </c>
      <c r="Q719" s="18"/>
      <c r="R719" s="140">
        <v>1</v>
      </c>
      <c r="S719" s="140">
        <v>1</v>
      </c>
      <c r="T719" s="140">
        <v>0</v>
      </c>
      <c r="U719" s="20">
        <f>IF(ISBLANK(Table1[[#This Row],[OHC Date]]),$B$7-Table1[[#This Row],[HOC Date]]+1,Table1[[#This Row],[OHC Date]]-Table1[[#This Row],[HOC Date]]+1)/7</f>
        <v>0.8571428571428571</v>
      </c>
      <c r="V719" s="107">
        <v>15</v>
      </c>
      <c r="W719" s="107">
        <v>0.91</v>
      </c>
      <c r="X719" s="21">
        <f>ROUND(0.7*Table1[[#This Row],[E&amp;D Rate per unit]]*R719*Table1[[#This Row],[Quantity]],2)</f>
        <v>210</v>
      </c>
      <c r="Y719" s="21">
        <f t="shared" ref="Y719:Y720" si="359">ROUND(O719*U719*W719*S719,2)</f>
        <v>15.6</v>
      </c>
      <c r="Z719" s="21">
        <f>ROUND(0.3*T719*Table1[[#This Row],[E&amp;D Rate per unit]]*Table1[[#This Row],[Quantity]],2)</f>
        <v>0</v>
      </c>
      <c r="AA719" s="21">
        <f t="shared" ref="AA719:AA720" si="360">ROUND(X719+Z719+Y719,2)</f>
        <v>225.6</v>
      </c>
      <c r="AB719" s="129"/>
      <c r="AC719" s="129">
        <f>Table1[[#This Row],[Total Amount]]-Table1[[#This Row],[Previous Amount]]</f>
        <v>225.6</v>
      </c>
      <c r="AD719" s="153"/>
    </row>
    <row r="720" spans="1:30" ht="30" customHeight="1" x14ac:dyDescent="0.3">
      <c r="A720" s="145" t="s">
        <v>550</v>
      </c>
      <c r="B720" s="92" t="s">
        <v>96</v>
      </c>
      <c r="C720" s="16" t="s">
        <v>823</v>
      </c>
      <c r="D720" s="187">
        <v>75911</v>
      </c>
      <c r="E720" s="16"/>
      <c r="F720" s="17" t="s">
        <v>552</v>
      </c>
      <c r="G720" s="17" t="s">
        <v>251</v>
      </c>
      <c r="H720" s="148" t="s">
        <v>553</v>
      </c>
      <c r="I720" s="16">
        <v>1</v>
      </c>
      <c r="J720" s="187">
        <v>4.3</v>
      </c>
      <c r="K720" s="187">
        <v>1</v>
      </c>
      <c r="L720" s="187">
        <v>1</v>
      </c>
      <c r="M720" s="16">
        <v>1</v>
      </c>
      <c r="N720" s="93" t="s">
        <v>56</v>
      </c>
      <c r="O720" s="93">
        <f t="shared" si="358"/>
        <v>1</v>
      </c>
      <c r="P720" s="188">
        <v>44947</v>
      </c>
      <c r="Q720" s="18"/>
      <c r="R720" s="140">
        <v>1</v>
      </c>
      <c r="S720" s="140">
        <v>1</v>
      </c>
      <c r="T720" s="140">
        <v>0</v>
      </c>
      <c r="U720" s="20">
        <f>IF(ISBLANK(Table1[[#This Row],[OHC Date]]),$B$7-Table1[[#This Row],[HOC Date]]+1,Table1[[#This Row],[OHC Date]]-Table1[[#This Row],[HOC Date]]+1)/7</f>
        <v>0.7142857142857143</v>
      </c>
      <c r="V720" s="142">
        <v>1772.5845217391307</v>
      </c>
      <c r="W720" s="142">
        <v>52.192000000000007</v>
      </c>
      <c r="X720" s="21">
        <f>ROUND(0.7*Table1[[#This Row],[E&amp;D Rate per unit]]*R720*Table1[[#This Row],[Quantity]],2)</f>
        <v>1240.81</v>
      </c>
      <c r="Y720" s="21">
        <f t="shared" si="359"/>
        <v>37.28</v>
      </c>
      <c r="Z720" s="21">
        <f>ROUND(0.3*T720*Table1[[#This Row],[E&amp;D Rate per unit]]*Table1[[#This Row],[Quantity]],2)</f>
        <v>0</v>
      </c>
      <c r="AA720" s="21">
        <f t="shared" si="360"/>
        <v>1278.0899999999999</v>
      </c>
      <c r="AB720" s="129"/>
      <c r="AC720" s="129">
        <f>Table1[[#This Row],[Total Amount]]-Table1[[#This Row],[Previous Amount]]</f>
        <v>1278.0899999999999</v>
      </c>
      <c r="AD720" s="132" t="s">
        <v>557</v>
      </c>
    </row>
    <row r="721" spans="1:30" ht="30" customHeight="1" x14ac:dyDescent="0.3">
      <c r="A721" s="92" t="s">
        <v>89</v>
      </c>
      <c r="B721" s="92" t="s">
        <v>96</v>
      </c>
      <c r="C721" s="16">
        <v>129</v>
      </c>
      <c r="D721" s="187">
        <v>75912</v>
      </c>
      <c r="E721" s="16"/>
      <c r="F721" s="17" t="s">
        <v>857</v>
      </c>
      <c r="G721" s="17" t="s">
        <v>223</v>
      </c>
      <c r="H721" s="16" t="s">
        <v>220</v>
      </c>
      <c r="I721" s="16">
        <v>1</v>
      </c>
      <c r="J721" s="187">
        <v>2.5</v>
      </c>
      <c r="K721" s="187">
        <v>1.3</v>
      </c>
      <c r="L721" s="187">
        <v>5</v>
      </c>
      <c r="M721" s="16">
        <v>1</v>
      </c>
      <c r="N721" s="93" t="s">
        <v>221</v>
      </c>
      <c r="O721" s="93">
        <f t="shared" ref="O721" si="361">ROUND(IF(N721="m3",I721*J721*K721*L721,IF(N721="m2-LxH",I721*J721*L721,IF(N721="m2-LxW",I721*J721*K721,IF(N721="rm",I721*L721,IF(N721="lm",I721*J721,IF(N721="unit",I721,"NA")))))),2)</f>
        <v>5</v>
      </c>
      <c r="P721" s="188">
        <v>44949</v>
      </c>
      <c r="Q721" s="18"/>
      <c r="R721" s="140">
        <v>1</v>
      </c>
      <c r="S721" s="140">
        <v>1</v>
      </c>
      <c r="T721" s="140">
        <v>0</v>
      </c>
      <c r="U721" s="20">
        <f>IF(ISBLANK(Table1[[#This Row],[OHC Date]]),$B$7-Table1[[#This Row],[HOC Date]]+1,Table1[[#This Row],[OHC Date]]-Table1[[#This Row],[HOC Date]]+1)/7</f>
        <v>0.42857142857142855</v>
      </c>
      <c r="V721" s="107">
        <v>63.34</v>
      </c>
      <c r="W721" s="107">
        <v>7.28</v>
      </c>
      <c r="X721" s="21">
        <f>ROUND(0.7*Table1[[#This Row],[E&amp;D Rate per unit]]*R721*Table1[[#This Row],[Quantity]],2)</f>
        <v>221.69</v>
      </c>
      <c r="Y721" s="21">
        <f t="shared" ref="Y721" si="362">ROUND(O721*U721*W721*S721,2)</f>
        <v>15.6</v>
      </c>
      <c r="Z721" s="21">
        <f>ROUND(0.3*T721*Table1[[#This Row],[E&amp;D Rate per unit]]*Table1[[#This Row],[Quantity]],2)</f>
        <v>0</v>
      </c>
      <c r="AA721" s="21">
        <f t="shared" ref="AA721" si="363">ROUND(X721+Z721+Y721,2)</f>
        <v>237.29</v>
      </c>
      <c r="AB721" s="129"/>
      <c r="AC721" s="129">
        <f>Table1[[#This Row],[Total Amount]]-Table1[[#This Row],[Previous Amount]]</f>
        <v>237.29</v>
      </c>
      <c r="AD721" s="153"/>
    </row>
    <row r="722" spans="1:30" ht="30" customHeight="1" x14ac:dyDescent="0.3">
      <c r="A722" s="92" t="s">
        <v>89</v>
      </c>
      <c r="B722" s="92" t="s">
        <v>96</v>
      </c>
      <c r="C722" s="16">
        <v>129</v>
      </c>
      <c r="D722" s="187">
        <v>75912</v>
      </c>
      <c r="E722" s="16"/>
      <c r="F722" s="17" t="s">
        <v>680</v>
      </c>
      <c r="G722" s="17" t="s">
        <v>223</v>
      </c>
      <c r="H722" s="16" t="s">
        <v>176</v>
      </c>
      <c r="I722" s="16">
        <v>1</v>
      </c>
      <c r="J722" s="187">
        <v>2.5</v>
      </c>
      <c r="K722" s="187">
        <v>1.3</v>
      </c>
      <c r="L722" s="187"/>
      <c r="M722" s="16">
        <v>1</v>
      </c>
      <c r="N722" s="93" t="s">
        <v>160</v>
      </c>
      <c r="O722" s="93">
        <f t="shared" ref="O722" si="364">ROUND(IF(N722="m3",I722*J722*K722*L722,IF(N722="m2-LxH",I722*J722*L722,IF(N722="m2-LxW",I722*J722*K722,IF(N722="rm",I722*L722,IF(N722="lm",I722*J722,IF(N722="unit",I722,"NA")))))),2)</f>
        <v>3.25</v>
      </c>
      <c r="P722" s="188">
        <v>44949</v>
      </c>
      <c r="Q722" s="18"/>
      <c r="R722" s="140">
        <v>1</v>
      </c>
      <c r="S722" s="140">
        <v>1</v>
      </c>
      <c r="T722" s="140">
        <v>0</v>
      </c>
      <c r="U722" s="20">
        <f>IF(ISBLANK(Table1[[#This Row],[OHC Date]]),$B$7-Table1[[#This Row],[HOC Date]]+1,Table1[[#This Row],[OHC Date]]-Table1[[#This Row],[HOC Date]]+1)/7</f>
        <v>0.42857142857142855</v>
      </c>
      <c r="V722" s="107">
        <v>6.63</v>
      </c>
      <c r="W722" s="107">
        <v>0.7</v>
      </c>
      <c r="X722" s="21">
        <f>ROUND(0.7*Table1[[#This Row],[E&amp;D Rate per unit]]*R722*Table1[[#This Row],[Quantity]],2)</f>
        <v>15.08</v>
      </c>
      <c r="Y722" s="21">
        <f t="shared" ref="Y722" si="365">ROUND(O722*U722*W722*S722,2)</f>
        <v>0.98</v>
      </c>
      <c r="Z722" s="21">
        <f>ROUND(0.3*T722*Table1[[#This Row],[E&amp;D Rate per unit]]*Table1[[#This Row],[Quantity]],2)</f>
        <v>0</v>
      </c>
      <c r="AA722" s="21">
        <f t="shared" ref="AA722" si="366">ROUND(X722+Z722+Y722,2)</f>
        <v>16.059999999999999</v>
      </c>
      <c r="AB722" s="129"/>
      <c r="AC722" s="129">
        <f>Table1[[#This Row],[Total Amount]]-Table1[[#This Row],[Previous Amount]]</f>
        <v>16.059999999999999</v>
      </c>
      <c r="AD722" s="153"/>
    </row>
    <row r="723" spans="1:30" ht="30" customHeight="1" x14ac:dyDescent="0.3">
      <c r="A723" s="92" t="s">
        <v>89</v>
      </c>
      <c r="B723" s="92" t="s">
        <v>96</v>
      </c>
      <c r="C723" s="16" t="s">
        <v>835</v>
      </c>
      <c r="D723" s="187">
        <v>75912</v>
      </c>
      <c r="E723" s="16"/>
      <c r="F723" s="17" t="s">
        <v>680</v>
      </c>
      <c r="G723" s="17" t="s">
        <v>223</v>
      </c>
      <c r="H723" s="102" t="s">
        <v>127</v>
      </c>
      <c r="I723" s="16">
        <v>1</v>
      </c>
      <c r="J723" s="187">
        <v>1.5</v>
      </c>
      <c r="K723" s="187">
        <v>1.3</v>
      </c>
      <c r="L723" s="187"/>
      <c r="M723" s="16">
        <v>1</v>
      </c>
      <c r="N723" s="93" t="s">
        <v>160</v>
      </c>
      <c r="O723" s="93">
        <f t="shared" ref="O723" si="367">ROUND(IF(N723="m3",I723*J723*K723*L723,IF(N723="m2-LxH",I723*J723*L723,IF(N723="m2-LxW",I723*J723*K723,IF(N723="rm",I723*L723,IF(N723="lm",I723*J723,IF(N723="unit",I723,"NA")))))),2)</f>
        <v>1.95</v>
      </c>
      <c r="P723" s="188">
        <v>44949</v>
      </c>
      <c r="Q723" s="18"/>
      <c r="R723" s="140">
        <v>1</v>
      </c>
      <c r="S723" s="140">
        <v>1</v>
      </c>
      <c r="T723" s="140">
        <v>0</v>
      </c>
      <c r="U723" s="20">
        <f>IF(ISBLANK(Table1[[#This Row],[OHC Date]]),$B$7-Table1[[#This Row],[HOC Date]]+1,Table1[[#This Row],[OHC Date]]-Table1[[#This Row],[HOC Date]]+1)/7</f>
        <v>0.42857142857142855</v>
      </c>
      <c r="V723" s="107">
        <v>36.520000000000003</v>
      </c>
      <c r="W723" s="107">
        <f>0.42*7</f>
        <v>2.94</v>
      </c>
      <c r="X723" s="21">
        <f>ROUND(0.7*Table1[[#This Row],[E&amp;D Rate per unit]]*R723*Table1[[#This Row],[Quantity]],2)</f>
        <v>49.85</v>
      </c>
      <c r="Y723" s="21">
        <f t="shared" ref="Y723" si="368">ROUND(O723*U723*W723*S723,2)</f>
        <v>2.46</v>
      </c>
      <c r="Z723" s="21">
        <f>ROUND(0.3*T723*Table1[[#This Row],[E&amp;D Rate per unit]]*Table1[[#This Row],[Quantity]],2)</f>
        <v>0</v>
      </c>
      <c r="AA723" s="21">
        <f t="shared" ref="AA723" si="369">ROUND(X723+Z723+Y723,2)</f>
        <v>52.31</v>
      </c>
      <c r="AB723" s="129"/>
      <c r="AC723" s="129">
        <f>Table1[[#This Row],[Total Amount]]-Table1[[#This Row],[Previous Amount]]</f>
        <v>52.31</v>
      </c>
      <c r="AD723" s="153"/>
    </row>
    <row r="724" spans="1:30" ht="30" customHeight="1" x14ac:dyDescent="0.3">
      <c r="A724" s="92" t="s">
        <v>89</v>
      </c>
      <c r="B724" s="92" t="s">
        <v>96</v>
      </c>
      <c r="C724" s="16">
        <v>130</v>
      </c>
      <c r="D724" s="187">
        <v>75915</v>
      </c>
      <c r="E724" s="16"/>
      <c r="F724" s="17" t="s">
        <v>744</v>
      </c>
      <c r="G724" s="17" t="s">
        <v>223</v>
      </c>
      <c r="H724" s="148" t="s">
        <v>220</v>
      </c>
      <c r="I724" s="16">
        <v>1</v>
      </c>
      <c r="J724" s="187">
        <v>1.3</v>
      </c>
      <c r="K724" s="187">
        <v>1.3</v>
      </c>
      <c r="L724" s="187">
        <v>1.5</v>
      </c>
      <c r="M724" s="16">
        <v>1</v>
      </c>
      <c r="N724" s="93" t="s">
        <v>221</v>
      </c>
      <c r="O724" s="93">
        <f t="shared" ref="O724" si="370">ROUND(IF(N724="m3",I724*J724*K724*L724,IF(N724="m2-LxH",I724*J724*L724,IF(N724="m2-LxW",I724*J724*K724,IF(N724="rm",I724*L724,IF(N724="lm",I724*J724,IF(N724="unit",I724,"NA")))))),2)</f>
        <v>1.5</v>
      </c>
      <c r="P724" s="188">
        <v>44949</v>
      </c>
      <c r="Q724" s="18"/>
      <c r="R724" s="140">
        <v>1</v>
      </c>
      <c r="S724" s="140">
        <v>1</v>
      </c>
      <c r="T724" s="140">
        <v>0</v>
      </c>
      <c r="U724" s="20">
        <f>IF(ISBLANK(Table1[[#This Row],[OHC Date]]),$B$7-Table1[[#This Row],[HOC Date]]+1,Table1[[#This Row],[OHC Date]]-Table1[[#This Row],[HOC Date]]+1)/7</f>
        <v>0.42857142857142855</v>
      </c>
      <c r="V724" s="107">
        <v>63.34</v>
      </c>
      <c r="W724" s="107">
        <v>7.28</v>
      </c>
      <c r="X724" s="21">
        <f>ROUND(0.7*Table1[[#This Row],[E&amp;D Rate per unit]]*R724*Table1[[#This Row],[Quantity]],2)</f>
        <v>66.510000000000005</v>
      </c>
      <c r="Y724" s="21">
        <f t="shared" ref="Y724" si="371">ROUND(O724*U724*W724*S724,2)</f>
        <v>4.68</v>
      </c>
      <c r="Z724" s="21">
        <f>ROUND(0.3*T724*Table1[[#This Row],[E&amp;D Rate per unit]]*Table1[[#This Row],[Quantity]],2)</f>
        <v>0</v>
      </c>
      <c r="AA724" s="21">
        <f t="shared" ref="AA724" si="372">ROUND(X724+Z724+Y724,2)</f>
        <v>71.19</v>
      </c>
      <c r="AB724" s="129"/>
      <c r="AC724" s="129">
        <f>Table1[[#This Row],[Total Amount]]-Table1[[#This Row],[Previous Amount]]</f>
        <v>71.19</v>
      </c>
      <c r="AD724" s="153"/>
    </row>
    <row r="725" spans="1:30" ht="30" customHeight="1" x14ac:dyDescent="0.3">
      <c r="A725" s="92" t="s">
        <v>89</v>
      </c>
      <c r="B725" s="92" t="s">
        <v>96</v>
      </c>
      <c r="C725" s="16">
        <v>131</v>
      </c>
      <c r="D725" s="187">
        <v>75913</v>
      </c>
      <c r="E725" s="16"/>
      <c r="F725" s="17" t="s">
        <v>434</v>
      </c>
      <c r="G725" s="17" t="s">
        <v>200</v>
      </c>
      <c r="H725" s="102" t="s">
        <v>205</v>
      </c>
      <c r="I725" s="16">
        <v>1</v>
      </c>
      <c r="J725" s="187">
        <v>5.9</v>
      </c>
      <c r="K725" s="187">
        <v>0.9</v>
      </c>
      <c r="L725" s="187">
        <v>2</v>
      </c>
      <c r="M725" s="16">
        <v>1</v>
      </c>
      <c r="N725" s="93" t="s">
        <v>206</v>
      </c>
      <c r="O725" s="93">
        <f t="shared" ref="O725" si="373">ROUND(IF(N725="m3",I725*J725*K725*L725,IF(N725="m2-LxH",I725*J725*L725,IF(N725="m2-LxW",I725*J725*K725,IF(N725="rm",I725*L725,IF(N725="lm",I725*J725,IF(N725="unit",I725,"NA")))))),2)</f>
        <v>11.8</v>
      </c>
      <c r="P725" s="188">
        <v>44949</v>
      </c>
      <c r="Q725" s="18"/>
      <c r="R725" s="140">
        <v>1</v>
      </c>
      <c r="S725" s="140">
        <v>1</v>
      </c>
      <c r="T725" s="140">
        <v>0</v>
      </c>
      <c r="U725" s="20">
        <f>IF(ISBLANK(Table1[[#This Row],[OHC Date]]),$B$7-Table1[[#This Row],[HOC Date]]+1,Table1[[#This Row],[OHC Date]]-Table1[[#This Row],[HOC Date]]+1)/7</f>
        <v>0.42857142857142855</v>
      </c>
      <c r="V725" s="142">
        <v>12.01</v>
      </c>
      <c r="W725" s="142">
        <v>0.49</v>
      </c>
      <c r="X725" s="21">
        <f>ROUND(0.7*Table1[[#This Row],[E&amp;D Rate per unit]]*R725*Table1[[#This Row],[Quantity]],2)</f>
        <v>99.2</v>
      </c>
      <c r="Y725" s="21">
        <f t="shared" ref="Y725" si="374">ROUND(O725*U725*W725*S725,2)</f>
        <v>2.48</v>
      </c>
      <c r="Z725" s="21">
        <f>ROUND(0.3*T725*Table1[[#This Row],[E&amp;D Rate per unit]]*Table1[[#This Row],[Quantity]],2)</f>
        <v>0</v>
      </c>
      <c r="AA725" s="21">
        <f t="shared" ref="AA725" si="375">ROUND(X725+Z725+Y725,2)</f>
        <v>101.68</v>
      </c>
      <c r="AB725" s="129"/>
      <c r="AC725" s="129">
        <f>Table1[[#This Row],[Total Amount]]-Table1[[#This Row],[Previous Amount]]</f>
        <v>101.68</v>
      </c>
      <c r="AD725" s="153"/>
    </row>
    <row r="726" spans="1:30" ht="30" customHeight="1" x14ac:dyDescent="0.3">
      <c r="A726" s="92" t="s">
        <v>89</v>
      </c>
      <c r="B726" s="92" t="s">
        <v>96</v>
      </c>
      <c r="C726" s="16" t="s">
        <v>836</v>
      </c>
      <c r="D726" s="187">
        <v>75914</v>
      </c>
      <c r="E726" s="16"/>
      <c r="F726" s="17" t="s">
        <v>434</v>
      </c>
      <c r="G726" s="17" t="s">
        <v>463</v>
      </c>
      <c r="H726" s="102" t="s">
        <v>205</v>
      </c>
      <c r="I726" s="16">
        <v>1</v>
      </c>
      <c r="J726" s="187">
        <v>6.8</v>
      </c>
      <c r="K726" s="187">
        <v>0.9</v>
      </c>
      <c r="L726" s="187">
        <v>2</v>
      </c>
      <c r="M726" s="16">
        <v>1</v>
      </c>
      <c r="N726" s="93" t="s">
        <v>206</v>
      </c>
      <c r="O726" s="93">
        <f t="shared" ref="O726:O727" si="376">ROUND(IF(N726="m3",I726*J726*K726*L726,IF(N726="m2-LxH",I726*J726*L726,IF(N726="m2-LxW",I726*J726*K726,IF(N726="rm",I726*L726,IF(N726="lm",I726*J726,IF(N726="unit",I726,"NA")))))),2)</f>
        <v>13.6</v>
      </c>
      <c r="P726" s="188">
        <v>44949</v>
      </c>
      <c r="Q726" s="18"/>
      <c r="R726" s="140">
        <v>1</v>
      </c>
      <c r="S726" s="140">
        <v>1</v>
      </c>
      <c r="T726" s="140">
        <v>0</v>
      </c>
      <c r="U726" s="20">
        <f>IF(ISBLANK(Table1[[#This Row],[OHC Date]]),$B$7-Table1[[#This Row],[HOC Date]]+1,Table1[[#This Row],[OHC Date]]-Table1[[#This Row],[HOC Date]]+1)/7</f>
        <v>0.42857142857142855</v>
      </c>
      <c r="V726" s="142">
        <v>12.01</v>
      </c>
      <c r="W726" s="142">
        <v>0.49</v>
      </c>
      <c r="X726" s="21">
        <f>ROUND(0.7*Table1[[#This Row],[E&amp;D Rate per unit]]*R726*Table1[[#This Row],[Quantity]],2)</f>
        <v>114.34</v>
      </c>
      <c r="Y726" s="21">
        <f t="shared" ref="Y726:Y727" si="377">ROUND(O726*U726*W726*S726,2)</f>
        <v>2.86</v>
      </c>
      <c r="Z726" s="21">
        <f>ROUND(0.3*T726*Table1[[#This Row],[E&amp;D Rate per unit]]*Table1[[#This Row],[Quantity]],2)</f>
        <v>0</v>
      </c>
      <c r="AA726" s="21">
        <f t="shared" ref="AA726:AA727" si="378">ROUND(X726+Z726+Y726,2)</f>
        <v>117.2</v>
      </c>
      <c r="AB726" s="129"/>
      <c r="AC726" s="129">
        <f>Table1[[#This Row],[Total Amount]]-Table1[[#This Row],[Previous Amount]]</f>
        <v>117.2</v>
      </c>
      <c r="AD726" s="153"/>
    </row>
    <row r="727" spans="1:30" ht="30" customHeight="1" x14ac:dyDescent="0.3">
      <c r="A727" s="145" t="s">
        <v>550</v>
      </c>
      <c r="B727" s="92" t="s">
        <v>96</v>
      </c>
      <c r="C727" s="16" t="s">
        <v>837</v>
      </c>
      <c r="D727" s="187">
        <v>75916</v>
      </c>
      <c r="E727" s="16"/>
      <c r="F727" s="17" t="s">
        <v>552</v>
      </c>
      <c r="G727" s="17" t="s">
        <v>535</v>
      </c>
      <c r="H727" s="151" t="s">
        <v>553</v>
      </c>
      <c r="I727" s="16">
        <v>1</v>
      </c>
      <c r="J727" s="187">
        <v>4.3</v>
      </c>
      <c r="K727" s="187">
        <v>1</v>
      </c>
      <c r="L727" s="187">
        <v>1</v>
      </c>
      <c r="M727" s="16">
        <v>1</v>
      </c>
      <c r="N727" s="93" t="s">
        <v>56</v>
      </c>
      <c r="O727" s="93">
        <f t="shared" si="376"/>
        <v>1</v>
      </c>
      <c r="P727" s="188">
        <v>44950</v>
      </c>
      <c r="Q727" s="18"/>
      <c r="R727" s="140">
        <v>1</v>
      </c>
      <c r="S727" s="140">
        <v>1</v>
      </c>
      <c r="T727" s="140">
        <v>0</v>
      </c>
      <c r="U727" s="20">
        <f>IF(ISBLANK(Table1[[#This Row],[OHC Date]]),$B$7-Table1[[#This Row],[HOC Date]]+1,Table1[[#This Row],[OHC Date]]-Table1[[#This Row],[HOC Date]]+1)/7</f>
        <v>0.2857142857142857</v>
      </c>
      <c r="V727" s="142">
        <v>1772.5845217391307</v>
      </c>
      <c r="W727" s="142">
        <v>52.192000000000007</v>
      </c>
      <c r="X727" s="21">
        <f>ROUND(0.7*Table1[[#This Row],[E&amp;D Rate per unit]]*R727*Table1[[#This Row],[Quantity]],2)</f>
        <v>1240.81</v>
      </c>
      <c r="Y727" s="21">
        <f t="shared" si="377"/>
        <v>14.91</v>
      </c>
      <c r="Z727" s="21">
        <f>ROUND(0.3*T727*Table1[[#This Row],[E&amp;D Rate per unit]]*Table1[[#This Row],[Quantity]],2)</f>
        <v>0</v>
      </c>
      <c r="AA727" s="21">
        <f t="shared" si="378"/>
        <v>1255.72</v>
      </c>
      <c r="AB727" s="129"/>
      <c r="AC727" s="129">
        <f>Table1[[#This Row],[Total Amount]]-Table1[[#This Row],[Previous Amount]]</f>
        <v>1255.72</v>
      </c>
      <c r="AD727" s="132" t="s">
        <v>557</v>
      </c>
    </row>
    <row r="728" spans="1:30" ht="30" customHeight="1" x14ac:dyDescent="0.3">
      <c r="A728" s="92" t="s">
        <v>89</v>
      </c>
      <c r="B728" s="92" t="s">
        <v>96</v>
      </c>
      <c r="C728" s="16">
        <v>133</v>
      </c>
      <c r="D728" s="187">
        <v>75917</v>
      </c>
      <c r="E728" s="187">
        <v>80918</v>
      </c>
      <c r="F728" s="17" t="s">
        <v>733</v>
      </c>
      <c r="G728" s="17" t="s">
        <v>200</v>
      </c>
      <c r="H728" s="102" t="s">
        <v>205</v>
      </c>
      <c r="I728" s="16">
        <v>1</v>
      </c>
      <c r="J728" s="187">
        <v>5</v>
      </c>
      <c r="K728" s="187">
        <v>1.3</v>
      </c>
      <c r="L728" s="187">
        <v>1.2</v>
      </c>
      <c r="M728" s="16">
        <v>1</v>
      </c>
      <c r="N728" s="93" t="s">
        <v>206</v>
      </c>
      <c r="O728" s="93">
        <f t="shared" ref="O728" si="379">ROUND(IF(N728="m3",I728*J728*K728*L728,IF(N728="m2-LxH",I728*J728*L728,IF(N728="m2-LxW",I728*J728*K728,IF(N728="rm",I728*L728,IF(N728="lm",I728*J728,IF(N728="unit",I728,"NA")))))),2)</f>
        <v>6</v>
      </c>
      <c r="P728" s="188">
        <v>44950</v>
      </c>
      <c r="Q728" s="188">
        <v>44951</v>
      </c>
      <c r="R728" s="140">
        <v>1</v>
      </c>
      <c r="S728" s="140">
        <v>1</v>
      </c>
      <c r="T728" s="140">
        <v>1</v>
      </c>
      <c r="U728" s="20">
        <f>IF(ISBLANK(Table1[[#This Row],[OHC Date]]),$B$7-Table1[[#This Row],[HOC Date]]+1,Table1[[#This Row],[OHC Date]]-Table1[[#This Row],[HOC Date]]+1)/7</f>
        <v>0.2857142857142857</v>
      </c>
      <c r="V728" s="142">
        <v>12.01</v>
      </c>
      <c r="W728" s="142">
        <v>0.49</v>
      </c>
      <c r="X728" s="21">
        <f>ROUND(0.7*Table1[[#This Row],[E&amp;D Rate per unit]]*R728*Table1[[#This Row],[Quantity]],2)</f>
        <v>50.44</v>
      </c>
      <c r="Y728" s="21">
        <f t="shared" ref="Y728" si="380">ROUND(O728*U728*W728*S728,2)</f>
        <v>0.84</v>
      </c>
      <c r="Z728" s="21">
        <f>ROUND(0.3*T728*Table1[[#This Row],[E&amp;D Rate per unit]]*Table1[[#This Row],[Quantity]],2)</f>
        <v>21.62</v>
      </c>
      <c r="AA728" s="21">
        <f t="shared" ref="AA728" si="381">ROUND(X728+Z728+Y728,2)</f>
        <v>72.900000000000006</v>
      </c>
      <c r="AB728" s="129"/>
      <c r="AC728" s="129">
        <f>Table1[[#This Row],[Total Amount]]-Table1[[#This Row],[Previous Amount]]</f>
        <v>72.900000000000006</v>
      </c>
      <c r="AD728" s="132"/>
    </row>
    <row r="729" spans="1:30" ht="30" customHeight="1" x14ac:dyDescent="0.3">
      <c r="A729" s="92" t="s">
        <v>89</v>
      </c>
      <c r="B729" s="92" t="s">
        <v>96</v>
      </c>
      <c r="C729" s="16">
        <v>134</v>
      </c>
      <c r="D729" s="187">
        <v>75918</v>
      </c>
      <c r="E729" s="187">
        <v>80919</v>
      </c>
      <c r="F729" s="17" t="s">
        <v>733</v>
      </c>
      <c r="G729" s="17" t="s">
        <v>200</v>
      </c>
      <c r="H729" s="16" t="s">
        <v>220</v>
      </c>
      <c r="I729" s="16">
        <v>1</v>
      </c>
      <c r="J729" s="187">
        <v>1.8</v>
      </c>
      <c r="K729" s="187">
        <v>1.8</v>
      </c>
      <c r="L729" s="187">
        <v>1.5</v>
      </c>
      <c r="M729" s="16">
        <v>1</v>
      </c>
      <c r="N729" s="93" t="s">
        <v>221</v>
      </c>
      <c r="O729" s="93">
        <f t="shared" ref="O729" si="382">ROUND(IF(N729="m3",I729*J729*K729*L729,IF(N729="m2-LxH",I729*J729*L729,IF(N729="m2-LxW",I729*J729*K729,IF(N729="rm",I729*L729,IF(N729="lm",I729*J729,IF(N729="unit",I729,"NA")))))),2)</f>
        <v>1.5</v>
      </c>
      <c r="P729" s="188">
        <v>44950</v>
      </c>
      <c r="Q729" s="188">
        <v>44951</v>
      </c>
      <c r="R729" s="140">
        <v>1</v>
      </c>
      <c r="S729" s="140">
        <v>1</v>
      </c>
      <c r="T729" s="140">
        <v>1</v>
      </c>
      <c r="U729" s="20">
        <f>IF(ISBLANK(Table1[[#This Row],[OHC Date]]),$B$7-Table1[[#This Row],[HOC Date]]+1,Table1[[#This Row],[OHC Date]]-Table1[[#This Row],[HOC Date]]+1)/7</f>
        <v>0.2857142857142857</v>
      </c>
      <c r="V729" s="107">
        <v>63.34</v>
      </c>
      <c r="W729" s="107">
        <v>7.28</v>
      </c>
      <c r="X729" s="21">
        <f>ROUND(0.7*Table1[[#This Row],[E&amp;D Rate per unit]]*R729*Table1[[#This Row],[Quantity]],2)</f>
        <v>66.510000000000005</v>
      </c>
      <c r="Y729" s="21">
        <f t="shared" ref="Y729" si="383">ROUND(O729*U729*W729*S729,2)</f>
        <v>3.12</v>
      </c>
      <c r="Z729" s="21">
        <f>ROUND(0.3*T729*Table1[[#This Row],[E&amp;D Rate per unit]]*Table1[[#This Row],[Quantity]],2)</f>
        <v>28.5</v>
      </c>
      <c r="AA729" s="21">
        <f t="shared" ref="AA729" si="384">ROUND(X729+Z729+Y729,2)</f>
        <v>98.13</v>
      </c>
      <c r="AB729" s="129"/>
      <c r="AC729" s="129">
        <f>Table1[[#This Row],[Total Amount]]-Table1[[#This Row],[Previous Amount]]</f>
        <v>98.13</v>
      </c>
      <c r="AD729" s="132"/>
    </row>
    <row r="730" spans="1:30" ht="30" customHeight="1" x14ac:dyDescent="0.3">
      <c r="A730" s="161" t="s">
        <v>863</v>
      </c>
      <c r="B730" s="161" t="s">
        <v>864</v>
      </c>
      <c r="C730" s="162">
        <v>1</v>
      </c>
      <c r="D730" s="190">
        <v>75851</v>
      </c>
      <c r="E730" s="162"/>
      <c r="F730" s="163" t="s">
        <v>865</v>
      </c>
      <c r="G730" s="17" t="s">
        <v>200</v>
      </c>
      <c r="H730" s="162" t="s">
        <v>866</v>
      </c>
      <c r="I730" s="162">
        <v>1</v>
      </c>
      <c r="J730" s="193">
        <v>5.2</v>
      </c>
      <c r="K730" s="193">
        <v>3.9</v>
      </c>
      <c r="L730" s="193">
        <v>2</v>
      </c>
      <c r="M730" s="162"/>
      <c r="N730" s="164" t="s">
        <v>56</v>
      </c>
      <c r="O730" s="164">
        <v>0</v>
      </c>
      <c r="P730" s="194">
        <v>44932</v>
      </c>
      <c r="Q730" s="165"/>
      <c r="R730" s="166">
        <v>1</v>
      </c>
      <c r="S730" s="166">
        <v>1</v>
      </c>
      <c r="T730" s="166"/>
      <c r="U730" s="167">
        <f>IF(ISBLANK(Table1[[#This Row],[OHC Date]]),$B$7-Table1[[#This Row],[HOC Date]]+1,Table1[[#This Row],[OHC Date]]-Table1[[#This Row],[HOC Date]]+1)/7</f>
        <v>2.8571428571428572</v>
      </c>
      <c r="V730" s="168">
        <v>1820.72</v>
      </c>
      <c r="W730" s="168">
        <v>95.83</v>
      </c>
      <c r="X730" s="168">
        <f>ROUND(0.7*Table1[[#This Row],[E&amp;D Rate per unit]]*R730*Table1[[#This Row],[Quantity]],2)</f>
        <v>0</v>
      </c>
      <c r="Y730" s="168">
        <f>ROUND(O730*U730*W730*S730,2)</f>
        <v>0</v>
      </c>
      <c r="Z730" s="168">
        <f>ROUND(0.3*T730*Table1[[#This Row],[E&amp;D Rate per unit]]*Table1[[#This Row],[Quantity]],2)</f>
        <v>0</v>
      </c>
      <c r="AA730" s="168">
        <f>ROUND(X730+Z730+Y730,2)</f>
        <v>0</v>
      </c>
      <c r="AB730" s="169"/>
      <c r="AC730" s="169">
        <f>Table1[[#This Row],[Total Amount]]-Table1[[#This Row],[Previous Amount]]</f>
        <v>0</v>
      </c>
      <c r="AD730" s="170" t="s">
        <v>867</v>
      </c>
    </row>
    <row r="731" spans="1:30" ht="30" customHeight="1" x14ac:dyDescent="0.3">
      <c r="A731" s="161" t="s">
        <v>863</v>
      </c>
      <c r="B731" s="161" t="s">
        <v>864</v>
      </c>
      <c r="C731" s="162">
        <v>2</v>
      </c>
      <c r="D731" s="190">
        <v>75852</v>
      </c>
      <c r="E731" s="162"/>
      <c r="F731" s="163" t="s">
        <v>865</v>
      </c>
      <c r="G731" s="17" t="s">
        <v>200</v>
      </c>
      <c r="H731" s="162" t="s">
        <v>866</v>
      </c>
      <c r="I731" s="162">
        <v>1</v>
      </c>
      <c r="J731" s="193">
        <v>5.2</v>
      </c>
      <c r="K731" s="193">
        <v>3.9</v>
      </c>
      <c r="L731" s="193">
        <v>2</v>
      </c>
      <c r="M731" s="162"/>
      <c r="N731" s="164" t="s">
        <v>56</v>
      </c>
      <c r="O731" s="164">
        <v>0</v>
      </c>
      <c r="P731" s="194">
        <v>44932</v>
      </c>
      <c r="Q731" s="165"/>
      <c r="R731" s="166">
        <v>1</v>
      </c>
      <c r="S731" s="166">
        <v>1</v>
      </c>
      <c r="T731" s="166"/>
      <c r="U731" s="167">
        <f>IF(ISBLANK(Table1[[#This Row],[OHC Date]]),$B$7-Table1[[#This Row],[HOC Date]]+1,Table1[[#This Row],[OHC Date]]-Table1[[#This Row],[HOC Date]]+1)/7</f>
        <v>2.8571428571428572</v>
      </c>
      <c r="V731" s="168">
        <v>1820.72</v>
      </c>
      <c r="W731" s="168">
        <v>95.83</v>
      </c>
      <c r="X731" s="168">
        <f>ROUND(0.7*Table1[[#This Row],[E&amp;D Rate per unit]]*R731*Table1[[#This Row],[Quantity]],2)</f>
        <v>0</v>
      </c>
      <c r="Y731" s="168">
        <f>ROUND(O731*U731*W731*S731,2)</f>
        <v>0</v>
      </c>
      <c r="Z731" s="168">
        <f>ROUND(0.3*T731*Table1[[#This Row],[E&amp;D Rate per unit]]*Table1[[#This Row],[Quantity]],2)</f>
        <v>0</v>
      </c>
      <c r="AA731" s="168">
        <f>ROUND(X731+Z731+Y731,2)</f>
        <v>0</v>
      </c>
      <c r="AB731" s="169"/>
      <c r="AC731" s="169">
        <f>Table1[[#This Row],[Total Amount]]-Table1[[#This Row],[Previous Amount]]</f>
        <v>0</v>
      </c>
      <c r="AD731" s="170" t="s">
        <v>867</v>
      </c>
    </row>
    <row r="732" spans="1:30" ht="26.25" customHeight="1" x14ac:dyDescent="0.3">
      <c r="A732" s="22" t="s">
        <v>34</v>
      </c>
      <c r="B732" s="22"/>
      <c r="C732" s="23"/>
      <c r="D732" s="23">
        <f>SUBTOTAL(103,Table1[HOC])</f>
        <v>712</v>
      </c>
      <c r="E732" s="23">
        <f>SUBTOTAL(103,Table1[OHC])</f>
        <v>348</v>
      </c>
      <c r="F732" s="24"/>
      <c r="G732" s="24"/>
      <c r="H732" s="23"/>
      <c r="I732" s="23"/>
      <c r="J732" s="23"/>
      <c r="K732" s="23"/>
      <c r="L732" s="23"/>
      <c r="M732" s="23"/>
      <c r="N732" s="23"/>
      <c r="O732" s="23"/>
      <c r="P732" s="119"/>
      <c r="Q732" s="119"/>
      <c r="R732" s="23"/>
      <c r="S732" s="23"/>
      <c r="T732" s="23"/>
      <c r="U732" s="23"/>
      <c r="V732" s="23"/>
      <c r="W732" s="23"/>
      <c r="X732" s="25">
        <f>SUBTOTAL(109,Table1[Erect Charges])</f>
        <v>711538.08000000217</v>
      </c>
      <c r="Y732" s="25">
        <f>SUBTOTAL(109,Table1[Hire Charges])</f>
        <v>600500.07999999984</v>
      </c>
      <c r="Z732" s="25">
        <f>SUBTOTAL(109,Table1[Dismantle Charges])</f>
        <v>70576.189999999973</v>
      </c>
      <c r="AA732" s="25">
        <f>SUBTOTAL(109,Table1[Total Amount])</f>
        <v>1382614.3500000022</v>
      </c>
      <c r="AB732" s="25">
        <f>SUBTOTAL(109,Table1[Previous Amount])</f>
        <v>1000509.4709400303</v>
      </c>
      <c r="AC732" s="25">
        <f>SUBTOTAL(109,Table1[Net Amount])</f>
        <v>382104.87905997044</v>
      </c>
      <c r="AD732" s="26"/>
    </row>
    <row r="733" spans="1:30" x14ac:dyDescent="0.35">
      <c r="F733" s="27"/>
      <c r="G733" s="27"/>
      <c r="P733" s="116"/>
      <c r="Y733" s="11"/>
      <c r="Z733" s="11"/>
      <c r="AA733" s="28"/>
      <c r="AB733" s="28"/>
      <c r="AC733" s="28"/>
      <c r="AD733" s="28"/>
    </row>
    <row r="734" spans="1:30" x14ac:dyDescent="0.35">
      <c r="P734" s="116"/>
      <c r="Y734" s="11"/>
      <c r="Z734" s="11"/>
      <c r="AA734" s="28"/>
      <c r="AB734" s="28"/>
      <c r="AC734" s="28"/>
      <c r="AD734" s="28"/>
    </row>
    <row r="735" spans="1:30" x14ac:dyDescent="0.35">
      <c r="P735" s="116"/>
      <c r="Y735" s="11"/>
      <c r="Z735" s="11"/>
      <c r="AA735" s="28"/>
      <c r="AB735" s="28"/>
      <c r="AC735" s="28"/>
      <c r="AD735" s="28"/>
    </row>
    <row r="736" spans="1:30" x14ac:dyDescent="0.35">
      <c r="P736" s="116"/>
    </row>
    <row r="737" spans="16:16" x14ac:dyDescent="0.35">
      <c r="P737" s="116"/>
    </row>
    <row r="738" spans="16:16" x14ac:dyDescent="0.35">
      <c r="P738" s="116"/>
    </row>
    <row r="739" spans="16:16" x14ac:dyDescent="0.35">
      <c r="P739" s="116"/>
    </row>
    <row r="740" spans="16:16" x14ac:dyDescent="0.35">
      <c r="P740" s="116"/>
    </row>
    <row r="741" spans="16:16" x14ac:dyDescent="0.35">
      <c r="P741" s="116"/>
    </row>
    <row r="742" spans="16:16" x14ac:dyDescent="0.35">
      <c r="P742" s="116"/>
    </row>
    <row r="743" spans="16:16" x14ac:dyDescent="0.35">
      <c r="P743" s="116"/>
    </row>
    <row r="744" spans="16:16" x14ac:dyDescent="0.35">
      <c r="P744" s="116"/>
    </row>
    <row r="745" spans="16:16" x14ac:dyDescent="0.35">
      <c r="P745" s="116"/>
    </row>
    <row r="746" spans="16:16" x14ac:dyDescent="0.35">
      <c r="P746" s="116"/>
    </row>
  </sheetData>
  <mergeCells count="2">
    <mergeCell ref="A2:E2"/>
    <mergeCell ref="A3:E3"/>
  </mergeCells>
  <phoneticPr fontId="15" type="noConversion"/>
  <dataValidations count="1">
    <dataValidation type="list" allowBlank="1" showInputMessage="1" showErrorMessage="1" sqref="N10:N731" xr:uid="{00000000-0002-0000-0000-000000000000}">
      <formula1>"m3,m2-LxH,m2-LxW,rm,lm,unit"</formula1>
    </dataValidation>
  </dataValidations>
  <pageMargins left="0.7" right="0.7" top="0.75" bottom="0.75" header="0.3" footer="0.3"/>
  <pageSetup paperSize="8" scale="36" fitToHeight="0" orientation="landscape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2640DE-5D9B-486C-AD03-5F3B770FF146}">
          <x14:formula1>
            <xm:f>'Order References'!$D$3:$D$44</xm:f>
          </x14:formula1>
          <xm:sqref>H70:H76 H89:H90 H109:H110 H116:H117 H129:H131 H133 H140:H142 H144 H155:H156 H161 H171 H174:H175 H177 H185:H186 H195:H196 H200 H213 H221:H223 H250 H293:H296 H301 H313 H324 H330 H346 H348 H351 H354 H358 H360 H362 H364 H366 H240:H241 H258:H259 H266 H272:H273 H276 H279 H282 H284 H315 H344 H211 H138 H126:H127 H107 H369 H374 H385 H478 H461:H462 H464 H466 H469 H476 H406:H407 H412:H413 H416:H418 H447:H448 H456 H434 H436:H437 H505 H539:H540 H547 H551:H552 H598 H643 H646 H650 H674 H682:H683 H698 H701 H513 H544:H545 H558 H560 H579 H606 H635 H652 H695 H703 H706 H710 H715 H723</xm:sqref>
        </x14:dataValidation>
        <x14:dataValidation type="list" allowBlank="1" showInputMessage="1" showErrorMessage="1" xr:uid="{B505E865-0EFE-4F00-B688-2D5837D22E75}">
          <x14:formula1>
            <xm:f>'C:\Users\A Basha\Desktop\[Dorchester Hotel &amp; Residences-202301.....00.xlsx]Order References'!#REF!</xm:f>
          </x14:formula1>
          <xm:sqref>A507</xm:sqref>
        </x14:dataValidation>
        <x14:dataValidation type="list" allowBlank="1" showInputMessage="1" showErrorMessage="1" xr:uid="{8794D2FA-C92D-40A7-A257-54B502282F86}">
          <x14:formula1>
            <xm:f>'PA Front Sheet'!$M$3:$M$4</xm:f>
          </x14:formula1>
          <xm:sqref>B10:B729</xm:sqref>
        </x14:dataValidation>
        <x14:dataValidation type="list" allowBlank="1" showInputMessage="1" showErrorMessage="1" xr:uid="{A31C595E-9176-4B7A-A5E9-5C4781E7A121}">
          <x14:formula1>
            <xm:f>'Order References'!$C$3:$C$176</xm:f>
          </x14:formula1>
          <xm:sqref>A10:A506 A508:A563 A710:A729 A687:A708 A669:A684 A646:A667 A592:A644 A589:A590 A570:A587 A565:A568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15F0-ED15-4C8A-AD77-F8B71C4A7F4B}">
  <dimension ref="A1:H27"/>
  <sheetViews>
    <sheetView topLeftCell="A22" workbookViewId="0">
      <selection activeCell="E32" sqref="E32"/>
    </sheetView>
  </sheetViews>
  <sheetFormatPr defaultRowHeight="14.5" x14ac:dyDescent="0.35"/>
  <cols>
    <col min="1" max="1" width="21.7265625" customWidth="1"/>
    <col min="2" max="2" width="18.7265625" customWidth="1"/>
    <col min="3" max="3" width="13.1796875" customWidth="1"/>
    <col min="4" max="5" width="15.1796875" style="160" customWidth="1"/>
    <col min="6" max="6" width="26.7265625" style="160" customWidth="1"/>
  </cols>
  <sheetData>
    <row r="1" spans="1:8" x14ac:dyDescent="0.35">
      <c r="A1" s="244" t="s">
        <v>57</v>
      </c>
      <c r="B1" s="244"/>
      <c r="C1" s="244"/>
      <c r="D1" s="244"/>
      <c r="E1" s="244"/>
      <c r="F1" s="244"/>
    </row>
    <row r="2" spans="1:8" x14ac:dyDescent="0.35">
      <c r="A2" s="9" t="s">
        <v>20</v>
      </c>
      <c r="B2" s="9">
        <v>5</v>
      </c>
      <c r="C2" s="8"/>
      <c r="D2" s="159"/>
      <c r="E2" s="159"/>
      <c r="F2" s="159"/>
    </row>
    <row r="3" spans="1:8" x14ac:dyDescent="0.35">
      <c r="A3" s="9" t="s">
        <v>16</v>
      </c>
      <c r="B3" s="9" t="s">
        <v>86</v>
      </c>
      <c r="C3" s="8"/>
      <c r="D3" s="159"/>
      <c r="E3" s="159"/>
      <c r="F3" s="159"/>
    </row>
    <row r="4" spans="1:8" x14ac:dyDescent="0.35">
      <c r="A4" s="9" t="s">
        <v>55</v>
      </c>
      <c r="B4" s="9" t="s">
        <v>85</v>
      </c>
      <c r="C4" s="8"/>
      <c r="D4" s="159"/>
      <c r="E4" s="159"/>
      <c r="F4" s="159"/>
    </row>
    <row r="5" spans="1:8" x14ac:dyDescent="0.35">
      <c r="A5" s="9" t="s">
        <v>87</v>
      </c>
      <c r="B5" s="10">
        <v>44951</v>
      </c>
      <c r="C5" s="8"/>
      <c r="D5" s="159"/>
      <c r="E5" s="159"/>
      <c r="F5" s="159"/>
    </row>
    <row r="6" spans="1:8" ht="15" thickBot="1" x14ac:dyDescent="0.4"/>
    <row r="7" spans="1:8" ht="30" customHeight="1" thickBot="1" x14ac:dyDescent="0.4">
      <c r="A7" s="245" t="s">
        <v>79</v>
      </c>
      <c r="B7" s="246"/>
      <c r="C7" s="246"/>
      <c r="D7" s="246"/>
      <c r="E7" s="246"/>
      <c r="F7" s="247"/>
    </row>
    <row r="8" spans="1:8" ht="30" customHeight="1" x14ac:dyDescent="0.35">
      <c r="A8" s="94" t="s">
        <v>30</v>
      </c>
      <c r="B8" s="95" t="s">
        <v>31</v>
      </c>
      <c r="C8" s="95" t="s">
        <v>80</v>
      </c>
      <c r="D8" s="96" t="s">
        <v>34</v>
      </c>
      <c r="E8" s="96" t="s">
        <v>42</v>
      </c>
      <c r="F8" s="95" t="s">
        <v>174</v>
      </c>
    </row>
    <row r="9" spans="1:8" ht="30" customHeight="1" x14ac:dyDescent="0.35">
      <c r="A9" s="175">
        <v>62652</v>
      </c>
      <c r="B9" s="176">
        <v>44822</v>
      </c>
      <c r="C9" s="97">
        <v>26</v>
      </c>
      <c r="D9" s="171">
        <f>20.5*C9</f>
        <v>533</v>
      </c>
      <c r="E9" s="171">
        <v>533</v>
      </c>
      <c r="F9" s="171">
        <f>Table37[[#This Row],[Total]]-Table37[[#This Row],[Previous]]</f>
        <v>0</v>
      </c>
      <c r="H9" t="s">
        <v>295</v>
      </c>
    </row>
    <row r="10" spans="1:8" ht="30" customHeight="1" x14ac:dyDescent="0.35">
      <c r="A10" s="175">
        <v>62653</v>
      </c>
      <c r="B10" s="176">
        <v>44834</v>
      </c>
      <c r="C10" s="97">
        <v>6</v>
      </c>
      <c r="D10" s="171">
        <f t="shared" ref="D10:D26" si="0">20.5*C10</f>
        <v>123</v>
      </c>
      <c r="E10" s="171">
        <v>123</v>
      </c>
      <c r="F10" s="171">
        <f>Table37[[#This Row],[Total]]-Table37[[#This Row],[Previous]]</f>
        <v>0</v>
      </c>
    </row>
    <row r="11" spans="1:8" ht="30" customHeight="1" x14ac:dyDescent="0.35">
      <c r="A11" s="177">
        <v>62654</v>
      </c>
      <c r="B11" s="176">
        <v>44844</v>
      </c>
      <c r="C11" s="98">
        <v>30</v>
      </c>
      <c r="D11" s="171">
        <f>20.5*C11</f>
        <v>615</v>
      </c>
      <c r="E11" s="171">
        <v>615</v>
      </c>
      <c r="F11" s="171">
        <f>Table37[[#This Row],[Total]]-Table37[[#This Row],[Previous]]</f>
        <v>0</v>
      </c>
    </row>
    <row r="12" spans="1:8" ht="30" customHeight="1" x14ac:dyDescent="0.35">
      <c r="A12" s="177">
        <v>62655</v>
      </c>
      <c r="B12" s="176">
        <v>44881</v>
      </c>
      <c r="C12" s="98">
        <v>8</v>
      </c>
      <c r="D12" s="171">
        <f t="shared" si="0"/>
        <v>164</v>
      </c>
      <c r="E12" s="171">
        <v>164</v>
      </c>
      <c r="F12" s="171">
        <f>Table37[[#This Row],[Total]]-Table37[[#This Row],[Previous]]</f>
        <v>0</v>
      </c>
    </row>
    <row r="13" spans="1:8" ht="30" customHeight="1" x14ac:dyDescent="0.35">
      <c r="A13" s="177">
        <v>62657</v>
      </c>
      <c r="B13" s="176">
        <v>44886</v>
      </c>
      <c r="C13" s="98">
        <v>54</v>
      </c>
      <c r="D13" s="171">
        <f t="shared" si="0"/>
        <v>1107</v>
      </c>
      <c r="E13" s="171">
        <v>1107</v>
      </c>
      <c r="F13" s="171">
        <f>Table37[[#This Row],[Total]]-Table37[[#This Row],[Previous]]</f>
        <v>0</v>
      </c>
    </row>
    <row r="14" spans="1:8" ht="30" customHeight="1" x14ac:dyDescent="0.35">
      <c r="A14" s="177">
        <v>62658</v>
      </c>
      <c r="B14" s="176">
        <v>44886</v>
      </c>
      <c r="C14" s="99">
        <v>16</v>
      </c>
      <c r="D14" s="172">
        <f t="shared" si="0"/>
        <v>328</v>
      </c>
      <c r="E14" s="172">
        <v>328</v>
      </c>
      <c r="F14" s="173">
        <f>Table37[[#This Row],[Total]]-Table37[[#This Row],[Previous]]</f>
        <v>0</v>
      </c>
    </row>
    <row r="15" spans="1:8" ht="30" customHeight="1" x14ac:dyDescent="0.35">
      <c r="A15" s="177">
        <v>62661</v>
      </c>
      <c r="B15" s="176">
        <v>44917</v>
      </c>
      <c r="C15" s="98">
        <v>5</v>
      </c>
      <c r="D15" s="173">
        <f t="shared" si="0"/>
        <v>102.5</v>
      </c>
      <c r="E15" s="173">
        <v>102.5</v>
      </c>
      <c r="F15" s="173">
        <f>Table37[[#This Row],[Total]]-Table37[[#This Row],[Previous]]</f>
        <v>0</v>
      </c>
    </row>
    <row r="16" spans="1:8" ht="30" customHeight="1" x14ac:dyDescent="0.35">
      <c r="A16" s="177">
        <v>62662</v>
      </c>
      <c r="B16" s="176">
        <v>44918</v>
      </c>
      <c r="C16" s="98">
        <v>10</v>
      </c>
      <c r="D16" s="173">
        <f t="shared" si="0"/>
        <v>205</v>
      </c>
      <c r="E16" s="173">
        <v>205</v>
      </c>
      <c r="F16" s="173">
        <f>Table37[[#This Row],[Total]]-Table37[[#This Row],[Previous]]</f>
        <v>0</v>
      </c>
    </row>
    <row r="17" spans="1:6" ht="30" customHeight="1" x14ac:dyDescent="0.35">
      <c r="A17" s="177">
        <v>62663</v>
      </c>
      <c r="B17" s="176">
        <v>44921</v>
      </c>
      <c r="C17" s="98">
        <v>30</v>
      </c>
      <c r="D17" s="173">
        <f t="shared" si="0"/>
        <v>615</v>
      </c>
      <c r="E17" s="173">
        <v>0</v>
      </c>
      <c r="F17" s="173">
        <f>Table37[[#This Row],[Total]]-Table37[[#This Row],[Previous]]</f>
        <v>615</v>
      </c>
    </row>
    <row r="18" spans="1:6" ht="30" customHeight="1" x14ac:dyDescent="0.35">
      <c r="A18" s="178">
        <v>62664</v>
      </c>
      <c r="B18" s="176">
        <v>44921</v>
      </c>
      <c r="C18" s="154">
        <v>24</v>
      </c>
      <c r="D18" s="174">
        <f t="shared" si="0"/>
        <v>492</v>
      </c>
      <c r="E18" s="173">
        <v>0</v>
      </c>
      <c r="F18" s="173">
        <f>Table37[[#This Row],[Total]]-Table37[[#This Row],[Previous]]</f>
        <v>492</v>
      </c>
    </row>
    <row r="19" spans="1:6" ht="30" customHeight="1" x14ac:dyDescent="0.35">
      <c r="A19" s="178">
        <v>62665</v>
      </c>
      <c r="B19" s="176">
        <v>44935</v>
      </c>
      <c r="C19" s="154">
        <v>20</v>
      </c>
      <c r="D19" s="174">
        <f t="shared" si="0"/>
        <v>410</v>
      </c>
      <c r="E19" s="173">
        <v>0</v>
      </c>
      <c r="F19" s="173">
        <f>Table37[[#This Row],[Total]]-Table37[[#This Row],[Previous]]</f>
        <v>410</v>
      </c>
    </row>
    <row r="20" spans="1:6" ht="30" customHeight="1" x14ac:dyDescent="0.35">
      <c r="A20" s="178">
        <v>62667</v>
      </c>
      <c r="B20" s="176">
        <v>44936</v>
      </c>
      <c r="C20" s="154">
        <v>6</v>
      </c>
      <c r="D20" s="174">
        <f t="shared" si="0"/>
        <v>123</v>
      </c>
      <c r="E20" s="173">
        <v>0</v>
      </c>
      <c r="F20" s="173">
        <f>Table37[[#This Row],[Total]]-Table37[[#This Row],[Previous]]</f>
        <v>123</v>
      </c>
    </row>
    <row r="21" spans="1:6" ht="30" customHeight="1" x14ac:dyDescent="0.35">
      <c r="A21" s="178">
        <v>62668</v>
      </c>
      <c r="B21" s="176">
        <v>44947</v>
      </c>
      <c r="C21" s="154">
        <v>47.5</v>
      </c>
      <c r="D21" s="174">
        <f t="shared" si="0"/>
        <v>973.75</v>
      </c>
      <c r="E21" s="173">
        <v>0</v>
      </c>
      <c r="F21" s="173">
        <f>Table37[[#This Row],[Total]]-Table37[[#This Row],[Previous]]</f>
        <v>973.75</v>
      </c>
    </row>
    <row r="22" spans="1:6" ht="30" customHeight="1" x14ac:dyDescent="0.35">
      <c r="A22" s="178">
        <v>62670</v>
      </c>
      <c r="B22" s="176">
        <v>44947</v>
      </c>
      <c r="C22" s="154">
        <v>12</v>
      </c>
      <c r="D22" s="174">
        <f t="shared" si="0"/>
        <v>246</v>
      </c>
      <c r="E22" s="173">
        <v>0</v>
      </c>
      <c r="F22" s="173">
        <f>Table37[[#This Row],[Total]]-Table37[[#This Row],[Previous]]</f>
        <v>246</v>
      </c>
    </row>
    <row r="23" spans="1:6" ht="30" customHeight="1" x14ac:dyDescent="0.35">
      <c r="A23" s="178">
        <v>62671</v>
      </c>
      <c r="B23" s="176">
        <v>44947</v>
      </c>
      <c r="C23" s="154">
        <v>32.5</v>
      </c>
      <c r="D23" s="174">
        <f t="shared" si="0"/>
        <v>666.25</v>
      </c>
      <c r="E23" s="173">
        <v>0</v>
      </c>
      <c r="F23" s="173">
        <f>Table37[[#This Row],[Total]]-Table37[[#This Row],[Previous]]</f>
        <v>666.25</v>
      </c>
    </row>
    <row r="24" spans="1:6" ht="30" customHeight="1" x14ac:dyDescent="0.35">
      <c r="A24" s="178">
        <v>62669</v>
      </c>
      <c r="B24" s="176">
        <v>44949</v>
      </c>
      <c r="C24" s="154">
        <v>47.5</v>
      </c>
      <c r="D24" s="174">
        <f t="shared" si="0"/>
        <v>973.75</v>
      </c>
      <c r="E24" s="173">
        <v>0</v>
      </c>
      <c r="F24" s="173">
        <f>Table37[[#This Row],[Total]]-Table37[[#This Row],[Previous]]</f>
        <v>973.75</v>
      </c>
    </row>
    <row r="25" spans="1:6" ht="30" customHeight="1" x14ac:dyDescent="0.35">
      <c r="A25" s="178">
        <v>62673</v>
      </c>
      <c r="B25" s="176">
        <v>44949</v>
      </c>
      <c r="C25" s="154">
        <v>25</v>
      </c>
      <c r="D25" s="174">
        <f t="shared" si="0"/>
        <v>512.5</v>
      </c>
      <c r="E25" s="173">
        <v>0</v>
      </c>
      <c r="F25" s="173">
        <f>Table37[[#This Row],[Total]]-Table37[[#This Row],[Previous]]</f>
        <v>512.5</v>
      </c>
    </row>
    <row r="26" spans="1:6" ht="30" customHeight="1" x14ac:dyDescent="0.35">
      <c r="A26" s="178">
        <v>62672</v>
      </c>
      <c r="B26" s="176">
        <v>44950</v>
      </c>
      <c r="C26" s="154">
        <v>47.5</v>
      </c>
      <c r="D26" s="174">
        <f t="shared" si="0"/>
        <v>973.75</v>
      </c>
      <c r="E26" s="173">
        <v>0</v>
      </c>
      <c r="F26" s="173">
        <f>Table37[[#This Row],[Total]]-Table37[[#This Row],[Previous]]</f>
        <v>973.75</v>
      </c>
    </row>
    <row r="27" spans="1:6" ht="27" customHeight="1" x14ac:dyDescent="0.35">
      <c r="A27" s="177" t="s">
        <v>34</v>
      </c>
      <c r="B27" s="98"/>
      <c r="C27" s="98">
        <f>SUBTOTAL(109,Table37[Hrs])</f>
        <v>447</v>
      </c>
      <c r="D27" s="173">
        <f>SUBTOTAL(109,Table37[Total])</f>
        <v>9163.5</v>
      </c>
      <c r="E27" s="173">
        <f>SUM(E9:E26)</f>
        <v>3177.5</v>
      </c>
      <c r="F27" s="173">
        <f>SUBTOTAL(109,Table37[Net Amount])</f>
        <v>5986</v>
      </c>
    </row>
  </sheetData>
  <mergeCells count="2">
    <mergeCell ref="A7:F7"/>
    <mergeCell ref="A1:F1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D0E0-4AAD-48B0-B15A-3A46E7422E84}">
  <dimension ref="B1:J176"/>
  <sheetViews>
    <sheetView topLeftCell="B1" workbookViewId="0">
      <selection activeCell="D23" sqref="D23:H24"/>
    </sheetView>
  </sheetViews>
  <sheetFormatPr defaultRowHeight="14.5" x14ac:dyDescent="0.35"/>
  <cols>
    <col min="1" max="1" width="2" customWidth="1"/>
    <col min="2" max="2" width="8.54296875" bestFit="1" customWidth="1"/>
    <col min="3" max="3" width="20.81640625" bestFit="1" customWidth="1"/>
    <col min="4" max="4" width="24.453125" bestFit="1" customWidth="1"/>
    <col min="5" max="5" width="7.54296875" customWidth="1"/>
    <col min="6" max="6" width="17.453125" customWidth="1"/>
    <col min="7" max="7" width="12.7265625" customWidth="1"/>
    <col min="8" max="8" width="9.7265625" customWidth="1"/>
    <col min="10" max="10" width="10.7265625" bestFit="1" customWidth="1"/>
  </cols>
  <sheetData>
    <row r="1" spans="2:8" ht="15" thickBot="1" x14ac:dyDescent="0.4"/>
    <row r="2" spans="2:8" ht="21" x14ac:dyDescent="0.35">
      <c r="B2" s="109" t="s">
        <v>103</v>
      </c>
      <c r="C2" s="110" t="s">
        <v>104</v>
      </c>
      <c r="D2" s="110" t="s">
        <v>105</v>
      </c>
      <c r="E2" s="110" t="s">
        <v>106</v>
      </c>
      <c r="F2" s="110" t="s">
        <v>107</v>
      </c>
      <c r="G2" s="110" t="s">
        <v>108</v>
      </c>
      <c r="H2" s="111" t="s">
        <v>109</v>
      </c>
    </row>
    <row r="3" spans="2:8" x14ac:dyDescent="0.35">
      <c r="B3" s="112">
        <v>1</v>
      </c>
      <c r="C3" s="100" t="s">
        <v>89</v>
      </c>
      <c r="D3" s="100" t="s">
        <v>110</v>
      </c>
      <c r="E3" s="100">
        <v>0</v>
      </c>
      <c r="F3" s="100" t="s">
        <v>111</v>
      </c>
      <c r="G3" s="100" t="s">
        <v>112</v>
      </c>
      <c r="H3" s="113">
        <v>63.34</v>
      </c>
    </row>
    <row r="4" spans="2:8" x14ac:dyDescent="0.35">
      <c r="B4" s="112">
        <v>2</v>
      </c>
      <c r="C4" s="100" t="s">
        <v>89</v>
      </c>
      <c r="D4" s="100" t="s">
        <v>110</v>
      </c>
      <c r="E4" s="100">
        <v>0</v>
      </c>
      <c r="F4" s="100" t="s">
        <v>212</v>
      </c>
      <c r="G4" s="100" t="s">
        <v>112</v>
      </c>
      <c r="H4" s="113">
        <v>7.28</v>
      </c>
    </row>
    <row r="5" spans="2:8" x14ac:dyDescent="0.35">
      <c r="B5" s="112">
        <v>3</v>
      </c>
      <c r="C5" s="100" t="s">
        <v>89</v>
      </c>
      <c r="D5" s="100" t="s">
        <v>113</v>
      </c>
      <c r="E5" s="100">
        <v>0</v>
      </c>
      <c r="F5" s="100" t="s">
        <v>111</v>
      </c>
      <c r="G5" s="100" t="s">
        <v>112</v>
      </c>
      <c r="H5" s="113">
        <v>103.33</v>
      </c>
    </row>
    <row r="6" spans="2:8" x14ac:dyDescent="0.35">
      <c r="B6" s="112">
        <v>4</v>
      </c>
      <c r="C6" s="100" t="s">
        <v>89</v>
      </c>
      <c r="D6" s="100" t="s">
        <v>113</v>
      </c>
      <c r="E6" s="100">
        <v>0</v>
      </c>
      <c r="F6" s="100" t="s">
        <v>212</v>
      </c>
      <c r="G6" s="100" t="s">
        <v>112</v>
      </c>
      <c r="H6" s="113">
        <v>10.29</v>
      </c>
    </row>
    <row r="7" spans="2:8" x14ac:dyDescent="0.35">
      <c r="B7" s="112">
        <v>5</v>
      </c>
      <c r="C7" s="100" t="s">
        <v>89</v>
      </c>
      <c r="D7" s="100" t="s">
        <v>114</v>
      </c>
      <c r="E7" s="100">
        <v>0</v>
      </c>
      <c r="F7" s="100" t="s">
        <v>111</v>
      </c>
      <c r="G7" s="100" t="s">
        <v>112</v>
      </c>
      <c r="H7" s="113">
        <v>148</v>
      </c>
    </row>
    <row r="8" spans="2:8" x14ac:dyDescent="0.35">
      <c r="B8" s="112">
        <v>6</v>
      </c>
      <c r="C8" s="100" t="s">
        <v>89</v>
      </c>
      <c r="D8" s="100" t="s">
        <v>115</v>
      </c>
      <c r="E8" s="100">
        <v>0</v>
      </c>
      <c r="F8" s="100" t="s">
        <v>212</v>
      </c>
      <c r="G8" s="100" t="s">
        <v>112</v>
      </c>
      <c r="H8" s="113">
        <v>12.88</v>
      </c>
    </row>
    <row r="9" spans="2:8" x14ac:dyDescent="0.35">
      <c r="B9" s="112">
        <v>7</v>
      </c>
      <c r="C9" s="100" t="s">
        <v>89</v>
      </c>
      <c r="D9" s="100" t="s">
        <v>116</v>
      </c>
      <c r="E9" s="100">
        <v>0</v>
      </c>
      <c r="F9" s="100" t="s">
        <v>111</v>
      </c>
      <c r="G9" s="100" t="s">
        <v>117</v>
      </c>
      <c r="H9" s="113">
        <v>12.01</v>
      </c>
    </row>
    <row r="10" spans="2:8" x14ac:dyDescent="0.35">
      <c r="B10" s="112">
        <v>8</v>
      </c>
      <c r="C10" s="100" t="s">
        <v>89</v>
      </c>
      <c r="D10" s="100" t="s">
        <v>116</v>
      </c>
      <c r="E10" s="100">
        <v>0</v>
      </c>
      <c r="F10" s="100" t="s">
        <v>212</v>
      </c>
      <c r="G10" s="100" t="s">
        <v>117</v>
      </c>
      <c r="H10" s="113">
        <v>0.49</v>
      </c>
    </row>
    <row r="11" spans="2:8" x14ac:dyDescent="0.35">
      <c r="B11" s="112">
        <v>9</v>
      </c>
      <c r="C11" s="100" t="s">
        <v>89</v>
      </c>
      <c r="D11" s="100" t="s">
        <v>118</v>
      </c>
      <c r="E11" s="100">
        <v>0</v>
      </c>
      <c r="F11" s="100" t="s">
        <v>111</v>
      </c>
      <c r="G11" s="100" t="s">
        <v>117</v>
      </c>
      <c r="H11" s="113">
        <v>16.760000000000002</v>
      </c>
    </row>
    <row r="12" spans="2:8" x14ac:dyDescent="0.35">
      <c r="B12" s="112">
        <v>10</v>
      </c>
      <c r="C12" s="100" t="s">
        <v>89</v>
      </c>
      <c r="D12" s="100" t="s">
        <v>118</v>
      </c>
      <c r="E12" s="100">
        <v>0</v>
      </c>
      <c r="F12" s="100" t="s">
        <v>212</v>
      </c>
      <c r="G12" s="100" t="s">
        <v>117</v>
      </c>
      <c r="H12" s="113">
        <v>0.77</v>
      </c>
    </row>
    <row r="13" spans="2:8" x14ac:dyDescent="0.35">
      <c r="B13" s="112">
        <v>11</v>
      </c>
      <c r="C13" s="100" t="s">
        <v>89</v>
      </c>
      <c r="D13" s="100" t="s">
        <v>119</v>
      </c>
      <c r="E13" s="100">
        <v>0</v>
      </c>
      <c r="F13" s="100" t="s">
        <v>111</v>
      </c>
      <c r="G13" s="100" t="s">
        <v>120</v>
      </c>
      <c r="H13" s="113">
        <v>7.08</v>
      </c>
    </row>
    <row r="14" spans="2:8" x14ac:dyDescent="0.35">
      <c r="B14" s="112">
        <v>12</v>
      </c>
      <c r="C14" s="100" t="s">
        <v>89</v>
      </c>
      <c r="D14" s="100" t="s">
        <v>119</v>
      </c>
      <c r="E14" s="100">
        <v>0</v>
      </c>
      <c r="F14" s="100" t="s">
        <v>212</v>
      </c>
      <c r="G14" s="100" t="s">
        <v>121</v>
      </c>
      <c r="H14" s="113">
        <v>0.49</v>
      </c>
    </row>
    <row r="15" spans="2:8" x14ac:dyDescent="0.35">
      <c r="B15" s="112">
        <v>13</v>
      </c>
      <c r="C15" s="100" t="s">
        <v>89</v>
      </c>
      <c r="D15" s="100" t="s">
        <v>122</v>
      </c>
      <c r="E15" s="100">
        <v>0</v>
      </c>
      <c r="F15" s="100" t="s">
        <v>111</v>
      </c>
      <c r="G15" s="100" t="s">
        <v>120</v>
      </c>
      <c r="H15" s="113">
        <v>10</v>
      </c>
    </row>
    <row r="16" spans="2:8" x14ac:dyDescent="0.35">
      <c r="B16" s="112">
        <v>14</v>
      </c>
      <c r="C16" s="100" t="s">
        <v>89</v>
      </c>
      <c r="D16" s="100" t="s">
        <v>122</v>
      </c>
      <c r="E16" s="100">
        <v>0</v>
      </c>
      <c r="F16" s="100" t="s">
        <v>212</v>
      </c>
      <c r="G16" s="100" t="s">
        <v>121</v>
      </c>
      <c r="H16" s="113">
        <v>0.91</v>
      </c>
    </row>
    <row r="17" spans="2:8" x14ac:dyDescent="0.35">
      <c r="B17" s="112">
        <v>15</v>
      </c>
      <c r="C17" s="100" t="s">
        <v>89</v>
      </c>
      <c r="D17" s="100" t="s">
        <v>123</v>
      </c>
      <c r="E17" s="100">
        <v>0</v>
      </c>
      <c r="F17" s="100" t="s">
        <v>111</v>
      </c>
      <c r="G17" s="100" t="s">
        <v>120</v>
      </c>
      <c r="H17" s="113">
        <v>5.29</v>
      </c>
    </row>
    <row r="18" spans="2:8" x14ac:dyDescent="0.35">
      <c r="B18" s="112">
        <v>16</v>
      </c>
      <c r="C18" s="100" t="s">
        <v>89</v>
      </c>
      <c r="D18" s="100" t="s">
        <v>123</v>
      </c>
      <c r="E18" s="100">
        <v>0</v>
      </c>
      <c r="F18" s="100" t="s">
        <v>212</v>
      </c>
      <c r="G18" s="100" t="s">
        <v>121</v>
      </c>
      <c r="H18" s="113">
        <v>0.35</v>
      </c>
    </row>
    <row r="19" spans="2:8" x14ac:dyDescent="0.35">
      <c r="B19" s="112">
        <v>17</v>
      </c>
      <c r="C19" s="100" t="s">
        <v>89</v>
      </c>
      <c r="D19" s="100" t="s">
        <v>124</v>
      </c>
      <c r="E19" s="100">
        <v>0</v>
      </c>
      <c r="F19" s="100" t="s">
        <v>111</v>
      </c>
      <c r="G19" s="100" t="s">
        <v>125</v>
      </c>
      <c r="H19" s="113">
        <v>6.63</v>
      </c>
    </row>
    <row r="20" spans="2:8" x14ac:dyDescent="0.35">
      <c r="B20" s="112">
        <v>18</v>
      </c>
      <c r="C20" s="100" t="s">
        <v>89</v>
      </c>
      <c r="D20" s="100" t="s">
        <v>124</v>
      </c>
      <c r="E20" s="100">
        <v>0</v>
      </c>
      <c r="F20" s="100" t="s">
        <v>212</v>
      </c>
      <c r="G20" s="100" t="s">
        <v>125</v>
      </c>
      <c r="H20" s="113">
        <v>0.7</v>
      </c>
    </row>
    <row r="21" spans="2:8" x14ac:dyDescent="0.35">
      <c r="B21" s="112">
        <v>19</v>
      </c>
      <c r="C21" s="100" t="s">
        <v>89</v>
      </c>
      <c r="D21" s="100" t="s">
        <v>126</v>
      </c>
      <c r="E21" s="100">
        <v>0</v>
      </c>
      <c r="F21" s="100" t="s">
        <v>111</v>
      </c>
      <c r="G21" s="100" t="s">
        <v>125</v>
      </c>
      <c r="H21" s="113">
        <v>32.75</v>
      </c>
    </row>
    <row r="22" spans="2:8" x14ac:dyDescent="0.35">
      <c r="B22" s="112">
        <v>20</v>
      </c>
      <c r="C22" s="100" t="s">
        <v>89</v>
      </c>
      <c r="D22" s="100" t="s">
        <v>126</v>
      </c>
      <c r="E22" s="100">
        <v>0</v>
      </c>
      <c r="F22" s="100" t="s">
        <v>212</v>
      </c>
      <c r="G22" s="100" t="s">
        <v>125</v>
      </c>
      <c r="H22" s="113">
        <v>1.05</v>
      </c>
    </row>
    <row r="23" spans="2:8" x14ac:dyDescent="0.35">
      <c r="B23" s="112">
        <v>21</v>
      </c>
      <c r="C23" s="100" t="s">
        <v>89</v>
      </c>
      <c r="D23" s="100" t="s">
        <v>127</v>
      </c>
      <c r="E23" s="100">
        <v>0</v>
      </c>
      <c r="F23" s="100" t="s">
        <v>111</v>
      </c>
      <c r="G23" s="100" t="s">
        <v>125</v>
      </c>
      <c r="H23" s="113">
        <v>36.520000000000003</v>
      </c>
    </row>
    <row r="24" spans="2:8" x14ac:dyDescent="0.35">
      <c r="B24" s="112">
        <v>22</v>
      </c>
      <c r="C24" s="100" t="s">
        <v>89</v>
      </c>
      <c r="D24" s="100" t="s">
        <v>127</v>
      </c>
      <c r="E24" s="100">
        <v>0</v>
      </c>
      <c r="F24" s="100" t="s">
        <v>212</v>
      </c>
      <c r="G24" s="100" t="s">
        <v>125</v>
      </c>
      <c r="H24" s="113">
        <v>2.94</v>
      </c>
    </row>
    <row r="25" spans="2:8" x14ac:dyDescent="0.35">
      <c r="B25" s="112">
        <v>23</v>
      </c>
      <c r="C25" s="100" t="s">
        <v>89</v>
      </c>
      <c r="D25" s="100" t="s">
        <v>128</v>
      </c>
      <c r="E25" s="100">
        <v>0</v>
      </c>
      <c r="F25" s="100" t="s">
        <v>111</v>
      </c>
      <c r="G25" s="100" t="s">
        <v>129</v>
      </c>
      <c r="H25" s="113">
        <v>37.43</v>
      </c>
    </row>
    <row r="26" spans="2:8" x14ac:dyDescent="0.35">
      <c r="B26" s="112">
        <v>24</v>
      </c>
      <c r="C26" s="100" t="s">
        <v>89</v>
      </c>
      <c r="D26" s="100" t="s">
        <v>128</v>
      </c>
      <c r="E26" s="100">
        <v>0</v>
      </c>
      <c r="F26" s="100" t="s">
        <v>212</v>
      </c>
      <c r="G26" s="100" t="s">
        <v>129</v>
      </c>
      <c r="H26" s="113">
        <v>1.4</v>
      </c>
    </row>
    <row r="27" spans="2:8" x14ac:dyDescent="0.35">
      <c r="B27" s="112">
        <v>25</v>
      </c>
      <c r="C27" s="100" t="s">
        <v>89</v>
      </c>
      <c r="D27" s="100" t="s">
        <v>130</v>
      </c>
      <c r="E27" s="100">
        <v>0</v>
      </c>
      <c r="F27" s="100" t="s">
        <v>111</v>
      </c>
      <c r="G27" s="100" t="s">
        <v>129</v>
      </c>
      <c r="H27" s="113">
        <v>0.3</v>
      </c>
    </row>
    <row r="28" spans="2:8" x14ac:dyDescent="0.35">
      <c r="B28" s="112">
        <v>26</v>
      </c>
      <c r="C28" s="100" t="s">
        <v>89</v>
      </c>
      <c r="D28" s="100" t="s">
        <v>130</v>
      </c>
      <c r="E28" s="100">
        <v>0</v>
      </c>
      <c r="F28" s="100" t="s">
        <v>212</v>
      </c>
      <c r="G28" s="100" t="s">
        <v>129</v>
      </c>
      <c r="H28" s="113">
        <v>0.14000000000000001</v>
      </c>
    </row>
    <row r="29" spans="2:8" x14ac:dyDescent="0.35">
      <c r="B29" s="112">
        <v>27</v>
      </c>
      <c r="C29" s="100" t="s">
        <v>89</v>
      </c>
      <c r="D29" s="100" t="s">
        <v>131</v>
      </c>
      <c r="E29" s="100">
        <v>0</v>
      </c>
      <c r="F29" s="100" t="s">
        <v>111</v>
      </c>
      <c r="G29" s="100" t="s">
        <v>129</v>
      </c>
      <c r="H29" s="113">
        <v>7</v>
      </c>
    </row>
    <row r="30" spans="2:8" x14ac:dyDescent="0.35">
      <c r="B30" s="112">
        <v>28</v>
      </c>
      <c r="C30" s="100" t="s">
        <v>89</v>
      </c>
      <c r="D30" s="100" t="s">
        <v>131</v>
      </c>
      <c r="E30" s="100">
        <v>0</v>
      </c>
      <c r="F30" s="100" t="s">
        <v>212</v>
      </c>
      <c r="G30" s="100" t="s">
        <v>129</v>
      </c>
      <c r="H30" s="113">
        <v>0.42</v>
      </c>
    </row>
    <row r="31" spans="2:8" x14ac:dyDescent="0.35">
      <c r="B31" s="112">
        <v>29</v>
      </c>
      <c r="C31" s="100" t="s">
        <v>89</v>
      </c>
      <c r="D31" s="100" t="s">
        <v>132</v>
      </c>
      <c r="E31" s="100">
        <v>0</v>
      </c>
      <c r="F31" s="100" t="s">
        <v>111</v>
      </c>
      <c r="G31" s="100" t="s">
        <v>129</v>
      </c>
      <c r="H31" s="113">
        <v>12</v>
      </c>
    </row>
    <row r="32" spans="2:8" x14ac:dyDescent="0.35">
      <c r="B32" s="112">
        <v>30</v>
      </c>
      <c r="C32" s="100" t="s">
        <v>89</v>
      </c>
      <c r="D32" s="100" t="s">
        <v>132</v>
      </c>
      <c r="E32" s="100">
        <v>0</v>
      </c>
      <c r="F32" s="100" t="s">
        <v>212</v>
      </c>
      <c r="G32" s="100" t="s">
        <v>129</v>
      </c>
      <c r="H32" s="113">
        <v>0.7</v>
      </c>
    </row>
    <row r="33" spans="2:8" x14ac:dyDescent="0.35">
      <c r="B33" s="112">
        <v>31</v>
      </c>
      <c r="C33" s="100" t="s">
        <v>89</v>
      </c>
      <c r="D33" s="100" t="s">
        <v>133</v>
      </c>
      <c r="E33" s="100">
        <v>0</v>
      </c>
      <c r="F33" s="100" t="s">
        <v>111</v>
      </c>
      <c r="G33" s="100" t="s">
        <v>129</v>
      </c>
      <c r="H33" s="113">
        <v>15</v>
      </c>
    </row>
    <row r="34" spans="2:8" x14ac:dyDescent="0.35">
      <c r="B34" s="112">
        <v>32</v>
      </c>
      <c r="C34" s="100" t="s">
        <v>89</v>
      </c>
      <c r="D34" s="100" t="s">
        <v>133</v>
      </c>
      <c r="E34" s="100">
        <v>0</v>
      </c>
      <c r="F34" s="100" t="s">
        <v>212</v>
      </c>
      <c r="G34" s="100" t="s">
        <v>129</v>
      </c>
      <c r="H34" s="113">
        <v>0.91</v>
      </c>
    </row>
    <row r="35" spans="2:8" x14ac:dyDescent="0.35">
      <c r="B35" s="112">
        <v>33</v>
      </c>
      <c r="C35" s="100" t="s">
        <v>89</v>
      </c>
      <c r="D35" s="100" t="s">
        <v>134</v>
      </c>
      <c r="E35" s="100">
        <v>0</v>
      </c>
      <c r="F35" s="100" t="s">
        <v>111</v>
      </c>
      <c r="G35" s="100" t="s">
        <v>129</v>
      </c>
      <c r="H35" s="113">
        <v>24</v>
      </c>
    </row>
    <row r="36" spans="2:8" x14ac:dyDescent="0.35">
      <c r="B36" s="112">
        <v>34</v>
      </c>
      <c r="C36" s="100" t="s">
        <v>89</v>
      </c>
      <c r="D36" s="100" t="s">
        <v>134</v>
      </c>
      <c r="E36" s="100">
        <v>0</v>
      </c>
      <c r="F36" s="100" t="s">
        <v>212</v>
      </c>
      <c r="G36" s="100" t="s">
        <v>129</v>
      </c>
      <c r="H36" s="113">
        <v>0.7</v>
      </c>
    </row>
    <row r="37" spans="2:8" x14ac:dyDescent="0.35">
      <c r="B37" s="112">
        <v>35</v>
      </c>
      <c r="C37" s="100" t="s">
        <v>89</v>
      </c>
      <c r="D37" s="100" t="s">
        <v>135</v>
      </c>
      <c r="E37" s="100">
        <v>0</v>
      </c>
      <c r="F37" s="100" t="s">
        <v>136</v>
      </c>
      <c r="G37" s="100" t="s">
        <v>117</v>
      </c>
      <c r="H37" s="113">
        <v>4.5199999999999996</v>
      </c>
    </row>
    <row r="38" spans="2:8" x14ac:dyDescent="0.35">
      <c r="B38" s="112">
        <v>36</v>
      </c>
      <c r="C38" s="100" t="s">
        <v>89</v>
      </c>
      <c r="D38" s="100" t="s">
        <v>137</v>
      </c>
      <c r="E38" s="100">
        <v>0</v>
      </c>
      <c r="F38" s="100" t="s">
        <v>136</v>
      </c>
      <c r="G38" s="100" t="s">
        <v>117</v>
      </c>
      <c r="H38" s="113">
        <v>4</v>
      </c>
    </row>
    <row r="39" spans="2:8" x14ac:dyDescent="0.35">
      <c r="B39" s="112">
        <v>37</v>
      </c>
      <c r="C39" s="100" t="s">
        <v>89</v>
      </c>
      <c r="D39" s="100" t="s">
        <v>138</v>
      </c>
      <c r="E39" s="100">
        <v>0</v>
      </c>
      <c r="F39" s="100" t="s">
        <v>111</v>
      </c>
      <c r="G39" s="100" t="s">
        <v>112</v>
      </c>
      <c r="H39" s="113">
        <v>250</v>
      </c>
    </row>
    <row r="40" spans="2:8" x14ac:dyDescent="0.35">
      <c r="B40" s="112">
        <v>38</v>
      </c>
      <c r="C40" s="100" t="s">
        <v>89</v>
      </c>
      <c r="D40" s="100" t="s">
        <v>138</v>
      </c>
      <c r="E40" s="100">
        <v>0</v>
      </c>
      <c r="F40" s="100" t="s">
        <v>212</v>
      </c>
      <c r="G40" s="100" t="s">
        <v>112</v>
      </c>
      <c r="H40" s="113">
        <v>14.35</v>
      </c>
    </row>
    <row r="41" spans="2:8" x14ac:dyDescent="0.35">
      <c r="B41" s="112">
        <v>39</v>
      </c>
      <c r="C41" s="100" t="s">
        <v>89</v>
      </c>
      <c r="D41" s="100" t="s">
        <v>139</v>
      </c>
      <c r="E41" s="100">
        <v>0</v>
      </c>
      <c r="F41" s="100" t="s">
        <v>111</v>
      </c>
      <c r="G41" s="100" t="s">
        <v>112</v>
      </c>
      <c r="H41" s="113">
        <v>376.2</v>
      </c>
    </row>
    <row r="42" spans="2:8" x14ac:dyDescent="0.35">
      <c r="B42" s="112">
        <v>40</v>
      </c>
      <c r="C42" s="100" t="s">
        <v>89</v>
      </c>
      <c r="D42" s="100" t="s">
        <v>139</v>
      </c>
      <c r="E42" s="100">
        <v>0</v>
      </c>
      <c r="F42" s="100" t="s">
        <v>212</v>
      </c>
      <c r="G42" s="100" t="s">
        <v>112</v>
      </c>
      <c r="H42" s="113">
        <v>40.11</v>
      </c>
    </row>
    <row r="43" spans="2:8" x14ac:dyDescent="0.35">
      <c r="B43" s="112">
        <v>41</v>
      </c>
      <c r="C43" s="100" t="s">
        <v>89</v>
      </c>
      <c r="D43" s="100" t="s">
        <v>140</v>
      </c>
      <c r="E43" s="100">
        <v>0</v>
      </c>
      <c r="F43" s="100" t="s">
        <v>79</v>
      </c>
      <c r="G43" s="100" t="s">
        <v>141</v>
      </c>
      <c r="H43" s="113">
        <v>20.5</v>
      </c>
    </row>
    <row r="44" spans="2:8" x14ac:dyDescent="0.35">
      <c r="B44" s="112">
        <v>42</v>
      </c>
      <c r="C44" s="100" t="s">
        <v>89</v>
      </c>
      <c r="D44" s="100" t="s">
        <v>142</v>
      </c>
      <c r="E44" s="100">
        <v>0</v>
      </c>
      <c r="F44" s="100" t="s">
        <v>79</v>
      </c>
      <c r="G44" s="100" t="s">
        <v>141</v>
      </c>
      <c r="H44" s="113">
        <v>24</v>
      </c>
    </row>
    <row r="45" spans="2:8" x14ac:dyDescent="0.35">
      <c r="B45" s="112">
        <v>43</v>
      </c>
      <c r="C45" s="100" t="s">
        <v>90</v>
      </c>
      <c r="D45" s="100" t="s">
        <v>143</v>
      </c>
      <c r="E45" s="100">
        <v>0</v>
      </c>
      <c r="F45" s="100" t="s">
        <v>111</v>
      </c>
      <c r="G45" s="100" t="s">
        <v>144</v>
      </c>
      <c r="H45" s="113">
        <v>0</v>
      </c>
    </row>
    <row r="46" spans="2:8" x14ac:dyDescent="0.35">
      <c r="B46" s="112">
        <v>44</v>
      </c>
      <c r="C46" s="100" t="s">
        <v>90</v>
      </c>
      <c r="D46" s="100" t="s">
        <v>143</v>
      </c>
      <c r="E46" s="100">
        <v>0</v>
      </c>
      <c r="F46" s="100" t="s">
        <v>212</v>
      </c>
      <c r="G46" s="100" t="s">
        <v>144</v>
      </c>
      <c r="H46" s="113">
        <f>200/7</f>
        <v>28.571428571428573</v>
      </c>
    </row>
    <row r="47" spans="2:8" x14ac:dyDescent="0.35">
      <c r="B47" s="112">
        <v>45</v>
      </c>
      <c r="C47" s="100" t="s">
        <v>91</v>
      </c>
      <c r="D47" s="100" t="s">
        <v>145</v>
      </c>
      <c r="E47" s="100">
        <v>1</v>
      </c>
      <c r="F47" s="100" t="s">
        <v>111</v>
      </c>
      <c r="G47" s="100" t="s">
        <v>146</v>
      </c>
      <c r="H47" s="113">
        <v>6044.84</v>
      </c>
    </row>
    <row r="48" spans="2:8" x14ac:dyDescent="0.35">
      <c r="B48" s="112">
        <v>46</v>
      </c>
      <c r="C48" s="100" t="s">
        <v>91</v>
      </c>
      <c r="D48" s="100" t="s">
        <v>145</v>
      </c>
      <c r="E48" s="100">
        <v>1</v>
      </c>
      <c r="F48" s="100" t="s">
        <v>212</v>
      </c>
      <c r="G48" s="100" t="s">
        <v>212</v>
      </c>
      <c r="H48" s="113">
        <f>317.71/7</f>
        <v>45.387142857142855</v>
      </c>
    </row>
    <row r="49" spans="2:8" x14ac:dyDescent="0.35">
      <c r="B49" s="112">
        <v>47</v>
      </c>
      <c r="C49" s="100" t="s">
        <v>92</v>
      </c>
      <c r="D49" s="100" t="s">
        <v>147</v>
      </c>
      <c r="E49" s="100">
        <v>1</v>
      </c>
      <c r="F49" s="100" t="s">
        <v>111</v>
      </c>
      <c r="G49" s="100" t="s">
        <v>146</v>
      </c>
      <c r="H49" s="113">
        <v>16252.45</v>
      </c>
    </row>
    <row r="50" spans="2:8" x14ac:dyDescent="0.35">
      <c r="B50" s="112">
        <v>48</v>
      </c>
      <c r="C50" s="100" t="s">
        <v>92</v>
      </c>
      <c r="D50" s="100" t="s">
        <v>147</v>
      </c>
      <c r="E50" s="100">
        <v>1</v>
      </c>
      <c r="F50" s="100" t="s">
        <v>212</v>
      </c>
      <c r="G50" s="100" t="s">
        <v>212</v>
      </c>
      <c r="H50" s="113">
        <f>625.97/7</f>
        <v>89.424285714285716</v>
      </c>
    </row>
    <row r="51" spans="2:8" x14ac:dyDescent="0.35">
      <c r="B51" s="112">
        <v>49</v>
      </c>
      <c r="C51" s="100" t="s">
        <v>93</v>
      </c>
      <c r="D51" s="100" t="s">
        <v>148</v>
      </c>
      <c r="E51" s="100">
        <v>1</v>
      </c>
      <c r="F51" s="100" t="s">
        <v>111</v>
      </c>
      <c r="G51" s="100" t="s">
        <v>146</v>
      </c>
      <c r="H51" s="113">
        <v>4844.83</v>
      </c>
    </row>
    <row r="52" spans="2:8" x14ac:dyDescent="0.35">
      <c r="B52" s="112">
        <v>50</v>
      </c>
      <c r="C52" s="100" t="s">
        <v>93</v>
      </c>
      <c r="D52" s="100" t="s">
        <v>148</v>
      </c>
      <c r="E52" s="100">
        <v>1</v>
      </c>
      <c r="F52" s="100" t="s">
        <v>212</v>
      </c>
      <c r="G52" s="100" t="s">
        <v>212</v>
      </c>
      <c r="H52" s="113">
        <f>111.93/7</f>
        <v>15.99</v>
      </c>
    </row>
    <row r="53" spans="2:8" x14ac:dyDescent="0.35">
      <c r="B53" s="112">
        <v>51</v>
      </c>
      <c r="C53" s="100" t="s">
        <v>93</v>
      </c>
      <c r="D53" s="100" t="s">
        <v>149</v>
      </c>
      <c r="E53" s="100">
        <v>1</v>
      </c>
      <c r="F53" s="100" t="s">
        <v>111</v>
      </c>
      <c r="G53" s="100" t="s">
        <v>146</v>
      </c>
      <c r="H53" s="113">
        <v>4990.83</v>
      </c>
    </row>
    <row r="54" spans="2:8" x14ac:dyDescent="0.35">
      <c r="B54" s="112">
        <v>52</v>
      </c>
      <c r="C54" s="100" t="s">
        <v>93</v>
      </c>
      <c r="D54" s="100" t="s">
        <v>149</v>
      </c>
      <c r="E54" s="100">
        <v>1</v>
      </c>
      <c r="F54" s="100" t="s">
        <v>212</v>
      </c>
      <c r="G54" s="100" t="s">
        <v>212</v>
      </c>
      <c r="H54" s="113">
        <f>121.95/7</f>
        <v>17.421428571428571</v>
      </c>
    </row>
    <row r="55" spans="2:8" x14ac:dyDescent="0.35">
      <c r="B55" s="112">
        <v>53</v>
      </c>
      <c r="C55" s="100" t="s">
        <v>93</v>
      </c>
      <c r="D55" s="100" t="s">
        <v>150</v>
      </c>
      <c r="E55" s="100">
        <v>1</v>
      </c>
      <c r="F55" s="100" t="s">
        <v>111</v>
      </c>
      <c r="G55" s="100" t="s">
        <v>146</v>
      </c>
      <c r="H55" s="113">
        <v>5095.97</v>
      </c>
    </row>
    <row r="56" spans="2:8" x14ac:dyDescent="0.35">
      <c r="B56" s="112">
        <v>54</v>
      </c>
      <c r="C56" s="100" t="s">
        <v>93</v>
      </c>
      <c r="D56" s="100" t="s">
        <v>150</v>
      </c>
      <c r="E56" s="100">
        <v>1</v>
      </c>
      <c r="F56" s="100" t="s">
        <v>212</v>
      </c>
      <c r="G56" s="100" t="s">
        <v>212</v>
      </c>
      <c r="H56" s="113">
        <f>129.15/7</f>
        <v>18.45</v>
      </c>
    </row>
    <row r="57" spans="2:8" x14ac:dyDescent="0.35">
      <c r="B57" s="112">
        <v>55</v>
      </c>
      <c r="C57" s="100" t="s">
        <v>93</v>
      </c>
      <c r="D57" s="100" t="s">
        <v>151</v>
      </c>
      <c r="E57" s="100">
        <v>1</v>
      </c>
      <c r="F57" s="100" t="s">
        <v>111</v>
      </c>
      <c r="G57" s="100" t="s">
        <v>146</v>
      </c>
      <c r="H57" s="113">
        <v>4127.3599999999997</v>
      </c>
    </row>
    <row r="58" spans="2:8" x14ac:dyDescent="0.35">
      <c r="B58" s="112">
        <v>56</v>
      </c>
      <c r="C58" s="100" t="s">
        <v>93</v>
      </c>
      <c r="D58" s="100" t="s">
        <v>151</v>
      </c>
      <c r="E58" s="100">
        <v>1</v>
      </c>
      <c r="F58" s="100" t="s">
        <v>212</v>
      </c>
      <c r="G58" s="100" t="s">
        <v>212</v>
      </c>
      <c r="H58" s="113">
        <f>59.06/7</f>
        <v>8.4371428571428577</v>
      </c>
    </row>
    <row r="59" spans="2:8" x14ac:dyDescent="0.35">
      <c r="B59" s="112">
        <v>57</v>
      </c>
      <c r="C59" s="100" t="s">
        <v>93</v>
      </c>
      <c r="D59" s="100" t="s">
        <v>152</v>
      </c>
      <c r="E59" s="100">
        <v>1</v>
      </c>
      <c r="F59" s="100" t="s">
        <v>111</v>
      </c>
      <c r="G59" s="100" t="s">
        <v>146</v>
      </c>
      <c r="H59" s="113">
        <v>8714.14</v>
      </c>
    </row>
    <row r="60" spans="2:8" x14ac:dyDescent="0.35">
      <c r="B60" s="112">
        <v>58</v>
      </c>
      <c r="C60" s="100" t="s">
        <v>93</v>
      </c>
      <c r="D60" s="100" t="s">
        <v>152</v>
      </c>
      <c r="E60" s="100">
        <v>1</v>
      </c>
      <c r="F60" s="100" t="s">
        <v>212</v>
      </c>
      <c r="G60" s="100" t="s">
        <v>212</v>
      </c>
      <c r="H60" s="113">
        <f>271.11/7</f>
        <v>38.730000000000004</v>
      </c>
    </row>
    <row r="61" spans="2:8" x14ac:dyDescent="0.35">
      <c r="B61" s="112">
        <v>59</v>
      </c>
      <c r="C61" s="100" t="s">
        <v>93</v>
      </c>
      <c r="D61" s="100" t="s">
        <v>153</v>
      </c>
      <c r="E61" s="100">
        <v>1</v>
      </c>
      <c r="F61" s="100" t="s">
        <v>111</v>
      </c>
      <c r="G61" s="100" t="s">
        <v>146</v>
      </c>
      <c r="H61" s="113">
        <v>5210.58</v>
      </c>
    </row>
    <row r="62" spans="2:8" x14ac:dyDescent="0.35">
      <c r="B62" s="112">
        <v>60</v>
      </c>
      <c r="C62" s="100" t="s">
        <v>93</v>
      </c>
      <c r="D62" s="100" t="s">
        <v>153</v>
      </c>
      <c r="E62" s="100">
        <v>1</v>
      </c>
      <c r="F62" s="100" t="s">
        <v>212</v>
      </c>
      <c r="G62" s="100" t="s">
        <v>212</v>
      </c>
      <c r="H62" s="113">
        <f>135.26/7</f>
        <v>19.322857142857142</v>
      </c>
    </row>
    <row r="63" spans="2:8" x14ac:dyDescent="0.35">
      <c r="B63" s="112">
        <v>61</v>
      </c>
      <c r="C63" s="100" t="s">
        <v>93</v>
      </c>
      <c r="D63" s="100" t="s">
        <v>154</v>
      </c>
      <c r="E63" s="100">
        <v>1</v>
      </c>
      <c r="F63" s="100" t="s">
        <v>111</v>
      </c>
      <c r="G63" s="100" t="s">
        <v>146</v>
      </c>
      <c r="H63" s="113">
        <v>5900.72</v>
      </c>
    </row>
    <row r="64" spans="2:8" x14ac:dyDescent="0.35">
      <c r="B64" s="112">
        <v>62</v>
      </c>
      <c r="C64" s="100" t="s">
        <v>93</v>
      </c>
      <c r="D64" s="100" t="s">
        <v>154</v>
      </c>
      <c r="E64" s="100">
        <v>1</v>
      </c>
      <c r="F64" s="100" t="s">
        <v>212</v>
      </c>
      <c r="G64" s="100" t="s">
        <v>212</v>
      </c>
      <c r="H64" s="113">
        <f>182.49/7</f>
        <v>26.07</v>
      </c>
    </row>
    <row r="65" spans="2:8" x14ac:dyDescent="0.35">
      <c r="B65" s="112">
        <v>63</v>
      </c>
      <c r="C65" s="100" t="s">
        <v>94</v>
      </c>
      <c r="D65" s="100" t="s">
        <v>155</v>
      </c>
      <c r="E65" s="100">
        <v>1</v>
      </c>
      <c r="F65" s="100" t="s">
        <v>111</v>
      </c>
      <c r="G65" s="100" t="s">
        <v>146</v>
      </c>
      <c r="H65" s="113">
        <v>53510.26</v>
      </c>
    </row>
    <row r="66" spans="2:8" x14ac:dyDescent="0.35">
      <c r="B66" s="112">
        <v>64</v>
      </c>
      <c r="C66" s="100" t="s">
        <v>94</v>
      </c>
      <c r="D66" s="100" t="s">
        <v>155</v>
      </c>
      <c r="E66" s="100">
        <v>1</v>
      </c>
      <c r="F66" s="100" t="s">
        <v>212</v>
      </c>
      <c r="G66" s="100" t="s">
        <v>212</v>
      </c>
      <c r="H66" s="113">
        <f>2807/7</f>
        <v>401</v>
      </c>
    </row>
    <row r="67" spans="2:8" x14ac:dyDescent="0.35">
      <c r="B67" s="112">
        <v>65</v>
      </c>
      <c r="C67" s="100" t="s">
        <v>95</v>
      </c>
      <c r="D67" s="100" t="s">
        <v>156</v>
      </c>
      <c r="E67" s="100">
        <v>1</v>
      </c>
      <c r="F67" s="100" t="s">
        <v>111</v>
      </c>
      <c r="G67" s="100" t="s">
        <v>146</v>
      </c>
      <c r="H67" s="113">
        <v>158449.10999999999</v>
      </c>
    </row>
    <row r="68" spans="2:8" x14ac:dyDescent="0.35">
      <c r="B68" s="112">
        <v>66</v>
      </c>
      <c r="C68" s="100" t="s">
        <v>95</v>
      </c>
      <c r="D68" s="100" t="s">
        <v>156</v>
      </c>
      <c r="E68" s="100">
        <v>1</v>
      </c>
      <c r="F68" s="100" t="s">
        <v>212</v>
      </c>
      <c r="G68" s="100" t="s">
        <v>212</v>
      </c>
      <c r="H68" s="113">
        <f>14128.97/7</f>
        <v>2018.4242857142856</v>
      </c>
    </row>
    <row r="69" spans="2:8" x14ac:dyDescent="0.35">
      <c r="B69" s="112">
        <v>67</v>
      </c>
      <c r="C69" s="100" t="s">
        <v>157</v>
      </c>
      <c r="D69" s="100"/>
      <c r="E69" s="100"/>
      <c r="F69" s="100"/>
      <c r="G69" s="100"/>
      <c r="H69" s="113"/>
    </row>
    <row r="70" spans="2:8" x14ac:dyDescent="0.35">
      <c r="B70" s="112">
        <v>68</v>
      </c>
      <c r="C70" s="100" t="s">
        <v>197</v>
      </c>
      <c r="D70" s="100" t="s">
        <v>198</v>
      </c>
      <c r="E70" s="100">
        <v>1</v>
      </c>
      <c r="F70" s="100" t="s">
        <v>111</v>
      </c>
      <c r="G70" s="100" t="s">
        <v>146</v>
      </c>
      <c r="H70" s="113">
        <v>5083.25</v>
      </c>
    </row>
    <row r="71" spans="2:8" x14ac:dyDescent="0.35">
      <c r="B71" s="112">
        <v>69</v>
      </c>
      <c r="C71" s="100" t="s">
        <v>197</v>
      </c>
      <c r="D71" s="100" t="s">
        <v>198</v>
      </c>
      <c r="E71" s="100">
        <v>1</v>
      </c>
      <c r="F71" s="100" t="s">
        <v>212</v>
      </c>
      <c r="G71" s="100" t="s">
        <v>212</v>
      </c>
      <c r="H71" s="113">
        <v>123.48</v>
      </c>
    </row>
    <row r="72" spans="2:8" x14ac:dyDescent="0.35">
      <c r="B72" s="112">
        <v>70</v>
      </c>
      <c r="C72" s="100" t="s">
        <v>239</v>
      </c>
      <c r="D72" s="100"/>
      <c r="E72" s="100">
        <v>1</v>
      </c>
      <c r="F72" s="100" t="s">
        <v>111</v>
      </c>
      <c r="G72" s="100" t="s">
        <v>146</v>
      </c>
      <c r="H72" s="113">
        <v>5979.17</v>
      </c>
    </row>
    <row r="73" spans="2:8" x14ac:dyDescent="0.35">
      <c r="B73" s="112">
        <v>71</v>
      </c>
      <c r="C73" s="100" t="s">
        <v>245</v>
      </c>
      <c r="D73" s="100" t="s">
        <v>246</v>
      </c>
      <c r="E73" s="100">
        <v>1</v>
      </c>
      <c r="F73" s="100" t="s">
        <v>111</v>
      </c>
      <c r="G73" s="100" t="s">
        <v>146</v>
      </c>
      <c r="H73" s="113">
        <v>14003.16</v>
      </c>
    </row>
    <row r="74" spans="2:8" x14ac:dyDescent="0.35">
      <c r="B74" s="112">
        <v>72</v>
      </c>
      <c r="C74" s="100" t="s">
        <v>245</v>
      </c>
      <c r="D74" s="100" t="s">
        <v>246</v>
      </c>
      <c r="E74" s="100">
        <v>1</v>
      </c>
      <c r="F74" s="100" t="s">
        <v>212</v>
      </c>
      <c r="G74" s="100" t="s">
        <v>212</v>
      </c>
      <c r="H74" s="113">
        <v>660.1</v>
      </c>
    </row>
    <row r="75" spans="2:8" x14ac:dyDescent="0.35">
      <c r="B75" s="112">
        <v>73</v>
      </c>
      <c r="C75" s="100" t="s">
        <v>258</v>
      </c>
      <c r="D75" s="100" t="s">
        <v>259</v>
      </c>
      <c r="E75" s="100">
        <v>1</v>
      </c>
      <c r="F75" s="100" t="s">
        <v>111</v>
      </c>
      <c r="G75" s="100" t="s">
        <v>146</v>
      </c>
      <c r="H75" s="113">
        <v>4082.38</v>
      </c>
    </row>
    <row r="76" spans="2:8" x14ac:dyDescent="0.35">
      <c r="B76" s="112">
        <v>74</v>
      </c>
      <c r="C76" s="100" t="s">
        <v>258</v>
      </c>
      <c r="D76" s="100" t="s">
        <v>259</v>
      </c>
      <c r="E76" s="100">
        <v>1</v>
      </c>
      <c r="F76" s="100" t="s">
        <v>212</v>
      </c>
      <c r="G76" s="100" t="s">
        <v>212</v>
      </c>
      <c r="H76" s="113">
        <v>49.28</v>
      </c>
    </row>
    <row r="77" spans="2:8" x14ac:dyDescent="0.35">
      <c r="B77" s="112">
        <v>75</v>
      </c>
      <c r="C77" s="100" t="s">
        <v>273</v>
      </c>
      <c r="D77" s="100"/>
      <c r="E77" s="100">
        <v>1</v>
      </c>
      <c r="F77" s="100" t="s">
        <v>111</v>
      </c>
      <c r="G77" s="100" t="s">
        <v>146</v>
      </c>
      <c r="H77" s="113">
        <v>5325.76</v>
      </c>
    </row>
    <row r="78" spans="2:8" x14ac:dyDescent="0.35">
      <c r="B78" s="112">
        <v>76</v>
      </c>
      <c r="C78" s="100" t="s">
        <v>273</v>
      </c>
      <c r="D78" s="100"/>
      <c r="E78" s="100">
        <v>1</v>
      </c>
      <c r="F78" s="100" t="s">
        <v>212</v>
      </c>
      <c r="G78" s="100" t="s">
        <v>212</v>
      </c>
      <c r="H78" s="113">
        <v>48.26</v>
      </c>
    </row>
    <row r="79" spans="2:8" x14ac:dyDescent="0.35">
      <c r="B79" s="112">
        <v>77</v>
      </c>
      <c r="C79" s="100" t="s">
        <v>273</v>
      </c>
      <c r="D79" s="100"/>
      <c r="E79" s="100">
        <v>1</v>
      </c>
      <c r="F79" s="100" t="s">
        <v>111</v>
      </c>
      <c r="G79" s="100" t="s">
        <v>146</v>
      </c>
      <c r="H79" s="113">
        <v>1375.16</v>
      </c>
    </row>
    <row r="80" spans="2:8" x14ac:dyDescent="0.35">
      <c r="B80" s="112">
        <v>78</v>
      </c>
      <c r="C80" s="100" t="s">
        <v>273</v>
      </c>
      <c r="D80" s="100"/>
      <c r="E80" s="100">
        <v>1</v>
      </c>
      <c r="F80" s="100" t="s">
        <v>212</v>
      </c>
      <c r="G80" s="100" t="s">
        <v>212</v>
      </c>
      <c r="H80" s="113">
        <v>6.17</v>
      </c>
    </row>
    <row r="81" spans="2:8" x14ac:dyDescent="0.35">
      <c r="B81" s="112">
        <v>79</v>
      </c>
      <c r="C81" s="100" t="s">
        <v>299</v>
      </c>
      <c r="D81" s="100"/>
      <c r="E81" s="100">
        <v>1</v>
      </c>
      <c r="F81" s="100" t="s">
        <v>111</v>
      </c>
      <c r="G81" s="100" t="s">
        <v>146</v>
      </c>
      <c r="H81" s="113">
        <v>2448.62</v>
      </c>
    </row>
    <row r="82" spans="2:8" x14ac:dyDescent="0.35">
      <c r="B82" s="112">
        <v>80</v>
      </c>
      <c r="C82" s="100" t="s">
        <v>299</v>
      </c>
      <c r="D82" s="100"/>
      <c r="E82" s="100">
        <v>1</v>
      </c>
      <c r="F82" s="100" t="s">
        <v>212</v>
      </c>
      <c r="G82" s="100" t="s">
        <v>212</v>
      </c>
      <c r="H82" s="113">
        <v>57.19</v>
      </c>
    </row>
    <row r="83" spans="2:8" x14ac:dyDescent="0.35">
      <c r="B83" s="112">
        <v>81</v>
      </c>
      <c r="C83" s="100" t="s">
        <v>348</v>
      </c>
      <c r="D83" s="100" t="s">
        <v>349</v>
      </c>
      <c r="E83" s="100">
        <v>1</v>
      </c>
      <c r="F83" s="100" t="s">
        <v>111</v>
      </c>
      <c r="G83" s="100" t="s">
        <v>146</v>
      </c>
      <c r="H83" s="113">
        <v>15415.16</v>
      </c>
    </row>
    <row r="84" spans="2:8" x14ac:dyDescent="0.35">
      <c r="B84" s="112">
        <v>82</v>
      </c>
      <c r="C84" s="100" t="s">
        <v>348</v>
      </c>
      <c r="D84" s="100" t="s">
        <v>349</v>
      </c>
      <c r="E84" s="100">
        <v>1</v>
      </c>
      <c r="F84" s="100" t="s">
        <v>212</v>
      </c>
      <c r="G84" s="100" t="s">
        <v>212</v>
      </c>
      <c r="H84" s="113">
        <v>297.83</v>
      </c>
    </row>
    <row r="85" spans="2:8" x14ac:dyDescent="0.35">
      <c r="B85" s="112">
        <v>83</v>
      </c>
      <c r="C85" s="100" t="s">
        <v>415</v>
      </c>
      <c r="D85" s="100" t="s">
        <v>416</v>
      </c>
      <c r="E85" s="100">
        <v>1</v>
      </c>
      <c r="F85" s="100" t="s">
        <v>111</v>
      </c>
      <c r="G85" s="100" t="s">
        <v>146</v>
      </c>
      <c r="H85" s="113">
        <v>11289.34</v>
      </c>
    </row>
    <row r="86" spans="2:8" x14ac:dyDescent="0.35">
      <c r="B86" s="112">
        <v>84</v>
      </c>
      <c r="C86" s="100" t="s">
        <v>415</v>
      </c>
      <c r="D86" s="100" t="s">
        <v>416</v>
      </c>
      <c r="E86" s="100">
        <v>1</v>
      </c>
      <c r="F86" s="100" t="s">
        <v>212</v>
      </c>
      <c r="G86" s="100" t="s">
        <v>212</v>
      </c>
      <c r="H86" s="113">
        <v>1429.84</v>
      </c>
    </row>
    <row r="87" spans="2:8" x14ac:dyDescent="0.35">
      <c r="B87" s="112">
        <v>85</v>
      </c>
      <c r="C87" s="100" t="s">
        <v>426</v>
      </c>
      <c r="D87" s="100"/>
      <c r="E87" s="100">
        <v>1</v>
      </c>
      <c r="F87" s="100" t="s">
        <v>111</v>
      </c>
      <c r="G87" s="100" t="s">
        <v>146</v>
      </c>
      <c r="H87" s="113">
        <v>13590.73</v>
      </c>
    </row>
    <row r="88" spans="2:8" x14ac:dyDescent="0.35">
      <c r="B88" s="112">
        <v>86</v>
      </c>
      <c r="C88" s="100" t="s">
        <v>426</v>
      </c>
      <c r="D88" s="100"/>
      <c r="E88" s="100">
        <v>1</v>
      </c>
      <c r="F88" s="100" t="s">
        <v>212</v>
      </c>
      <c r="G88" s="100" t="s">
        <v>212</v>
      </c>
      <c r="H88" s="113">
        <v>302.12</v>
      </c>
    </row>
    <row r="89" spans="2:8" x14ac:dyDescent="0.35">
      <c r="B89" s="112">
        <v>87</v>
      </c>
      <c r="C89" s="100" t="s">
        <v>478</v>
      </c>
      <c r="D89" s="100" t="s">
        <v>479</v>
      </c>
      <c r="E89" s="100">
        <v>1</v>
      </c>
      <c r="F89" s="100" t="s">
        <v>111</v>
      </c>
      <c r="G89" s="100" t="s">
        <v>146</v>
      </c>
      <c r="H89" s="113">
        <v>32825.120000000003</v>
      </c>
    </row>
    <row r="90" spans="2:8" x14ac:dyDescent="0.35">
      <c r="B90" s="112">
        <v>88</v>
      </c>
      <c r="C90" s="100" t="s">
        <v>478</v>
      </c>
      <c r="D90" s="100" t="s">
        <v>479</v>
      </c>
      <c r="E90" s="100">
        <v>1</v>
      </c>
      <c r="F90" s="100" t="s">
        <v>212</v>
      </c>
      <c r="G90" s="100" t="s">
        <v>212</v>
      </c>
      <c r="H90" s="113">
        <v>2044.24</v>
      </c>
    </row>
    <row r="91" spans="2:8" x14ac:dyDescent="0.35">
      <c r="B91" s="112">
        <v>89</v>
      </c>
      <c r="C91" s="100" t="s">
        <v>501</v>
      </c>
      <c r="D91" s="100"/>
      <c r="E91" s="100">
        <v>1</v>
      </c>
      <c r="F91" s="100" t="s">
        <v>111</v>
      </c>
      <c r="G91" s="100" t="s">
        <v>146</v>
      </c>
      <c r="H91" s="113">
        <v>4760.74</v>
      </c>
    </row>
    <row r="92" spans="2:8" x14ac:dyDescent="0.35">
      <c r="B92" s="112">
        <v>90</v>
      </c>
      <c r="C92" s="100" t="s">
        <v>501</v>
      </c>
      <c r="D92" s="100"/>
      <c r="E92" s="100">
        <v>1</v>
      </c>
      <c r="F92" s="100" t="s">
        <v>212</v>
      </c>
      <c r="G92" s="100" t="s">
        <v>212</v>
      </c>
      <c r="H92" s="113">
        <v>414.05</v>
      </c>
    </row>
    <row r="93" spans="2:8" x14ac:dyDescent="0.35">
      <c r="B93" s="112">
        <v>91</v>
      </c>
      <c r="C93" s="100" t="s">
        <v>508</v>
      </c>
      <c r="D93" s="100" t="s">
        <v>581</v>
      </c>
      <c r="E93" s="100">
        <v>1</v>
      </c>
      <c r="F93" s="100" t="s">
        <v>111</v>
      </c>
      <c r="G93" s="100" t="s">
        <v>146</v>
      </c>
      <c r="H93" s="113">
        <v>13067.86</v>
      </c>
    </row>
    <row r="94" spans="2:8" x14ac:dyDescent="0.35">
      <c r="B94" s="112">
        <v>92</v>
      </c>
      <c r="C94" s="100" t="s">
        <v>508</v>
      </c>
      <c r="D94" s="100" t="s">
        <v>581</v>
      </c>
      <c r="E94" s="100">
        <v>1</v>
      </c>
      <c r="F94" s="100" t="s">
        <v>212</v>
      </c>
      <c r="G94" s="100" t="s">
        <v>212</v>
      </c>
      <c r="H94" s="113">
        <v>788.67</v>
      </c>
    </row>
    <row r="95" spans="2:8" x14ac:dyDescent="0.35">
      <c r="B95" s="112">
        <v>93</v>
      </c>
      <c r="C95" s="100" t="s">
        <v>550</v>
      </c>
      <c r="D95" s="100" t="s">
        <v>551</v>
      </c>
      <c r="E95" s="100">
        <v>1</v>
      </c>
      <c r="F95" s="100" t="s">
        <v>111</v>
      </c>
      <c r="G95" s="100" t="s">
        <v>146</v>
      </c>
      <c r="H95" s="113">
        <v>3675.3</v>
      </c>
    </row>
    <row r="96" spans="2:8" x14ac:dyDescent="0.35">
      <c r="B96" s="112">
        <v>94</v>
      </c>
      <c r="C96" s="100" t="s">
        <v>550</v>
      </c>
      <c r="D96" s="100" t="s">
        <v>551</v>
      </c>
      <c r="E96" s="100">
        <v>1</v>
      </c>
      <c r="F96" s="100" t="s">
        <v>212</v>
      </c>
      <c r="G96" s="100" t="s">
        <v>212</v>
      </c>
      <c r="H96" s="113">
        <v>54.93</v>
      </c>
    </row>
    <row r="97" spans="2:10" x14ac:dyDescent="0.35">
      <c r="B97" s="112">
        <v>95</v>
      </c>
      <c r="C97" s="100" t="s">
        <v>601</v>
      </c>
      <c r="D97" s="100" t="s">
        <v>602</v>
      </c>
      <c r="E97" s="100">
        <v>1</v>
      </c>
      <c r="F97" s="100" t="s">
        <v>111</v>
      </c>
      <c r="G97" s="100" t="s">
        <v>146</v>
      </c>
      <c r="H97" s="113">
        <v>3562.04</v>
      </c>
    </row>
    <row r="98" spans="2:10" x14ac:dyDescent="0.35">
      <c r="B98" s="112">
        <v>96</v>
      </c>
      <c r="C98" s="100" t="s">
        <v>601</v>
      </c>
      <c r="D98" s="100" t="s">
        <v>602</v>
      </c>
      <c r="E98" s="100">
        <v>1</v>
      </c>
      <c r="F98" s="100" t="s">
        <v>212</v>
      </c>
      <c r="G98" s="100" t="s">
        <v>212</v>
      </c>
      <c r="H98" s="113">
        <v>181.02</v>
      </c>
    </row>
    <row r="99" spans="2:10" x14ac:dyDescent="0.35">
      <c r="B99" s="112">
        <v>97</v>
      </c>
      <c r="C99" s="100" t="s">
        <v>614</v>
      </c>
      <c r="D99" s="100" t="s">
        <v>615</v>
      </c>
      <c r="E99" s="100">
        <v>1</v>
      </c>
      <c r="F99" s="100" t="s">
        <v>111</v>
      </c>
      <c r="G99" s="100" t="s">
        <v>146</v>
      </c>
      <c r="H99" s="113">
        <v>36307.15</v>
      </c>
    </row>
    <row r="100" spans="2:10" x14ac:dyDescent="0.35">
      <c r="B100" s="112">
        <v>98</v>
      </c>
      <c r="C100" s="100" t="s">
        <v>614</v>
      </c>
      <c r="D100" s="100" t="s">
        <v>615</v>
      </c>
      <c r="E100" s="100">
        <v>1</v>
      </c>
      <c r="F100" s="100" t="s">
        <v>212</v>
      </c>
      <c r="G100" s="100" t="s">
        <v>212</v>
      </c>
      <c r="H100" s="113">
        <v>1384.55</v>
      </c>
    </row>
    <row r="101" spans="2:10" x14ac:dyDescent="0.35">
      <c r="B101" s="112">
        <v>99</v>
      </c>
      <c r="C101" s="100" t="s">
        <v>629</v>
      </c>
      <c r="D101" s="100" t="s">
        <v>143</v>
      </c>
      <c r="E101" s="100"/>
      <c r="F101" s="100" t="s">
        <v>111</v>
      </c>
      <c r="G101" s="100" t="s">
        <v>144</v>
      </c>
      <c r="H101" s="113">
        <v>0</v>
      </c>
    </row>
    <row r="102" spans="2:10" x14ac:dyDescent="0.35">
      <c r="B102" s="112">
        <v>100</v>
      </c>
      <c r="C102" s="100" t="s">
        <v>629</v>
      </c>
      <c r="D102" s="100" t="s">
        <v>143</v>
      </c>
      <c r="E102" s="100"/>
      <c r="F102" s="100" t="s">
        <v>212</v>
      </c>
      <c r="G102" s="100" t="s">
        <v>144</v>
      </c>
      <c r="H102" s="113">
        <v>275</v>
      </c>
    </row>
    <row r="103" spans="2:10" x14ac:dyDescent="0.35">
      <c r="B103" s="112">
        <v>101</v>
      </c>
      <c r="C103" s="100" t="s">
        <v>630</v>
      </c>
      <c r="D103" s="100" t="s">
        <v>143</v>
      </c>
      <c r="E103" s="100"/>
      <c r="F103" s="100" t="s">
        <v>111</v>
      </c>
      <c r="G103" s="100" t="s">
        <v>144</v>
      </c>
      <c r="H103" s="113">
        <v>0</v>
      </c>
    </row>
    <row r="104" spans="2:10" x14ac:dyDescent="0.35">
      <c r="B104" s="112">
        <v>102</v>
      </c>
      <c r="C104" s="100" t="s">
        <v>630</v>
      </c>
      <c r="D104" s="100" t="s">
        <v>143</v>
      </c>
      <c r="E104" s="100"/>
      <c r="F104" s="100" t="s">
        <v>212</v>
      </c>
      <c r="G104" s="100" t="s">
        <v>144</v>
      </c>
      <c r="H104" s="113">
        <v>275</v>
      </c>
    </row>
    <row r="105" spans="2:10" x14ac:dyDescent="0.35">
      <c r="B105" s="112">
        <v>103</v>
      </c>
      <c r="C105" s="100" t="s">
        <v>817</v>
      </c>
      <c r="D105" s="100" t="s">
        <v>874</v>
      </c>
      <c r="E105" s="100"/>
      <c r="F105" s="100" t="s">
        <v>111</v>
      </c>
      <c r="G105" s="100" t="s">
        <v>146</v>
      </c>
      <c r="H105" s="113">
        <v>5018.12</v>
      </c>
    </row>
    <row r="106" spans="2:10" x14ac:dyDescent="0.35">
      <c r="B106" s="112">
        <v>104</v>
      </c>
      <c r="C106" s="100" t="s">
        <v>817</v>
      </c>
      <c r="D106" s="100" t="s">
        <v>874</v>
      </c>
      <c r="E106" s="100"/>
      <c r="F106" s="100" t="s">
        <v>212</v>
      </c>
      <c r="G106" s="100" t="s">
        <v>212</v>
      </c>
      <c r="H106" s="113">
        <v>212.24</v>
      </c>
    </row>
    <row r="107" spans="2:10" x14ac:dyDescent="0.35">
      <c r="B107" s="112">
        <v>105</v>
      </c>
      <c r="C107" s="100" t="s">
        <v>863</v>
      </c>
      <c r="D107" s="100" t="s">
        <v>875</v>
      </c>
      <c r="E107" s="100"/>
      <c r="F107" s="100" t="s">
        <v>111</v>
      </c>
      <c r="G107" s="100" t="s">
        <v>146</v>
      </c>
      <c r="H107" s="113">
        <v>3833.1</v>
      </c>
      <c r="J107" s="182"/>
    </row>
    <row r="108" spans="2:10" x14ac:dyDescent="0.35">
      <c r="B108" s="112">
        <v>106</v>
      </c>
      <c r="C108" s="100" t="s">
        <v>863</v>
      </c>
      <c r="D108" s="100" t="s">
        <v>875</v>
      </c>
      <c r="E108" s="100"/>
      <c r="F108" s="100" t="s">
        <v>212</v>
      </c>
      <c r="G108" s="100" t="s">
        <v>212</v>
      </c>
      <c r="H108" s="113">
        <v>95.83</v>
      </c>
    </row>
    <row r="109" spans="2:10" x14ac:dyDescent="0.35">
      <c r="B109" s="112">
        <v>107</v>
      </c>
      <c r="C109" s="100"/>
      <c r="D109" s="100"/>
      <c r="E109" s="100"/>
      <c r="F109" s="100"/>
      <c r="G109" s="100"/>
      <c r="H109" s="113"/>
    </row>
    <row r="110" spans="2:10" x14ac:dyDescent="0.35">
      <c r="B110" s="112">
        <v>108</v>
      </c>
      <c r="C110" s="100"/>
      <c r="D110" s="100"/>
      <c r="E110" s="100"/>
      <c r="F110" s="100"/>
      <c r="G110" s="100"/>
      <c r="H110" s="113"/>
    </row>
    <row r="111" spans="2:10" x14ac:dyDescent="0.35">
      <c r="B111" s="112">
        <v>109</v>
      </c>
      <c r="C111" s="100"/>
      <c r="D111" s="100"/>
      <c r="E111" s="100"/>
      <c r="F111" s="100"/>
      <c r="G111" s="100"/>
      <c r="H111" s="113"/>
    </row>
    <row r="112" spans="2:10" x14ac:dyDescent="0.35">
      <c r="B112" s="112">
        <v>110</v>
      </c>
      <c r="C112" s="100"/>
      <c r="D112" s="100"/>
      <c r="E112" s="100"/>
      <c r="F112" s="100"/>
      <c r="G112" s="100"/>
      <c r="H112" s="113"/>
    </row>
    <row r="113" spans="2:8" x14ac:dyDescent="0.35">
      <c r="B113" s="112">
        <v>111</v>
      </c>
      <c r="C113" s="100"/>
      <c r="D113" s="100"/>
      <c r="E113" s="100"/>
      <c r="F113" s="100"/>
      <c r="G113" s="100"/>
      <c r="H113" s="113"/>
    </row>
    <row r="114" spans="2:8" x14ac:dyDescent="0.35">
      <c r="B114" s="112">
        <v>112</v>
      </c>
      <c r="C114" s="100"/>
      <c r="D114" s="100"/>
      <c r="E114" s="100"/>
      <c r="F114" s="100"/>
      <c r="G114" s="100"/>
      <c r="H114" s="113"/>
    </row>
    <row r="115" spans="2:8" x14ac:dyDescent="0.35">
      <c r="B115" s="112">
        <v>113</v>
      </c>
      <c r="C115" s="100"/>
      <c r="D115" s="100"/>
      <c r="E115" s="100"/>
      <c r="F115" s="100"/>
      <c r="G115" s="100"/>
      <c r="H115" s="113"/>
    </row>
    <row r="116" spans="2:8" x14ac:dyDescent="0.35">
      <c r="B116" s="112">
        <v>114</v>
      </c>
      <c r="C116" s="100"/>
      <c r="D116" s="100"/>
      <c r="E116" s="100"/>
      <c r="F116" s="100"/>
      <c r="G116" s="100"/>
      <c r="H116" s="113"/>
    </row>
    <row r="117" spans="2:8" x14ac:dyDescent="0.35">
      <c r="B117" s="112">
        <v>115</v>
      </c>
      <c r="C117" s="100"/>
      <c r="D117" s="100"/>
      <c r="E117" s="100"/>
      <c r="F117" s="100"/>
      <c r="G117" s="100"/>
      <c r="H117" s="113"/>
    </row>
    <row r="118" spans="2:8" x14ac:dyDescent="0.35">
      <c r="B118" s="112">
        <v>116</v>
      </c>
      <c r="C118" s="100"/>
      <c r="D118" s="100"/>
      <c r="E118" s="100"/>
      <c r="F118" s="100"/>
      <c r="G118" s="100"/>
      <c r="H118" s="113"/>
    </row>
    <row r="119" spans="2:8" x14ac:dyDescent="0.35">
      <c r="B119" s="112">
        <v>117</v>
      </c>
      <c r="C119" s="100"/>
      <c r="D119" s="100"/>
      <c r="E119" s="100"/>
      <c r="F119" s="100"/>
      <c r="G119" s="100"/>
      <c r="H119" s="113"/>
    </row>
    <row r="120" spans="2:8" x14ac:dyDescent="0.35">
      <c r="B120" s="112">
        <v>118</v>
      </c>
      <c r="C120" s="100"/>
      <c r="D120" s="100"/>
      <c r="E120" s="100"/>
      <c r="F120" s="100"/>
      <c r="G120" s="100"/>
      <c r="H120" s="113"/>
    </row>
    <row r="121" spans="2:8" x14ac:dyDescent="0.35">
      <c r="B121" s="112">
        <v>119</v>
      </c>
      <c r="C121" s="100"/>
      <c r="D121" s="100"/>
      <c r="E121" s="100"/>
      <c r="F121" s="100"/>
      <c r="G121" s="100"/>
      <c r="H121" s="113"/>
    </row>
    <row r="122" spans="2:8" x14ac:dyDescent="0.35">
      <c r="B122" s="112">
        <v>120</v>
      </c>
      <c r="C122" s="100"/>
      <c r="D122" s="100"/>
      <c r="E122" s="100"/>
      <c r="F122" s="100"/>
      <c r="G122" s="100"/>
      <c r="H122" s="113"/>
    </row>
    <row r="123" spans="2:8" x14ac:dyDescent="0.35">
      <c r="B123" s="112">
        <v>121</v>
      </c>
      <c r="C123" s="100"/>
      <c r="D123" s="100"/>
      <c r="E123" s="100"/>
      <c r="F123" s="100"/>
      <c r="G123" s="100"/>
      <c r="H123" s="113"/>
    </row>
    <row r="124" spans="2:8" x14ac:dyDescent="0.35">
      <c r="B124" s="112">
        <v>122</v>
      </c>
      <c r="C124" s="100"/>
      <c r="D124" s="100"/>
      <c r="E124" s="100"/>
      <c r="F124" s="100"/>
      <c r="G124" s="100"/>
      <c r="H124" s="113"/>
    </row>
    <row r="125" spans="2:8" x14ac:dyDescent="0.35">
      <c r="B125" s="112">
        <v>123</v>
      </c>
      <c r="C125" s="100"/>
      <c r="D125" s="100"/>
      <c r="E125" s="100"/>
      <c r="F125" s="100"/>
      <c r="G125" s="100"/>
      <c r="H125" s="113"/>
    </row>
    <row r="126" spans="2:8" x14ac:dyDescent="0.35">
      <c r="B126" s="112">
        <v>124</v>
      </c>
      <c r="C126" s="100"/>
      <c r="D126" s="100"/>
      <c r="E126" s="100"/>
      <c r="F126" s="100"/>
      <c r="G126" s="100"/>
      <c r="H126" s="113"/>
    </row>
    <row r="127" spans="2:8" x14ac:dyDescent="0.35">
      <c r="B127" s="112">
        <v>125</v>
      </c>
      <c r="C127" s="100"/>
      <c r="D127" s="100"/>
      <c r="E127" s="100"/>
      <c r="F127" s="100"/>
      <c r="G127" s="100"/>
      <c r="H127" s="113"/>
    </row>
    <row r="128" spans="2:8" x14ac:dyDescent="0.35">
      <c r="B128" s="112">
        <v>126</v>
      </c>
      <c r="C128" s="100"/>
      <c r="D128" s="100"/>
      <c r="E128" s="100"/>
      <c r="F128" s="100"/>
      <c r="G128" s="100"/>
      <c r="H128" s="113"/>
    </row>
    <row r="129" spans="2:8" x14ac:dyDescent="0.35">
      <c r="B129" s="112">
        <v>127</v>
      </c>
      <c r="C129" s="100"/>
      <c r="D129" s="100"/>
      <c r="E129" s="100"/>
      <c r="F129" s="100"/>
      <c r="G129" s="100"/>
      <c r="H129" s="113"/>
    </row>
    <row r="130" spans="2:8" x14ac:dyDescent="0.35">
      <c r="B130" s="112">
        <v>128</v>
      </c>
      <c r="C130" s="100"/>
      <c r="D130" s="100"/>
      <c r="E130" s="100"/>
      <c r="F130" s="100"/>
      <c r="G130" s="100"/>
      <c r="H130" s="113"/>
    </row>
    <row r="131" spans="2:8" x14ac:dyDescent="0.35">
      <c r="B131" s="112">
        <v>129</v>
      </c>
      <c r="C131" s="100"/>
      <c r="D131" s="100"/>
      <c r="E131" s="100"/>
      <c r="F131" s="100"/>
      <c r="G131" s="100"/>
      <c r="H131" s="113"/>
    </row>
    <row r="132" spans="2:8" x14ac:dyDescent="0.35">
      <c r="B132" s="112">
        <v>130</v>
      </c>
      <c r="C132" s="100"/>
      <c r="D132" s="100"/>
      <c r="E132" s="100"/>
      <c r="F132" s="100"/>
      <c r="G132" s="100"/>
      <c r="H132" s="113"/>
    </row>
    <row r="133" spans="2:8" x14ac:dyDescent="0.35">
      <c r="B133" s="112">
        <v>131</v>
      </c>
      <c r="C133" s="100"/>
      <c r="D133" s="100"/>
      <c r="E133" s="100"/>
      <c r="F133" s="100"/>
      <c r="G133" s="100"/>
      <c r="H133" s="113"/>
    </row>
    <row r="134" spans="2:8" x14ac:dyDescent="0.35">
      <c r="B134" s="112">
        <v>132</v>
      </c>
      <c r="C134" s="100"/>
      <c r="D134" s="100"/>
      <c r="E134" s="100"/>
      <c r="F134" s="100"/>
      <c r="G134" s="100"/>
      <c r="H134" s="113"/>
    </row>
    <row r="135" spans="2:8" x14ac:dyDescent="0.35">
      <c r="B135" s="112">
        <v>133</v>
      </c>
      <c r="C135" s="100"/>
      <c r="D135" s="100"/>
      <c r="E135" s="100"/>
      <c r="F135" s="100"/>
      <c r="G135" s="100"/>
      <c r="H135" s="113"/>
    </row>
    <row r="136" spans="2:8" x14ac:dyDescent="0.35">
      <c r="B136" s="112">
        <v>134</v>
      </c>
      <c r="C136" s="100"/>
      <c r="D136" s="100"/>
      <c r="E136" s="100"/>
      <c r="F136" s="100"/>
      <c r="G136" s="100"/>
      <c r="H136" s="113"/>
    </row>
    <row r="137" spans="2:8" x14ac:dyDescent="0.35">
      <c r="B137" s="112">
        <v>135</v>
      </c>
      <c r="C137" s="100"/>
      <c r="D137" s="100"/>
      <c r="E137" s="100"/>
      <c r="F137" s="100"/>
      <c r="G137" s="100"/>
      <c r="H137" s="113"/>
    </row>
    <row r="138" spans="2:8" x14ac:dyDescent="0.35">
      <c r="B138" s="112">
        <v>136</v>
      </c>
      <c r="C138" s="100"/>
      <c r="D138" s="100"/>
      <c r="E138" s="100"/>
      <c r="F138" s="100"/>
      <c r="G138" s="100"/>
      <c r="H138" s="113"/>
    </row>
    <row r="139" spans="2:8" x14ac:dyDescent="0.35">
      <c r="B139" s="112">
        <v>137</v>
      </c>
      <c r="C139" s="100"/>
      <c r="D139" s="100"/>
      <c r="E139" s="100"/>
      <c r="F139" s="100"/>
      <c r="G139" s="100"/>
      <c r="H139" s="113"/>
    </row>
    <row r="140" spans="2:8" x14ac:dyDescent="0.35">
      <c r="B140" s="112">
        <v>138</v>
      </c>
      <c r="C140" s="100"/>
      <c r="D140" s="100"/>
      <c r="E140" s="100"/>
      <c r="F140" s="100"/>
      <c r="G140" s="100"/>
      <c r="H140" s="113"/>
    </row>
    <row r="141" spans="2:8" x14ac:dyDescent="0.35">
      <c r="B141" s="112">
        <v>139</v>
      </c>
      <c r="C141" s="100"/>
      <c r="D141" s="100"/>
      <c r="E141" s="100"/>
      <c r="F141" s="100"/>
      <c r="G141" s="100"/>
      <c r="H141" s="113"/>
    </row>
    <row r="142" spans="2:8" x14ac:dyDescent="0.35">
      <c r="B142" s="112">
        <v>140</v>
      </c>
      <c r="C142" s="100"/>
      <c r="D142" s="100"/>
      <c r="E142" s="100"/>
      <c r="F142" s="100"/>
      <c r="G142" s="100"/>
      <c r="H142" s="113"/>
    </row>
    <row r="143" spans="2:8" x14ac:dyDescent="0.35">
      <c r="B143" s="112">
        <v>141</v>
      </c>
      <c r="C143" s="100"/>
      <c r="D143" s="100"/>
      <c r="E143" s="100"/>
      <c r="F143" s="100"/>
      <c r="G143" s="100"/>
      <c r="H143" s="113"/>
    </row>
    <row r="144" spans="2:8" x14ac:dyDescent="0.35">
      <c r="B144" s="112">
        <v>142</v>
      </c>
      <c r="C144" s="100"/>
      <c r="D144" s="100"/>
      <c r="E144" s="100"/>
      <c r="F144" s="100"/>
      <c r="G144" s="100"/>
      <c r="H144" s="113"/>
    </row>
    <row r="145" spans="2:8" x14ac:dyDescent="0.35">
      <c r="B145" s="112">
        <v>143</v>
      </c>
      <c r="C145" s="100"/>
      <c r="D145" s="100"/>
      <c r="E145" s="100"/>
      <c r="F145" s="100"/>
      <c r="G145" s="100"/>
      <c r="H145" s="113"/>
    </row>
    <row r="146" spans="2:8" x14ac:dyDescent="0.35">
      <c r="B146" s="112">
        <v>144</v>
      </c>
      <c r="C146" s="100"/>
      <c r="D146" s="100"/>
      <c r="E146" s="100"/>
      <c r="F146" s="100"/>
      <c r="G146" s="100"/>
      <c r="H146" s="113"/>
    </row>
    <row r="147" spans="2:8" x14ac:dyDescent="0.35">
      <c r="B147" s="112">
        <v>145</v>
      </c>
      <c r="C147" s="100"/>
      <c r="D147" s="100"/>
      <c r="E147" s="100"/>
      <c r="F147" s="100"/>
      <c r="G147" s="100"/>
      <c r="H147" s="113"/>
    </row>
    <row r="148" spans="2:8" x14ac:dyDescent="0.35">
      <c r="B148" s="112">
        <v>146</v>
      </c>
      <c r="C148" s="100"/>
      <c r="D148" s="100"/>
      <c r="E148" s="100"/>
      <c r="F148" s="100"/>
      <c r="G148" s="100"/>
      <c r="H148" s="113"/>
    </row>
    <row r="149" spans="2:8" x14ac:dyDescent="0.35">
      <c r="B149" s="112">
        <v>147</v>
      </c>
      <c r="C149" s="100"/>
      <c r="D149" s="100"/>
      <c r="E149" s="100"/>
      <c r="F149" s="100"/>
      <c r="G149" s="100"/>
      <c r="H149" s="113"/>
    </row>
    <row r="150" spans="2:8" x14ac:dyDescent="0.35">
      <c r="B150" s="112">
        <v>148</v>
      </c>
      <c r="C150" s="100"/>
      <c r="D150" s="100"/>
      <c r="E150" s="100"/>
      <c r="F150" s="100"/>
      <c r="G150" s="100"/>
      <c r="H150" s="113"/>
    </row>
    <row r="151" spans="2:8" x14ac:dyDescent="0.35">
      <c r="B151" s="112">
        <v>149</v>
      </c>
      <c r="C151" s="100"/>
      <c r="D151" s="100"/>
      <c r="E151" s="100"/>
      <c r="F151" s="100"/>
      <c r="G151" s="100"/>
      <c r="H151" s="113"/>
    </row>
    <row r="152" spans="2:8" x14ac:dyDescent="0.35">
      <c r="B152" s="112">
        <v>150</v>
      </c>
      <c r="C152" s="100"/>
      <c r="D152" s="100"/>
      <c r="E152" s="100"/>
      <c r="F152" s="100"/>
      <c r="G152" s="100"/>
      <c r="H152" s="113"/>
    </row>
    <row r="153" spans="2:8" x14ac:dyDescent="0.35">
      <c r="B153" s="112">
        <v>151</v>
      </c>
      <c r="C153" s="100"/>
      <c r="D153" s="100"/>
      <c r="E153" s="100"/>
      <c r="F153" s="100"/>
      <c r="G153" s="100"/>
      <c r="H153" s="113"/>
    </row>
    <row r="154" spans="2:8" x14ac:dyDescent="0.35">
      <c r="B154" s="112">
        <v>152</v>
      </c>
      <c r="C154" s="100"/>
      <c r="D154" s="100"/>
      <c r="E154" s="100"/>
      <c r="F154" s="100"/>
      <c r="G154" s="100"/>
      <c r="H154" s="113"/>
    </row>
    <row r="155" spans="2:8" x14ac:dyDescent="0.35">
      <c r="B155" s="112">
        <v>153</v>
      </c>
      <c r="C155" s="100"/>
      <c r="D155" s="100"/>
      <c r="E155" s="100"/>
      <c r="F155" s="100"/>
      <c r="G155" s="100"/>
      <c r="H155" s="113"/>
    </row>
    <row r="156" spans="2:8" x14ac:dyDescent="0.35">
      <c r="B156" s="112">
        <v>154</v>
      </c>
      <c r="C156" s="100"/>
      <c r="D156" s="100"/>
      <c r="E156" s="100"/>
      <c r="F156" s="100"/>
      <c r="G156" s="100"/>
      <c r="H156" s="113"/>
    </row>
    <row r="157" spans="2:8" x14ac:dyDescent="0.35">
      <c r="B157" s="112">
        <v>155</v>
      </c>
      <c r="C157" s="100"/>
      <c r="D157" s="100"/>
      <c r="E157" s="100"/>
      <c r="F157" s="100"/>
      <c r="G157" s="100"/>
      <c r="H157" s="113"/>
    </row>
    <row r="158" spans="2:8" x14ac:dyDescent="0.35">
      <c r="B158" s="112">
        <v>156</v>
      </c>
      <c r="C158" s="100"/>
      <c r="D158" s="100"/>
      <c r="E158" s="100"/>
      <c r="F158" s="100"/>
      <c r="G158" s="100"/>
      <c r="H158" s="113"/>
    </row>
    <row r="159" spans="2:8" x14ac:dyDescent="0.35">
      <c r="B159" s="112">
        <v>157</v>
      </c>
      <c r="C159" s="100"/>
      <c r="D159" s="100"/>
      <c r="E159" s="100"/>
      <c r="F159" s="100"/>
      <c r="G159" s="100"/>
      <c r="H159" s="113"/>
    </row>
    <row r="160" spans="2:8" x14ac:dyDescent="0.35">
      <c r="B160" s="112">
        <v>158</v>
      </c>
      <c r="C160" s="100"/>
      <c r="D160" s="100"/>
      <c r="E160" s="100"/>
      <c r="F160" s="100"/>
      <c r="G160" s="100"/>
      <c r="H160" s="113"/>
    </row>
    <row r="161" spans="2:8" x14ac:dyDescent="0.35">
      <c r="B161" s="112">
        <v>159</v>
      </c>
      <c r="C161" s="100"/>
      <c r="D161" s="100"/>
      <c r="E161" s="100"/>
      <c r="F161" s="100"/>
      <c r="G161" s="100"/>
      <c r="H161" s="113"/>
    </row>
    <row r="162" spans="2:8" x14ac:dyDescent="0.35">
      <c r="B162" s="112">
        <v>160</v>
      </c>
      <c r="C162" s="100"/>
      <c r="D162" s="100"/>
      <c r="E162" s="100"/>
      <c r="F162" s="100"/>
      <c r="G162" s="100"/>
      <c r="H162" s="113"/>
    </row>
    <row r="163" spans="2:8" x14ac:dyDescent="0.35">
      <c r="B163" s="112">
        <v>161</v>
      </c>
      <c r="C163" s="100"/>
      <c r="D163" s="100"/>
      <c r="E163" s="100"/>
      <c r="F163" s="100"/>
      <c r="G163" s="100"/>
      <c r="H163" s="113"/>
    </row>
    <row r="164" spans="2:8" x14ac:dyDescent="0.35">
      <c r="B164" s="112">
        <v>162</v>
      </c>
      <c r="C164" s="100"/>
      <c r="D164" s="100"/>
      <c r="E164" s="100"/>
      <c r="F164" s="100"/>
      <c r="G164" s="100"/>
      <c r="H164" s="113"/>
    </row>
    <row r="165" spans="2:8" x14ac:dyDescent="0.35">
      <c r="B165" s="112">
        <v>163</v>
      </c>
      <c r="C165" s="100"/>
      <c r="D165" s="100"/>
      <c r="E165" s="100"/>
      <c r="F165" s="100"/>
      <c r="G165" s="100"/>
      <c r="H165" s="113"/>
    </row>
    <row r="166" spans="2:8" x14ac:dyDescent="0.35">
      <c r="B166" s="112">
        <v>164</v>
      </c>
      <c r="C166" s="100"/>
      <c r="D166" s="100"/>
      <c r="E166" s="100"/>
      <c r="F166" s="100"/>
      <c r="G166" s="100"/>
      <c r="H166" s="113"/>
    </row>
    <row r="167" spans="2:8" x14ac:dyDescent="0.35">
      <c r="B167" s="112">
        <v>165</v>
      </c>
      <c r="C167" s="100"/>
      <c r="D167" s="100"/>
      <c r="E167" s="100"/>
      <c r="F167" s="100"/>
      <c r="G167" s="100"/>
      <c r="H167" s="113"/>
    </row>
    <row r="168" spans="2:8" x14ac:dyDescent="0.35">
      <c r="B168" s="112">
        <v>166</v>
      </c>
      <c r="C168" s="100"/>
      <c r="D168" s="100"/>
      <c r="E168" s="100"/>
      <c r="F168" s="100"/>
      <c r="G168" s="100"/>
      <c r="H168" s="113"/>
    </row>
    <row r="169" spans="2:8" x14ac:dyDescent="0.35">
      <c r="B169" s="112">
        <v>167</v>
      </c>
      <c r="C169" s="100"/>
      <c r="D169" s="100"/>
      <c r="E169" s="100"/>
      <c r="F169" s="100"/>
      <c r="G169" s="100"/>
      <c r="H169" s="113"/>
    </row>
    <row r="170" spans="2:8" x14ac:dyDescent="0.35">
      <c r="B170" s="112">
        <v>168</v>
      </c>
      <c r="C170" s="100"/>
      <c r="D170" s="100"/>
      <c r="E170" s="100"/>
      <c r="F170" s="100"/>
      <c r="G170" s="100"/>
      <c r="H170" s="113"/>
    </row>
    <row r="171" spans="2:8" x14ac:dyDescent="0.35">
      <c r="B171" s="112">
        <v>169</v>
      </c>
      <c r="C171" s="100"/>
      <c r="D171" s="100"/>
      <c r="E171" s="100"/>
      <c r="F171" s="100"/>
      <c r="G171" s="100"/>
      <c r="H171" s="113"/>
    </row>
    <row r="172" spans="2:8" x14ac:dyDescent="0.35">
      <c r="B172" s="112">
        <v>170</v>
      </c>
      <c r="C172" s="100"/>
      <c r="D172" s="100"/>
      <c r="E172" s="100"/>
      <c r="F172" s="100"/>
      <c r="G172" s="100"/>
      <c r="H172" s="113"/>
    </row>
    <row r="173" spans="2:8" x14ac:dyDescent="0.35">
      <c r="B173" s="112">
        <v>171</v>
      </c>
      <c r="C173" s="100"/>
      <c r="D173" s="100"/>
      <c r="E173" s="100"/>
      <c r="F173" s="100"/>
      <c r="G173" s="100"/>
      <c r="H173" s="113"/>
    </row>
    <row r="174" spans="2:8" x14ac:dyDescent="0.35">
      <c r="B174" s="112">
        <v>172</v>
      </c>
      <c r="C174" s="100"/>
      <c r="D174" s="100"/>
      <c r="E174" s="100"/>
      <c r="F174" s="100"/>
      <c r="G174" s="100"/>
      <c r="H174" s="113"/>
    </row>
    <row r="175" spans="2:8" x14ac:dyDescent="0.35">
      <c r="B175" s="112">
        <v>173</v>
      </c>
      <c r="C175" s="100"/>
      <c r="D175" s="100"/>
      <c r="E175" s="100"/>
      <c r="F175" s="100"/>
      <c r="G175" s="100"/>
      <c r="H175" s="113"/>
    </row>
    <row r="176" spans="2:8" ht="15" thickBot="1" x14ac:dyDescent="0.4">
      <c r="B176" s="112">
        <v>174</v>
      </c>
      <c r="C176" s="114"/>
      <c r="D176" s="114"/>
      <c r="E176" s="114"/>
      <c r="F176" s="114"/>
      <c r="G176" s="114"/>
      <c r="H176" s="115"/>
    </row>
  </sheetData>
  <autoFilter ref="B2:H176" xr:uid="{8607D0E0-4AAD-48B0-B15A-3A46E7422E84}"/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J16" sqref="J16"/>
    </sheetView>
  </sheetViews>
  <sheetFormatPr defaultRowHeight="14.5" x14ac:dyDescent="0.35"/>
  <cols>
    <col min="1" max="1" width="15.453125" bestFit="1" customWidth="1"/>
    <col min="2" max="2" width="30" bestFit="1" customWidth="1"/>
    <col min="3" max="3" width="12.1796875" customWidth="1"/>
    <col min="4" max="6" width="11" customWidth="1"/>
    <col min="7" max="7" width="10.26953125" customWidth="1"/>
  </cols>
  <sheetData>
    <row r="1" spans="1:7" x14ac:dyDescent="0.35">
      <c r="A1" t="s">
        <v>15</v>
      </c>
      <c r="B1" s="29" t="str">
        <f>Evaluation!A3</f>
        <v>Khansaheb Civil Engineering LLC</v>
      </c>
    </row>
    <row r="2" spans="1:7" x14ac:dyDescent="0.35">
      <c r="A2" t="s">
        <v>20</v>
      </c>
      <c r="B2" s="29">
        <f>Evaluation!B4</f>
        <v>5</v>
      </c>
    </row>
    <row r="3" spans="1:7" x14ac:dyDescent="0.35">
      <c r="A3" t="s">
        <v>16</v>
      </c>
      <c r="B3" s="29" t="str">
        <f>Evaluation!B5</f>
        <v xml:space="preserve">Dorchester Hotel &amp; Residences (Completion Works)  </v>
      </c>
    </row>
    <row r="4" spans="1:7" x14ac:dyDescent="0.35">
      <c r="A4" t="s">
        <v>21</v>
      </c>
      <c r="B4" s="29" t="e">
        <f>Evaluation!#REF!</f>
        <v>#REF!</v>
      </c>
    </row>
    <row r="5" spans="1:7" x14ac:dyDescent="0.35">
      <c r="A5" t="s">
        <v>39</v>
      </c>
      <c r="B5" s="30">
        <f>Evaluation!B7</f>
        <v>44951</v>
      </c>
    </row>
    <row r="6" spans="1:7" ht="15" thickBot="1" x14ac:dyDescent="0.4"/>
    <row r="7" spans="1:7" x14ac:dyDescent="0.35">
      <c r="A7" s="248" t="s">
        <v>40</v>
      </c>
      <c r="B7" s="249"/>
      <c r="C7" s="249"/>
      <c r="D7" s="249"/>
      <c r="E7" s="249"/>
      <c r="F7" s="249"/>
      <c r="G7" s="250"/>
    </row>
    <row r="8" spans="1:7" x14ac:dyDescent="0.35">
      <c r="A8" s="31" t="s">
        <v>30</v>
      </c>
      <c r="B8" s="32" t="s">
        <v>31</v>
      </c>
      <c r="C8" s="32" t="s">
        <v>32</v>
      </c>
      <c r="D8" s="32" t="s">
        <v>33</v>
      </c>
      <c r="E8" s="33" t="s">
        <v>43</v>
      </c>
      <c r="F8" s="33" t="s">
        <v>42</v>
      </c>
      <c r="G8" s="33" t="s">
        <v>41</v>
      </c>
    </row>
    <row r="9" spans="1:7" x14ac:dyDescent="0.35">
      <c r="A9" s="34"/>
      <c r="B9" s="35"/>
      <c r="C9" s="36"/>
      <c r="D9" s="36"/>
      <c r="E9" s="37"/>
      <c r="F9" s="37"/>
      <c r="G9" s="38"/>
    </row>
    <row r="10" spans="1:7" x14ac:dyDescent="0.35">
      <c r="A10" s="34"/>
      <c r="B10" s="35"/>
      <c r="C10" s="36"/>
      <c r="D10" s="36"/>
      <c r="E10" s="37"/>
      <c r="F10" s="37"/>
      <c r="G10" s="38"/>
    </row>
    <row r="11" spans="1:7" x14ac:dyDescent="0.35">
      <c r="A11" s="39"/>
      <c r="B11" s="40"/>
      <c r="C11" s="41"/>
      <c r="D11" s="41"/>
      <c r="E11" s="42"/>
      <c r="F11" s="42"/>
      <c r="G11" s="43"/>
    </row>
    <row r="12" spans="1:7" x14ac:dyDescent="0.35">
      <c r="A12" s="39" t="s">
        <v>34</v>
      </c>
      <c r="B12" s="44"/>
      <c r="C12" s="41"/>
      <c r="D12" s="41"/>
      <c r="E12" s="42">
        <f>SUBTOTAL(109,Table2[Cumulative])</f>
        <v>0</v>
      </c>
      <c r="F12" s="42">
        <f>SUBTOTAL(109,Table2[Previous])</f>
        <v>0</v>
      </c>
      <c r="G12" s="45">
        <f>SUBTOTAL(103,Table2[Net])</f>
        <v>0</v>
      </c>
    </row>
    <row r="13" spans="1:7" x14ac:dyDescent="0.35">
      <c r="G13" s="1"/>
    </row>
  </sheetData>
  <mergeCells count="1">
    <mergeCell ref="A7:G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E18" sqref="E18"/>
    </sheetView>
  </sheetViews>
  <sheetFormatPr defaultRowHeight="14.5" x14ac:dyDescent="0.35"/>
  <cols>
    <col min="1" max="1" width="13.81640625" bestFit="1" customWidth="1"/>
    <col min="2" max="2" width="13.26953125" customWidth="1"/>
    <col min="3" max="3" width="10.453125" customWidth="1"/>
    <col min="8" max="8" width="12.1796875" customWidth="1"/>
    <col min="9" max="9" width="14.54296875" customWidth="1"/>
    <col min="10" max="10" width="20.7265625" customWidth="1"/>
  </cols>
  <sheetData>
    <row r="1" spans="1:10" x14ac:dyDescent="0.35">
      <c r="A1" s="251" t="s">
        <v>54</v>
      </c>
      <c r="B1" s="251"/>
      <c r="C1" s="251"/>
      <c r="D1" s="251"/>
      <c r="E1" s="251"/>
      <c r="F1" s="251"/>
      <c r="G1" s="251"/>
      <c r="H1" s="251"/>
      <c r="I1" s="251"/>
      <c r="J1" s="251"/>
    </row>
    <row r="2" spans="1:10" x14ac:dyDescent="0.35">
      <c r="A2" t="s">
        <v>53</v>
      </c>
      <c r="B2" t="s">
        <v>6</v>
      </c>
      <c r="C2" t="s">
        <v>22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51</v>
      </c>
      <c r="J2" t="s">
        <v>52</v>
      </c>
    </row>
  </sheetData>
  <mergeCells count="1">
    <mergeCell ref="A1:J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9"/>
  <sheetViews>
    <sheetView workbookViewId="0">
      <selection activeCell="J10" sqref="J10"/>
    </sheetView>
  </sheetViews>
  <sheetFormatPr defaultRowHeight="14.5" x14ac:dyDescent="0.35"/>
  <cols>
    <col min="1" max="1" width="15.453125" bestFit="1" customWidth="1"/>
    <col min="2" max="2" width="17.81640625" customWidth="1"/>
    <col min="3" max="3" width="18.453125" customWidth="1"/>
    <col min="4" max="4" width="12.54296875" customWidth="1"/>
    <col min="5" max="5" width="10.1796875" bestFit="1" customWidth="1"/>
    <col min="6" max="6" width="10.7265625" customWidth="1"/>
  </cols>
  <sheetData>
    <row r="2" spans="1:6" x14ac:dyDescent="0.35">
      <c r="A2" t="s">
        <v>15</v>
      </c>
      <c r="B2" s="252" t="str">
        <f>Evaluation!A3</f>
        <v>Khansaheb Civil Engineering LLC</v>
      </c>
      <c r="C2" s="252"/>
      <c r="D2" s="252"/>
      <c r="E2" s="252"/>
    </row>
    <row r="3" spans="1:6" x14ac:dyDescent="0.35">
      <c r="A3" t="s">
        <v>16</v>
      </c>
      <c r="B3" s="252" t="str">
        <f>Evaluation!B5</f>
        <v xml:space="preserve">Dorchester Hotel &amp; Residences (Completion Works)  </v>
      </c>
      <c r="C3" s="252"/>
      <c r="D3" s="252"/>
      <c r="E3" s="252"/>
    </row>
    <row r="4" spans="1:6" x14ac:dyDescent="0.35">
      <c r="A4" t="s">
        <v>17</v>
      </c>
      <c r="B4" s="252" t="str">
        <f>Evaluation!B6</f>
        <v>201A22002/49</v>
      </c>
      <c r="C4" s="252"/>
      <c r="D4" s="252"/>
      <c r="E4" s="252"/>
    </row>
    <row r="7" spans="1:6" x14ac:dyDescent="0.35">
      <c r="A7" s="253" t="s">
        <v>35</v>
      </c>
      <c r="B7" s="253"/>
      <c r="C7" s="253"/>
      <c r="D7" s="253"/>
      <c r="E7" s="253"/>
      <c r="F7" s="253"/>
    </row>
    <row r="8" spans="1:6" x14ac:dyDescent="0.35">
      <c r="A8" s="46" t="s">
        <v>44</v>
      </c>
      <c r="B8" s="47" t="s">
        <v>36</v>
      </c>
      <c r="C8" s="47" t="s">
        <v>45</v>
      </c>
      <c r="D8" s="47" t="s">
        <v>37</v>
      </c>
      <c r="E8" s="47" t="s">
        <v>34</v>
      </c>
      <c r="F8" s="48" t="s">
        <v>14</v>
      </c>
    </row>
    <row r="9" spans="1:6" x14ac:dyDescent="0.35">
      <c r="A9" s="134">
        <v>1</v>
      </c>
      <c r="B9" s="50">
        <v>44834</v>
      </c>
      <c r="C9" s="51">
        <v>125287.35</v>
      </c>
      <c r="D9" s="51">
        <v>0</v>
      </c>
      <c r="E9" s="51">
        <f>Table3[[#This Row],[Works Carried Out]]+Table3[[#This Row],[Day Works]]</f>
        <v>125287.35</v>
      </c>
      <c r="F9" s="52"/>
    </row>
    <row r="10" spans="1:6" x14ac:dyDescent="0.35">
      <c r="A10" s="134">
        <v>2</v>
      </c>
      <c r="B10" s="50">
        <v>44865</v>
      </c>
      <c r="C10" s="51">
        <v>221656.78999999998</v>
      </c>
      <c r="D10" s="135" t="s">
        <v>477</v>
      </c>
      <c r="E10" s="51">
        <f>Table3[[#This Row],[Works Carried Out]]+Table3[[#This Row],[Day Works]]</f>
        <v>222927.78999999998</v>
      </c>
      <c r="F10" s="52"/>
    </row>
    <row r="11" spans="1:6" x14ac:dyDescent="0.35">
      <c r="A11" s="134">
        <v>3</v>
      </c>
      <c r="B11" s="50">
        <v>44890</v>
      </c>
      <c r="C11" s="51">
        <v>254058.20000000004</v>
      </c>
      <c r="D11" s="51">
        <v>1599</v>
      </c>
      <c r="E11" s="51">
        <f>Table3[[#This Row],[Works Carried Out]]+Table3[[#This Row],[Day Works]]</f>
        <v>255657.20000000004</v>
      </c>
      <c r="F11" s="52"/>
    </row>
    <row r="12" spans="1:6" x14ac:dyDescent="0.35">
      <c r="A12" s="49"/>
      <c r="B12" s="53"/>
      <c r="C12" s="51"/>
      <c r="D12" s="51"/>
      <c r="E12" s="51">
        <f>Table3[[#This Row],[Works Carried Out]]+Table3[[#This Row],[Day Works]]</f>
        <v>0</v>
      </c>
      <c r="F12" s="52"/>
    </row>
    <row r="13" spans="1:6" x14ac:dyDescent="0.35">
      <c r="A13" s="49"/>
      <c r="B13" s="53"/>
      <c r="C13" s="51"/>
      <c r="D13" s="51"/>
      <c r="E13" s="51">
        <f>Table3[[#This Row],[Works Carried Out]]+Table3[[#This Row],[Day Works]]</f>
        <v>0</v>
      </c>
      <c r="F13" s="52"/>
    </row>
    <row r="14" spans="1:6" x14ac:dyDescent="0.35">
      <c r="A14" s="49"/>
      <c r="B14" s="53"/>
      <c r="C14" s="51"/>
      <c r="D14" s="51"/>
      <c r="E14" s="51">
        <f>Table3[[#This Row],[Works Carried Out]]+Table3[[#This Row],[Day Works]]</f>
        <v>0</v>
      </c>
      <c r="F14" s="52"/>
    </row>
    <row r="15" spans="1:6" x14ac:dyDescent="0.35">
      <c r="A15" s="49"/>
      <c r="B15" s="53"/>
      <c r="C15" s="51"/>
      <c r="D15" s="51"/>
      <c r="E15" s="51">
        <f>Table3[[#This Row],[Works Carried Out]]+Table3[[#This Row],[Day Works]]</f>
        <v>0</v>
      </c>
      <c r="F15" s="52"/>
    </row>
    <row r="16" spans="1:6" x14ac:dyDescent="0.35">
      <c r="A16" s="54"/>
      <c r="B16" s="55"/>
      <c r="C16" s="56"/>
      <c r="D16" s="56"/>
      <c r="E16" s="56">
        <f>Table3[[#This Row],[Works Carried Out]]+Table3[[#This Row],[Day Works]]</f>
        <v>0</v>
      </c>
      <c r="F16" s="57"/>
    </row>
    <row r="17" spans="1:6" x14ac:dyDescent="0.35">
      <c r="A17" s="54" t="s">
        <v>34</v>
      </c>
      <c r="B17" s="55"/>
      <c r="C17" s="56">
        <f>SUBTOTAL(109,Table3[Works Carried Out])</f>
        <v>601002.34000000008</v>
      </c>
      <c r="D17" s="56">
        <f>SUBTOTAL(109,Table3[Day Works])</f>
        <v>1599</v>
      </c>
      <c r="E17" s="56">
        <f>SUBTOTAL(109,Table3[Total])</f>
        <v>603872.34000000008</v>
      </c>
      <c r="F17" s="57">
        <f>SUBTOTAL(103,Table3[Remarks])</f>
        <v>0</v>
      </c>
    </row>
    <row r="19" spans="1:6" x14ac:dyDescent="0.35">
      <c r="C19" s="2"/>
      <c r="D19" s="2"/>
      <c r="E19" s="2"/>
    </row>
  </sheetData>
  <mergeCells count="4">
    <mergeCell ref="B2:E2"/>
    <mergeCell ref="B3:E3"/>
    <mergeCell ref="B4:E4"/>
    <mergeCell ref="A7:F7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BB89AB-A98D-4538-92D2-9AF0A8A7F5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CB9E53-16EA-4274-BBB6-2372C5FD24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PA Front Sheet</vt:lpstr>
      <vt:lpstr>Evaluation</vt:lpstr>
      <vt:lpstr>Modification</vt:lpstr>
      <vt:lpstr>Order References</vt:lpstr>
      <vt:lpstr>Manpower</vt:lpstr>
      <vt:lpstr>SCOPE</vt:lpstr>
      <vt:lpstr>PASummary</vt:lpstr>
      <vt:lpstr>Evaluation</vt:lpstr>
      <vt:lpstr>'PA Front Sheet'!Print_Area</vt:lpstr>
      <vt:lpstr>Evaluation!Print_Titles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James</dc:creator>
  <cp:lastModifiedBy>Himal Kosala</cp:lastModifiedBy>
  <cp:lastPrinted>2023-01-30T06:39:57Z</cp:lastPrinted>
  <dcterms:created xsi:type="dcterms:W3CDTF">2010-10-04T07:20:34Z</dcterms:created>
  <dcterms:modified xsi:type="dcterms:W3CDTF">2023-02-09T13:13:52Z</dcterms:modified>
</cp:coreProperties>
</file>