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Subcontrator Payments\TAS\3 November\"/>
    </mc:Choice>
  </mc:AlternateContent>
  <xr:revisionPtr revIDLastSave="0" documentId="13_ncr:1_{B3A8A630-285F-408F-9386-D6D0447FC79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A Front Sheet" sheetId="9" r:id="rId1"/>
    <sheet name="Evaluation" sheetId="2" r:id="rId2"/>
    <sheet name="Order References" sheetId="11" r:id="rId3"/>
    <sheet name="Modification" sheetId="10" r:id="rId4"/>
    <sheet name="Manpower" sheetId="4" state="hidden" r:id="rId5"/>
    <sheet name="SCOPE" sheetId="7" state="hidden" r:id="rId6"/>
    <sheet name="PASummary" sheetId="6" state="hidden" r:id="rId7"/>
  </sheets>
  <externalReferences>
    <externalReference r:id="rId8"/>
    <externalReference r:id="rId9"/>
    <externalReference r:id="rId10"/>
  </externalReferences>
  <definedNames>
    <definedName name="_xlnm._FilterDatabase" localSheetId="1" hidden="1">Evaluation!$A$9:$AD$310</definedName>
    <definedName name="_xlnm._FilterDatabase" localSheetId="2" hidden="1">'Order References'!$B$2:$H$176</definedName>
    <definedName name="Access_Height" localSheetId="0">[1]!Table7[Access Height]</definedName>
    <definedName name="Access_Height">[2]!Table7[Access Height]</definedName>
    <definedName name="ED_Rate" localSheetId="0">[1]!Table1[[Scaffold Type]:[Min. Dim.]]</definedName>
    <definedName name="ED_Rate">[3]!Table1[[Scaffold Type]:[Min. Dim.]]</definedName>
    <definedName name="Evaluation">Evaluation!$A$9:$AD$310</definedName>
    <definedName name="Hire_Status" localSheetId="0">[1]!Table4[Hire Status]</definedName>
    <definedName name="Hire_Status">[2]!Table4[Hire Status]</definedName>
    <definedName name="Job_Environment" localSheetId="0">[1]!Table5[Job Environment]</definedName>
    <definedName name="Job_Environment">[2]!Table5[Job Environment]</definedName>
    <definedName name="LPO_No.___Ref_No." localSheetId="0">[1]!Table10[#Data]</definedName>
    <definedName name="LPO_No.___Ref_No.">[2]!Table10[#Data]</definedName>
    <definedName name="Material_Rate" localSheetId="0">[1]!Table14[#Data]</definedName>
    <definedName name="Material_Rate">#REF!</definedName>
    <definedName name="Materials" localSheetId="0">[1]!Table11[Material Description]</definedName>
    <definedName name="Materials">[2]!Table11[Material Description]</definedName>
    <definedName name="_xlnm.Print_Area" localSheetId="0">'PA Front Sheet'!$A$1:$G$38</definedName>
    <definedName name="_xlnm.Print_Titles" localSheetId="1">Evaluation!$1:$9</definedName>
    <definedName name="Production" localSheetId="0">[1]!Table12[Production]</definedName>
    <definedName name="Production">[2]!Table12[Production]</definedName>
    <definedName name="Production_Rate" localSheetId="0">[1]!Table15[#Data]</definedName>
    <definedName name="Production_Rate">#REF!</definedName>
    <definedName name="Scaffold_Type" localSheetId="0">[1]!Table6[Scaffold Type]</definedName>
    <definedName name="Scaffold_Type">[2]!Table6[Scaffold Type]</definedName>
    <definedName name="TAS_Quote" localSheetId="0">[1]!Table10[TAS Quote]</definedName>
    <definedName name="TAS_Quote">[2]!Table10[TAS Quote]</definedName>
    <definedName name="Type_of_Job" localSheetId="0">[1]!Table16[Type of Job]</definedName>
    <definedName name="Type_of_Job">[2]!Table16[Type of Job]</definedName>
    <definedName name="Unit_of_Measure" localSheetId="0">[1]!Table1[[Scaffold Type]:[Unit of Measure]]</definedName>
    <definedName name="Unit_of_Measure">[3]!Table1[[Scaffold Type]:[Unit of Measure]]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9" l="1"/>
  <c r="G17" i="9"/>
  <c r="G16" i="9"/>
  <c r="I16" i="9" l="1"/>
  <c r="I18" i="9"/>
  <c r="J18" i="9" s="1"/>
  <c r="AH311" i="2"/>
  <c r="AG159" i="2"/>
  <c r="J16" i="9" l="1"/>
  <c r="I17" i="9"/>
  <c r="J17" i="9" s="1"/>
  <c r="AQ248" i="2"/>
  <c r="AN250" i="2"/>
  <c r="AR298" i="2"/>
  <c r="AQ299" i="2"/>
  <c r="AO168" i="2"/>
  <c r="AS169" i="2"/>
  <c r="AT169" i="2"/>
  <c r="AN105" i="2"/>
  <c r="J27" i="9" l="1"/>
  <c r="I27" i="9"/>
  <c r="AQ161" i="2"/>
  <c r="AP161" i="2"/>
  <c r="AP289" i="2"/>
  <c r="AO291" i="2"/>
  <c r="AP159" i="2"/>
  <c r="AP157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05" i="2"/>
  <c r="O187" i="2" l="1"/>
  <c r="O251" i="2"/>
  <c r="U251" i="2"/>
  <c r="O232" i="2"/>
  <c r="U232" i="2"/>
  <c r="Z251" i="2" l="1"/>
  <c r="Y251" i="2"/>
  <c r="Y232" i="2"/>
  <c r="AK232" i="2" s="1"/>
  <c r="E9" i="6"/>
  <c r="E10" i="6"/>
  <c r="E11" i="6"/>
  <c r="E12" i="6"/>
  <c r="E13" i="6"/>
  <c r="E14" i="6"/>
  <c r="E15" i="6"/>
  <c r="E16" i="6"/>
  <c r="AL251" i="2" l="1"/>
  <c r="AG232" i="2"/>
  <c r="AF232" i="2" s="1"/>
  <c r="AL232" i="2"/>
  <c r="AG251" i="2"/>
  <c r="AF251" i="2" s="1"/>
  <c r="D12" i="10"/>
  <c r="F12" i="10"/>
  <c r="D13" i="10"/>
  <c r="F13" i="10" s="1"/>
  <c r="O224" i="2"/>
  <c r="U224" i="2"/>
  <c r="O225" i="2"/>
  <c r="U225" i="2"/>
  <c r="O226" i="2"/>
  <c r="U226" i="2"/>
  <c r="O227" i="2"/>
  <c r="U227" i="2"/>
  <c r="O216" i="2"/>
  <c r="U216" i="2"/>
  <c r="O217" i="2"/>
  <c r="U217" i="2"/>
  <c r="O218" i="2"/>
  <c r="U218" i="2"/>
  <c r="O219" i="2"/>
  <c r="U219" i="2"/>
  <c r="O220" i="2"/>
  <c r="U220" i="2"/>
  <c r="O221" i="2"/>
  <c r="U221" i="2"/>
  <c r="O222" i="2"/>
  <c r="U222" i="2"/>
  <c r="O223" i="2"/>
  <c r="U223" i="2"/>
  <c r="X223" i="2" l="1"/>
  <c r="X221" i="2"/>
  <c r="X227" i="2"/>
  <c r="X224" i="2"/>
  <c r="Z222" i="2"/>
  <c r="X218" i="2"/>
  <c r="X226" i="2"/>
  <c r="X220" i="2"/>
  <c r="X217" i="2"/>
  <c r="X225" i="2"/>
  <c r="X216" i="2"/>
  <c r="AH251" i="2"/>
  <c r="AH232" i="2"/>
  <c r="Z224" i="2"/>
  <c r="Y224" i="2"/>
  <c r="Z225" i="2"/>
  <c r="Y225" i="2"/>
  <c r="Z226" i="2"/>
  <c r="Y226" i="2"/>
  <c r="Z227" i="2"/>
  <c r="Y227" i="2"/>
  <c r="Y219" i="2"/>
  <c r="Z216" i="2"/>
  <c r="Y216" i="2"/>
  <c r="Z217" i="2"/>
  <c r="Z220" i="2"/>
  <c r="Y217" i="2"/>
  <c r="Z218" i="2"/>
  <c r="Y218" i="2"/>
  <c r="Z219" i="2"/>
  <c r="Y220" i="2"/>
  <c r="X219" i="2"/>
  <c r="Z221" i="2"/>
  <c r="Y222" i="2"/>
  <c r="X222" i="2"/>
  <c r="Y221" i="2"/>
  <c r="Z223" i="2"/>
  <c r="Y223" i="2"/>
  <c r="U212" i="2"/>
  <c r="O212" i="2"/>
  <c r="O211" i="2"/>
  <c r="U211" i="2"/>
  <c r="O213" i="2"/>
  <c r="U213" i="2"/>
  <c r="O214" i="2"/>
  <c r="U214" i="2"/>
  <c r="O215" i="2"/>
  <c r="U215" i="2"/>
  <c r="U207" i="2"/>
  <c r="O207" i="2"/>
  <c r="O206" i="2"/>
  <c r="U206" i="2"/>
  <c r="O208" i="2"/>
  <c r="U208" i="2"/>
  <c r="O209" i="2"/>
  <c r="U209" i="2"/>
  <c r="O210" i="2"/>
  <c r="U210" i="2"/>
  <c r="O201" i="2"/>
  <c r="U201" i="2"/>
  <c r="O183" i="2"/>
  <c r="U183" i="2"/>
  <c r="O310" i="2"/>
  <c r="U310" i="2"/>
  <c r="O309" i="2"/>
  <c r="X309" i="2" s="1"/>
  <c r="U309" i="2"/>
  <c r="O308" i="2"/>
  <c r="X308" i="2" s="1"/>
  <c r="U308" i="2"/>
  <c r="O307" i="2"/>
  <c r="X307" i="2" s="1"/>
  <c r="U307" i="2"/>
  <c r="O306" i="2"/>
  <c r="X306" i="2" s="1"/>
  <c r="U306" i="2"/>
  <c r="O305" i="2"/>
  <c r="X305" i="2" s="1"/>
  <c r="U305" i="2"/>
  <c r="O304" i="2"/>
  <c r="X304" i="2" s="1"/>
  <c r="U304" i="2"/>
  <c r="O303" i="2"/>
  <c r="X303" i="2" s="1"/>
  <c r="U303" i="2"/>
  <c r="O302" i="2"/>
  <c r="X302" i="2" s="1"/>
  <c r="U302" i="2"/>
  <c r="O301" i="2"/>
  <c r="X301" i="2" s="1"/>
  <c r="U301" i="2"/>
  <c r="U300" i="2"/>
  <c r="O300" i="2"/>
  <c r="X300" i="2" s="1"/>
  <c r="U299" i="2"/>
  <c r="O299" i="2"/>
  <c r="X299" i="2" s="1"/>
  <c r="O298" i="2"/>
  <c r="X298" i="2" s="1"/>
  <c r="U298" i="2"/>
  <c r="O297" i="2"/>
  <c r="X297" i="2" s="1"/>
  <c r="U297" i="2"/>
  <c r="O296" i="2"/>
  <c r="X296" i="2" s="1"/>
  <c r="U296" i="2"/>
  <c r="O295" i="2"/>
  <c r="Z295" i="2" s="1"/>
  <c r="U295" i="2"/>
  <c r="O294" i="2"/>
  <c r="Z294" i="2" s="1"/>
  <c r="U294" i="2"/>
  <c r="O293" i="2"/>
  <c r="X293" i="2" s="1"/>
  <c r="U293" i="2"/>
  <c r="O292" i="2"/>
  <c r="X292" i="2" s="1"/>
  <c r="U292" i="2"/>
  <c r="O291" i="2"/>
  <c r="X291" i="2" s="1"/>
  <c r="U291" i="2"/>
  <c r="U283" i="2"/>
  <c r="O283" i="2"/>
  <c r="X283" i="2" s="1"/>
  <c r="U282" i="2"/>
  <c r="O282" i="2"/>
  <c r="X282" i="2" s="1"/>
  <c r="O290" i="2"/>
  <c r="X290" i="2" s="1"/>
  <c r="U290" i="2"/>
  <c r="O289" i="2"/>
  <c r="Z289" i="2" s="1"/>
  <c r="U289" i="2"/>
  <c r="O288" i="2"/>
  <c r="Z288" i="2" s="1"/>
  <c r="U288" i="2"/>
  <c r="O287" i="2"/>
  <c r="U287" i="2"/>
  <c r="O286" i="2"/>
  <c r="X286" i="2" s="1"/>
  <c r="U286" i="2"/>
  <c r="O285" i="2"/>
  <c r="Z285" i="2" s="1"/>
  <c r="U285" i="2"/>
  <c r="O284" i="2"/>
  <c r="X284" i="2" s="1"/>
  <c r="U284" i="2"/>
  <c r="U280" i="2"/>
  <c r="O280" i="2"/>
  <c r="X280" i="2" s="1"/>
  <c r="U279" i="2"/>
  <c r="O279" i="2"/>
  <c r="X279" i="2" s="1"/>
  <c r="O281" i="2"/>
  <c r="X281" i="2" s="1"/>
  <c r="U281" i="2"/>
  <c r="O278" i="2"/>
  <c r="X278" i="2" s="1"/>
  <c r="U278" i="2"/>
  <c r="O277" i="2"/>
  <c r="X277" i="2" s="1"/>
  <c r="U277" i="2"/>
  <c r="O276" i="2"/>
  <c r="X276" i="2" s="1"/>
  <c r="U276" i="2"/>
  <c r="O275" i="2"/>
  <c r="X275" i="2" s="1"/>
  <c r="U275" i="2"/>
  <c r="O274" i="2"/>
  <c r="X274" i="2" s="1"/>
  <c r="U274" i="2"/>
  <c r="O273" i="2"/>
  <c r="U273" i="2"/>
  <c r="O272" i="2"/>
  <c r="X272" i="2" s="1"/>
  <c r="U272" i="2"/>
  <c r="O271" i="2"/>
  <c r="X271" i="2" s="1"/>
  <c r="U271" i="2"/>
  <c r="O270" i="2"/>
  <c r="X270" i="2" s="1"/>
  <c r="U270" i="2"/>
  <c r="O269" i="2"/>
  <c r="X269" i="2" s="1"/>
  <c r="U269" i="2"/>
  <c r="O268" i="2"/>
  <c r="X268" i="2" s="1"/>
  <c r="U268" i="2"/>
  <c r="O267" i="2"/>
  <c r="X267" i="2" s="1"/>
  <c r="U267" i="2"/>
  <c r="O266" i="2"/>
  <c r="X266" i="2" s="1"/>
  <c r="U266" i="2"/>
  <c r="O265" i="2"/>
  <c r="X265" i="2" s="1"/>
  <c r="U265" i="2"/>
  <c r="O264" i="2"/>
  <c r="Z264" i="2" s="1"/>
  <c r="U264" i="2"/>
  <c r="O263" i="2"/>
  <c r="Z263" i="2" s="1"/>
  <c r="U263" i="2"/>
  <c r="O262" i="2"/>
  <c r="Z262" i="2" s="1"/>
  <c r="U262" i="2"/>
  <c r="O261" i="2"/>
  <c r="U261" i="2"/>
  <c r="O260" i="2"/>
  <c r="X260" i="2" s="1"/>
  <c r="U260" i="2"/>
  <c r="O259" i="2"/>
  <c r="X259" i="2" s="1"/>
  <c r="U259" i="2"/>
  <c r="O258" i="2"/>
  <c r="X258" i="2" s="1"/>
  <c r="U258" i="2"/>
  <c r="O257" i="2"/>
  <c r="Z257" i="2" s="1"/>
  <c r="U257" i="2"/>
  <c r="O256" i="2"/>
  <c r="Z256" i="2" s="1"/>
  <c r="U256" i="2"/>
  <c r="O255" i="2"/>
  <c r="X255" i="2" s="1"/>
  <c r="U255" i="2"/>
  <c r="O254" i="2"/>
  <c r="X254" i="2" s="1"/>
  <c r="U254" i="2"/>
  <c r="O253" i="2"/>
  <c r="X253" i="2" s="1"/>
  <c r="U253" i="2"/>
  <c r="O252" i="2"/>
  <c r="X252" i="2" s="1"/>
  <c r="U252" i="2"/>
  <c r="O250" i="2"/>
  <c r="X250" i="2" s="1"/>
  <c r="U250" i="2"/>
  <c r="O249" i="2"/>
  <c r="X249" i="2" s="1"/>
  <c r="U249" i="2"/>
  <c r="O248" i="2"/>
  <c r="Z248" i="2" s="1"/>
  <c r="U248" i="2"/>
  <c r="O247" i="2"/>
  <c r="X247" i="2" s="1"/>
  <c r="U247" i="2"/>
  <c r="O246" i="2"/>
  <c r="X246" i="2" s="1"/>
  <c r="U246" i="2"/>
  <c r="U241" i="2"/>
  <c r="O241" i="2"/>
  <c r="X241" i="2" s="1"/>
  <c r="U231" i="2"/>
  <c r="O231" i="2"/>
  <c r="O245" i="2"/>
  <c r="U245" i="2"/>
  <c r="O244" i="2"/>
  <c r="X244" i="2" s="1"/>
  <c r="U244" i="2"/>
  <c r="O243" i="2"/>
  <c r="X243" i="2" s="1"/>
  <c r="U243" i="2"/>
  <c r="O242" i="2"/>
  <c r="X242" i="2" s="1"/>
  <c r="U242" i="2"/>
  <c r="O240" i="2"/>
  <c r="U240" i="2"/>
  <c r="O239" i="2"/>
  <c r="U239" i="2"/>
  <c r="O238" i="2"/>
  <c r="X238" i="2" s="1"/>
  <c r="U238" i="2"/>
  <c r="O237" i="2"/>
  <c r="Z237" i="2" s="1"/>
  <c r="U237" i="2"/>
  <c r="O236" i="2"/>
  <c r="Z236" i="2" s="1"/>
  <c r="U236" i="2"/>
  <c r="O235" i="2"/>
  <c r="Z235" i="2" s="1"/>
  <c r="U235" i="2"/>
  <c r="O234" i="2"/>
  <c r="X234" i="2" s="1"/>
  <c r="U234" i="2"/>
  <c r="O233" i="2"/>
  <c r="X233" i="2" s="1"/>
  <c r="U233" i="2"/>
  <c r="O230" i="2"/>
  <c r="U230" i="2"/>
  <c r="O229" i="2"/>
  <c r="U229" i="2"/>
  <c r="O228" i="2"/>
  <c r="U228" i="2"/>
  <c r="O165" i="2"/>
  <c r="U165" i="2"/>
  <c r="U205" i="2"/>
  <c r="O205" i="2"/>
  <c r="U203" i="2"/>
  <c r="O203" i="2"/>
  <c r="O204" i="2"/>
  <c r="U204" i="2"/>
  <c r="O202" i="2"/>
  <c r="U202" i="2"/>
  <c r="U200" i="2"/>
  <c r="O200" i="2"/>
  <c r="U198" i="2"/>
  <c r="O198" i="2"/>
  <c r="U190" i="2"/>
  <c r="O190" i="2"/>
  <c r="O199" i="2"/>
  <c r="U199" i="2"/>
  <c r="O197" i="2"/>
  <c r="U197" i="2"/>
  <c r="O196" i="2"/>
  <c r="U196" i="2"/>
  <c r="O195" i="2"/>
  <c r="U195" i="2"/>
  <c r="O194" i="2"/>
  <c r="U194" i="2"/>
  <c r="O193" i="2"/>
  <c r="U193" i="2"/>
  <c r="O192" i="2"/>
  <c r="U192" i="2"/>
  <c r="O191" i="2"/>
  <c r="U191" i="2"/>
  <c r="U180" i="2"/>
  <c r="O180" i="2"/>
  <c r="U178" i="2"/>
  <c r="O178" i="2"/>
  <c r="U175" i="2"/>
  <c r="O175" i="2"/>
  <c r="O189" i="2"/>
  <c r="U189" i="2"/>
  <c r="O188" i="2"/>
  <c r="U188" i="2"/>
  <c r="X187" i="2"/>
  <c r="U187" i="2"/>
  <c r="O186" i="2"/>
  <c r="U186" i="2"/>
  <c r="O185" i="2"/>
  <c r="U185" i="2"/>
  <c r="O184" i="2"/>
  <c r="U184" i="2"/>
  <c r="O182" i="2"/>
  <c r="U182" i="2"/>
  <c r="O181" i="2"/>
  <c r="U181" i="2"/>
  <c r="O179" i="2"/>
  <c r="U179" i="2"/>
  <c r="O177" i="2"/>
  <c r="U177" i="2"/>
  <c r="O176" i="2"/>
  <c r="U176" i="2"/>
  <c r="U173" i="2"/>
  <c r="O173" i="2"/>
  <c r="O174" i="2"/>
  <c r="U174" i="2"/>
  <c r="O172" i="2"/>
  <c r="U172" i="2"/>
  <c r="O171" i="2"/>
  <c r="U171" i="2"/>
  <c r="O170" i="2"/>
  <c r="U170" i="2"/>
  <c r="O169" i="2"/>
  <c r="U169" i="2"/>
  <c r="O168" i="2"/>
  <c r="U168" i="2"/>
  <c r="O167" i="2"/>
  <c r="U167" i="2"/>
  <c r="O166" i="2"/>
  <c r="U166" i="2"/>
  <c r="O164" i="2"/>
  <c r="U164" i="2"/>
  <c r="O163" i="2"/>
  <c r="U163" i="2"/>
  <c r="O162" i="2"/>
  <c r="U162" i="2"/>
  <c r="O161" i="2"/>
  <c r="U161" i="2"/>
  <c r="O160" i="2"/>
  <c r="U160" i="2"/>
  <c r="O159" i="2"/>
  <c r="U159" i="2"/>
  <c r="O158" i="2"/>
  <c r="X158" i="2" s="1"/>
  <c r="U158" i="2"/>
  <c r="O157" i="2"/>
  <c r="X157" i="2" s="1"/>
  <c r="U157" i="2"/>
  <c r="O156" i="2"/>
  <c r="U156" i="2"/>
  <c r="O155" i="2"/>
  <c r="X155" i="2" s="1"/>
  <c r="U155" i="2"/>
  <c r="U150" i="2"/>
  <c r="O150" i="2"/>
  <c r="X150" i="2" s="1"/>
  <c r="O154" i="2"/>
  <c r="X154" i="2" s="1"/>
  <c r="U154" i="2"/>
  <c r="O153" i="2"/>
  <c r="X153" i="2" s="1"/>
  <c r="U153" i="2"/>
  <c r="O152" i="2"/>
  <c r="X152" i="2" s="1"/>
  <c r="U152" i="2"/>
  <c r="O151" i="2"/>
  <c r="Z151" i="2" s="1"/>
  <c r="U151" i="2"/>
  <c r="O149" i="2"/>
  <c r="U149" i="2"/>
  <c r="O148" i="2"/>
  <c r="X148" i="2" s="1"/>
  <c r="U148" i="2"/>
  <c r="O147" i="2"/>
  <c r="X147" i="2" s="1"/>
  <c r="U147" i="2"/>
  <c r="O146" i="2"/>
  <c r="X146" i="2" s="1"/>
  <c r="U146" i="2"/>
  <c r="O145" i="2"/>
  <c r="U145" i="2"/>
  <c r="O144" i="2"/>
  <c r="X144" i="2" s="1"/>
  <c r="U144" i="2"/>
  <c r="O143" i="2"/>
  <c r="X143" i="2" s="1"/>
  <c r="U143" i="2"/>
  <c r="O142" i="2"/>
  <c r="X142" i="2" s="1"/>
  <c r="U142" i="2"/>
  <c r="O141" i="2"/>
  <c r="Z141" i="2" s="1"/>
  <c r="U141" i="2"/>
  <c r="O140" i="2"/>
  <c r="X140" i="2" s="1"/>
  <c r="U140" i="2"/>
  <c r="O139" i="2"/>
  <c r="X139" i="2" s="1"/>
  <c r="U139" i="2"/>
  <c r="U135" i="2"/>
  <c r="O135" i="2"/>
  <c r="X135" i="2" s="1"/>
  <c r="U131" i="2"/>
  <c r="O131" i="2"/>
  <c r="X131" i="2" s="1"/>
  <c r="O138" i="2"/>
  <c r="X138" i="2" s="1"/>
  <c r="U138" i="2"/>
  <c r="O137" i="2"/>
  <c r="Z137" i="2" s="1"/>
  <c r="U137" i="2"/>
  <c r="O136" i="2"/>
  <c r="Z136" i="2" s="1"/>
  <c r="U136" i="2"/>
  <c r="O134" i="2"/>
  <c r="Z134" i="2" s="1"/>
  <c r="U134" i="2"/>
  <c r="O133" i="2"/>
  <c r="Z133" i="2" s="1"/>
  <c r="U133" i="2"/>
  <c r="O132" i="2"/>
  <c r="X132" i="2" s="1"/>
  <c r="U132" i="2"/>
  <c r="O130" i="2"/>
  <c r="U130" i="2"/>
  <c r="O129" i="2"/>
  <c r="Z129" i="2" s="1"/>
  <c r="U129" i="2"/>
  <c r="O128" i="2"/>
  <c r="X128" i="2" s="1"/>
  <c r="U128" i="2"/>
  <c r="O127" i="2"/>
  <c r="X127" i="2" s="1"/>
  <c r="U127" i="2"/>
  <c r="O126" i="2"/>
  <c r="X126" i="2" s="1"/>
  <c r="U126" i="2"/>
  <c r="O125" i="2"/>
  <c r="U125" i="2"/>
  <c r="O124" i="2"/>
  <c r="X124" i="2" s="1"/>
  <c r="U124" i="2"/>
  <c r="O123" i="2"/>
  <c r="X123" i="2" s="1"/>
  <c r="U123" i="2"/>
  <c r="U122" i="2"/>
  <c r="O122" i="2"/>
  <c r="X122" i="2" s="1"/>
  <c r="O121" i="2"/>
  <c r="X121" i="2" s="1"/>
  <c r="U121" i="2"/>
  <c r="O120" i="2"/>
  <c r="Z120" i="2" s="1"/>
  <c r="U120" i="2"/>
  <c r="O119" i="2"/>
  <c r="X119" i="2" s="1"/>
  <c r="U119" i="2"/>
  <c r="U116" i="2"/>
  <c r="O116" i="2"/>
  <c r="X116" i="2" s="1"/>
  <c r="O118" i="2"/>
  <c r="X118" i="2" s="1"/>
  <c r="U118" i="2"/>
  <c r="O117" i="2"/>
  <c r="X117" i="2" s="1"/>
  <c r="U117" i="2"/>
  <c r="O115" i="2"/>
  <c r="U115" i="2"/>
  <c r="O114" i="2"/>
  <c r="X114" i="2" s="1"/>
  <c r="U114" i="2"/>
  <c r="O113" i="2"/>
  <c r="Z113" i="2" s="1"/>
  <c r="U113" i="2"/>
  <c r="O112" i="2"/>
  <c r="X112" i="2" s="1"/>
  <c r="U112" i="2"/>
  <c r="O111" i="2"/>
  <c r="X111" i="2" s="1"/>
  <c r="U111" i="2"/>
  <c r="O110" i="2"/>
  <c r="Z110" i="2" s="1"/>
  <c r="U110" i="2"/>
  <c r="O109" i="2"/>
  <c r="Z109" i="2" s="1"/>
  <c r="U109" i="2"/>
  <c r="O108" i="2"/>
  <c r="X108" i="2" s="1"/>
  <c r="U108" i="2"/>
  <c r="O107" i="2"/>
  <c r="X107" i="2" s="1"/>
  <c r="U107" i="2"/>
  <c r="O106" i="2"/>
  <c r="X106" i="2" s="1"/>
  <c r="U106" i="2"/>
  <c r="O105" i="2"/>
  <c r="X105" i="2" s="1"/>
  <c r="U105" i="2"/>
  <c r="D11" i="10"/>
  <c r="F11" i="10" s="1"/>
  <c r="D10" i="10"/>
  <c r="F10" i="10" s="1"/>
  <c r="D9" i="10"/>
  <c r="F9" i="10" s="1"/>
  <c r="U12" i="2"/>
  <c r="U10" i="2"/>
  <c r="U11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AK222" i="2" l="1"/>
  <c r="AL227" i="2"/>
  <c r="X240" i="2"/>
  <c r="Y240" i="2"/>
  <c r="AK216" i="2"/>
  <c r="AL217" i="2"/>
  <c r="AL223" i="2"/>
  <c r="AK227" i="2"/>
  <c r="AL222" i="2"/>
  <c r="AK220" i="2"/>
  <c r="AK219" i="2"/>
  <c r="AL226" i="2"/>
  <c r="AL221" i="2"/>
  <c r="AG225" i="2"/>
  <c r="AF225" i="2" s="1"/>
  <c r="AL219" i="2"/>
  <c r="AG224" i="2"/>
  <c r="AF224" i="2" s="1"/>
  <c r="AL218" i="2"/>
  <c r="X197" i="2"/>
  <c r="AK226" i="2"/>
  <c r="X190" i="2"/>
  <c r="Z174" i="2"/>
  <c r="Z185" i="2"/>
  <c r="X191" i="2"/>
  <c r="Z228" i="2"/>
  <c r="X215" i="2"/>
  <c r="AL220" i="2"/>
  <c r="AK218" i="2"/>
  <c r="X173" i="2"/>
  <c r="X198" i="2"/>
  <c r="X171" i="2"/>
  <c r="Z231" i="2"/>
  <c r="X166" i="2"/>
  <c r="Z186" i="2"/>
  <c r="X192" i="2"/>
  <c r="X183" i="2"/>
  <c r="X214" i="2"/>
  <c r="X162" i="2"/>
  <c r="X200" i="2"/>
  <c r="X167" i="2"/>
  <c r="X176" i="2"/>
  <c r="X193" i="2"/>
  <c r="Z230" i="2"/>
  <c r="X201" i="2"/>
  <c r="X213" i="2"/>
  <c r="AK224" i="2"/>
  <c r="X172" i="2"/>
  <c r="X159" i="2"/>
  <c r="Z168" i="2"/>
  <c r="Z177" i="2"/>
  <c r="X188" i="2"/>
  <c r="X194" i="2"/>
  <c r="X202" i="2"/>
  <c r="X210" i="2"/>
  <c r="X211" i="2"/>
  <c r="X206" i="2"/>
  <c r="X212" i="2"/>
  <c r="AL216" i="2"/>
  <c r="X207" i="2"/>
  <c r="X163" i="2"/>
  <c r="X160" i="2"/>
  <c r="X169" i="2"/>
  <c r="X189" i="2"/>
  <c r="Z195" i="2"/>
  <c r="X204" i="2"/>
  <c r="X209" i="2"/>
  <c r="AK225" i="2"/>
  <c r="AK221" i="2"/>
  <c r="X175" i="2"/>
  <c r="X203" i="2"/>
  <c r="X182" i="2"/>
  <c r="X180" i="2"/>
  <c r="X165" i="2"/>
  <c r="X161" i="2"/>
  <c r="X170" i="2"/>
  <c r="Z181" i="2"/>
  <c r="X196" i="2"/>
  <c r="X208" i="2"/>
  <c r="AK217" i="2"/>
  <c r="AK223" i="2"/>
  <c r="X178" i="2"/>
  <c r="X205" i="2"/>
  <c r="AL224" i="2"/>
  <c r="AG221" i="2"/>
  <c r="AF221" i="2" s="1"/>
  <c r="AL225" i="2"/>
  <c r="AG227" i="2"/>
  <c r="AF227" i="2" s="1"/>
  <c r="AG226" i="2"/>
  <c r="AF226" i="2" s="1"/>
  <c r="AG218" i="2"/>
  <c r="AF218" i="2" s="1"/>
  <c r="AG217" i="2"/>
  <c r="AF217" i="2" s="1"/>
  <c r="AG223" i="2"/>
  <c r="AF223" i="2" s="1"/>
  <c r="AG219" i="2"/>
  <c r="AF219" i="2" s="1"/>
  <c r="AG220" i="2"/>
  <c r="AF220" i="2" s="1"/>
  <c r="AG216" i="2"/>
  <c r="AF216" i="2" s="1"/>
  <c r="AG222" i="2"/>
  <c r="AF222" i="2" s="1"/>
  <c r="X287" i="2"/>
  <c r="Y287" i="2"/>
  <c r="Y212" i="2"/>
  <c r="Z212" i="2"/>
  <c r="Z211" i="2"/>
  <c r="Y211" i="2"/>
  <c r="Z213" i="2"/>
  <c r="Y213" i="2"/>
  <c r="Z214" i="2"/>
  <c r="Y214" i="2"/>
  <c r="Z215" i="2"/>
  <c r="Y215" i="2"/>
  <c r="Y207" i="2"/>
  <c r="Z207" i="2"/>
  <c r="Z206" i="2"/>
  <c r="Y206" i="2"/>
  <c r="Z208" i="2"/>
  <c r="Z209" i="2"/>
  <c r="Y208" i="2"/>
  <c r="Y209" i="2"/>
  <c r="Z210" i="2"/>
  <c r="Y210" i="2"/>
  <c r="Z201" i="2"/>
  <c r="Y201" i="2"/>
  <c r="Z183" i="2"/>
  <c r="Y183" i="2"/>
  <c r="Y310" i="2"/>
  <c r="Z310" i="2"/>
  <c r="X310" i="2"/>
  <c r="Z309" i="2"/>
  <c r="Y309" i="2"/>
  <c r="Z308" i="2"/>
  <c r="Y308" i="2"/>
  <c r="Z307" i="2"/>
  <c r="Y307" i="2"/>
  <c r="Z306" i="2"/>
  <c r="Y306" i="2"/>
  <c r="Y305" i="2"/>
  <c r="Z305" i="2"/>
  <c r="Y304" i="2"/>
  <c r="Z304" i="2"/>
  <c r="Y303" i="2"/>
  <c r="Z303" i="2"/>
  <c r="Z302" i="2"/>
  <c r="Y302" i="2"/>
  <c r="Z301" i="2"/>
  <c r="Y293" i="2"/>
  <c r="Y301" i="2"/>
  <c r="Y300" i="2"/>
  <c r="Z300" i="2"/>
  <c r="Y299" i="2"/>
  <c r="Z299" i="2"/>
  <c r="Y298" i="2"/>
  <c r="Z298" i="2"/>
  <c r="Y297" i="2"/>
  <c r="Z297" i="2"/>
  <c r="Z296" i="2"/>
  <c r="Y296" i="2"/>
  <c r="X295" i="2"/>
  <c r="Y295" i="2"/>
  <c r="X294" i="2"/>
  <c r="Y294" i="2"/>
  <c r="Z293" i="2"/>
  <c r="Z292" i="2"/>
  <c r="Y292" i="2"/>
  <c r="Z291" i="2"/>
  <c r="Y291" i="2"/>
  <c r="Z290" i="2"/>
  <c r="Y290" i="2"/>
  <c r="X289" i="2"/>
  <c r="Y289" i="2"/>
  <c r="X288" i="2"/>
  <c r="Y288" i="2"/>
  <c r="Z287" i="2"/>
  <c r="Z286" i="2"/>
  <c r="Y286" i="2"/>
  <c r="X285" i="2"/>
  <c r="Y285" i="2"/>
  <c r="Z284" i="2"/>
  <c r="Y284" i="2"/>
  <c r="Y283" i="2"/>
  <c r="Z283" i="2"/>
  <c r="Y282" i="2"/>
  <c r="Z282" i="2"/>
  <c r="Y261" i="2"/>
  <c r="Z281" i="2"/>
  <c r="Y281" i="2"/>
  <c r="Y280" i="2"/>
  <c r="Z280" i="2"/>
  <c r="Y279" i="2"/>
  <c r="Z279" i="2"/>
  <c r="Z278" i="2"/>
  <c r="Y278" i="2"/>
  <c r="Z277" i="2"/>
  <c r="Y277" i="2"/>
  <c r="Z276" i="2"/>
  <c r="Y276" i="2"/>
  <c r="Z275" i="2"/>
  <c r="Y275" i="2"/>
  <c r="Z268" i="2"/>
  <c r="Z274" i="2"/>
  <c r="Y274" i="2"/>
  <c r="Y273" i="2"/>
  <c r="Z273" i="2"/>
  <c r="X273" i="2"/>
  <c r="Y272" i="2"/>
  <c r="Z272" i="2"/>
  <c r="Z271" i="2"/>
  <c r="Y271" i="2"/>
  <c r="Z270" i="2"/>
  <c r="Y270" i="2"/>
  <c r="Y269" i="2"/>
  <c r="Z269" i="2"/>
  <c r="Y268" i="2"/>
  <c r="Z267" i="2"/>
  <c r="Y267" i="2"/>
  <c r="Z266" i="2"/>
  <c r="Y266" i="2"/>
  <c r="Z265" i="2"/>
  <c r="Y265" i="2"/>
  <c r="X264" i="2"/>
  <c r="Y264" i="2"/>
  <c r="X263" i="2"/>
  <c r="Y263" i="2"/>
  <c r="X262" i="2"/>
  <c r="Y262" i="2"/>
  <c r="Z261" i="2"/>
  <c r="X261" i="2"/>
  <c r="Z260" i="2"/>
  <c r="Y260" i="2"/>
  <c r="Z259" i="2"/>
  <c r="Y259" i="2"/>
  <c r="Z258" i="2"/>
  <c r="Y258" i="2"/>
  <c r="X257" i="2"/>
  <c r="Y257" i="2"/>
  <c r="Y256" i="2"/>
  <c r="X256" i="2"/>
  <c r="Y255" i="2"/>
  <c r="Z255" i="2"/>
  <c r="Z254" i="2"/>
  <c r="Y254" i="2"/>
  <c r="Z253" i="2"/>
  <c r="Y253" i="2"/>
  <c r="Y252" i="2"/>
  <c r="Z252" i="2"/>
  <c r="Z250" i="2"/>
  <c r="Y250" i="2"/>
  <c r="Z249" i="2"/>
  <c r="Y249" i="2"/>
  <c r="X248" i="2"/>
  <c r="Y248" i="2"/>
  <c r="Y247" i="2"/>
  <c r="Z247" i="2"/>
  <c r="Z246" i="2"/>
  <c r="Y245" i="2"/>
  <c r="Y246" i="2"/>
  <c r="Y239" i="2"/>
  <c r="Y244" i="2"/>
  <c r="Z245" i="2"/>
  <c r="X245" i="2"/>
  <c r="Z244" i="2"/>
  <c r="Z243" i="2"/>
  <c r="Y243" i="2"/>
  <c r="Z242" i="2"/>
  <c r="Y242" i="2"/>
  <c r="Y241" i="2"/>
  <c r="Z241" i="2"/>
  <c r="Z240" i="2"/>
  <c r="Z239" i="2"/>
  <c r="X239" i="2"/>
  <c r="Z238" i="2"/>
  <c r="Y238" i="2"/>
  <c r="X237" i="2"/>
  <c r="Y237" i="2"/>
  <c r="X236" i="2"/>
  <c r="Y236" i="2"/>
  <c r="Y235" i="2"/>
  <c r="X235" i="2"/>
  <c r="Z234" i="2"/>
  <c r="Y234" i="2"/>
  <c r="Z233" i="2"/>
  <c r="Y233" i="2"/>
  <c r="X231" i="2"/>
  <c r="Y231" i="2"/>
  <c r="X230" i="2"/>
  <c r="Y230" i="2"/>
  <c r="Y229" i="2"/>
  <c r="Z229" i="2"/>
  <c r="X229" i="2"/>
  <c r="Y228" i="2"/>
  <c r="AK228" i="2" s="1"/>
  <c r="X228" i="2"/>
  <c r="Z165" i="2"/>
  <c r="Y165" i="2"/>
  <c r="Y205" i="2"/>
  <c r="Z205" i="2"/>
  <c r="Z204" i="2"/>
  <c r="Y204" i="2"/>
  <c r="Y203" i="2"/>
  <c r="Z203" i="2"/>
  <c r="Z202" i="2"/>
  <c r="Y202" i="2"/>
  <c r="Y199" i="2"/>
  <c r="Y200" i="2"/>
  <c r="Z200" i="2"/>
  <c r="Z199" i="2"/>
  <c r="X199" i="2"/>
  <c r="Y198" i="2"/>
  <c r="Z198" i="2"/>
  <c r="Z197" i="2"/>
  <c r="Y195" i="2"/>
  <c r="X195" i="2"/>
  <c r="Z194" i="2"/>
  <c r="Y194" i="2"/>
  <c r="Z193" i="2"/>
  <c r="Z192" i="2"/>
  <c r="Z196" i="2"/>
  <c r="Y192" i="2"/>
  <c r="Y196" i="2"/>
  <c r="Y193" i="2"/>
  <c r="Y197" i="2"/>
  <c r="Z191" i="2"/>
  <c r="Y191" i="2"/>
  <c r="Y190" i="2"/>
  <c r="Z190" i="2"/>
  <c r="Z189" i="2"/>
  <c r="Y189" i="2"/>
  <c r="Y188" i="2"/>
  <c r="Z188" i="2"/>
  <c r="Z187" i="2"/>
  <c r="Y187" i="2"/>
  <c r="X186" i="2"/>
  <c r="Y186" i="2"/>
  <c r="X185" i="2"/>
  <c r="Y185" i="2"/>
  <c r="Y184" i="2"/>
  <c r="X184" i="2"/>
  <c r="Z184" i="2"/>
  <c r="Z182" i="2"/>
  <c r="Y182" i="2"/>
  <c r="X181" i="2"/>
  <c r="Y181" i="2"/>
  <c r="Y180" i="2"/>
  <c r="Z180" i="2"/>
  <c r="Y179" i="2"/>
  <c r="X179" i="2"/>
  <c r="Z179" i="2"/>
  <c r="Y178" i="2"/>
  <c r="Z178" i="2"/>
  <c r="X177" i="2"/>
  <c r="Y177" i="2"/>
  <c r="Z176" i="2"/>
  <c r="Y176" i="2"/>
  <c r="Y175" i="2"/>
  <c r="Z175" i="2"/>
  <c r="X174" i="2"/>
  <c r="Y173" i="2"/>
  <c r="Z173" i="2"/>
  <c r="Y174" i="2"/>
  <c r="Z172" i="2"/>
  <c r="Y172" i="2"/>
  <c r="Y164" i="2"/>
  <c r="Z171" i="2"/>
  <c r="Y171" i="2"/>
  <c r="Y170" i="2"/>
  <c r="Z170" i="2"/>
  <c r="Z169" i="2"/>
  <c r="Y169" i="2"/>
  <c r="X168" i="2"/>
  <c r="Y168" i="2"/>
  <c r="Z167" i="2"/>
  <c r="Y167" i="2"/>
  <c r="Z166" i="2"/>
  <c r="Z161" i="2"/>
  <c r="X164" i="2"/>
  <c r="Y166" i="2"/>
  <c r="Y153" i="2"/>
  <c r="Y161" i="2"/>
  <c r="Z163" i="2"/>
  <c r="Z160" i="2"/>
  <c r="Z159" i="2"/>
  <c r="Y160" i="2"/>
  <c r="Z164" i="2"/>
  <c r="Z158" i="2"/>
  <c r="Z162" i="2"/>
  <c r="Y158" i="2"/>
  <c r="Y162" i="2"/>
  <c r="Z153" i="2"/>
  <c r="Y159" i="2"/>
  <c r="Y163" i="2"/>
  <c r="Z157" i="2"/>
  <c r="Y157" i="2"/>
  <c r="Y156" i="2"/>
  <c r="Z156" i="2"/>
  <c r="X156" i="2"/>
  <c r="Z155" i="2"/>
  <c r="Y149" i="2"/>
  <c r="Y155" i="2"/>
  <c r="Z154" i="2"/>
  <c r="Y154" i="2"/>
  <c r="Y152" i="2"/>
  <c r="Z152" i="2"/>
  <c r="X151" i="2"/>
  <c r="Y151" i="2"/>
  <c r="Y150" i="2"/>
  <c r="Z150" i="2"/>
  <c r="X149" i="2"/>
  <c r="Z149" i="2"/>
  <c r="Y148" i="2"/>
  <c r="Z148" i="2"/>
  <c r="Z147" i="2"/>
  <c r="Y147" i="2"/>
  <c r="Z146" i="2"/>
  <c r="Y145" i="2"/>
  <c r="Y146" i="2"/>
  <c r="Z145" i="2"/>
  <c r="X145" i="2"/>
  <c r="Z144" i="2"/>
  <c r="Y144" i="2"/>
  <c r="Y143" i="2"/>
  <c r="Z143" i="2"/>
  <c r="Z142" i="2"/>
  <c r="Y142" i="2"/>
  <c r="Y141" i="2"/>
  <c r="X141" i="2"/>
  <c r="Y140" i="2"/>
  <c r="Z140" i="2"/>
  <c r="Z139" i="2"/>
  <c r="Y139" i="2"/>
  <c r="Z138" i="2"/>
  <c r="Y138" i="2"/>
  <c r="X137" i="2"/>
  <c r="Y137" i="2"/>
  <c r="X136" i="2"/>
  <c r="Y136" i="2"/>
  <c r="Y135" i="2"/>
  <c r="Z135" i="2"/>
  <c r="X134" i="2"/>
  <c r="Y134" i="2"/>
  <c r="Y133" i="2"/>
  <c r="X133" i="2"/>
  <c r="Z132" i="2"/>
  <c r="Y132" i="2"/>
  <c r="Y131" i="2"/>
  <c r="Z131" i="2"/>
  <c r="X110" i="2"/>
  <c r="Y130" i="2"/>
  <c r="Z130" i="2"/>
  <c r="X130" i="2"/>
  <c r="X129" i="2"/>
  <c r="Y129" i="2"/>
  <c r="Z128" i="2"/>
  <c r="Y128" i="2"/>
  <c r="Z127" i="2"/>
  <c r="Y127" i="2"/>
  <c r="Z126" i="2"/>
  <c r="Y126" i="2"/>
  <c r="Y125" i="2"/>
  <c r="X125" i="2"/>
  <c r="Z125" i="2"/>
  <c r="Z124" i="2"/>
  <c r="Y124" i="2"/>
  <c r="Z123" i="2"/>
  <c r="Y123" i="2"/>
  <c r="Y122" i="2"/>
  <c r="Z122" i="2"/>
  <c r="Y121" i="2"/>
  <c r="Z121" i="2"/>
  <c r="X120" i="2"/>
  <c r="Y120" i="2"/>
  <c r="Z119" i="2"/>
  <c r="Y119" i="2"/>
  <c r="Y115" i="2"/>
  <c r="Z118" i="2"/>
  <c r="Y118" i="2"/>
  <c r="Z117" i="2"/>
  <c r="Y117" i="2"/>
  <c r="Y116" i="2"/>
  <c r="Z116" i="2"/>
  <c r="Z115" i="2"/>
  <c r="X115" i="2"/>
  <c r="Z114" i="2"/>
  <c r="Y114" i="2"/>
  <c r="X113" i="2"/>
  <c r="Y113" i="2"/>
  <c r="Z112" i="2"/>
  <c r="Y112" i="2"/>
  <c r="X109" i="2"/>
  <c r="Z111" i="2"/>
  <c r="Y111" i="2"/>
  <c r="Y110" i="2"/>
  <c r="Y108" i="2"/>
  <c r="Y109" i="2"/>
  <c r="Z108" i="2"/>
  <c r="Z107" i="2"/>
  <c r="Y107" i="2"/>
  <c r="Z106" i="2"/>
  <c r="Y106" i="2"/>
  <c r="Z105" i="2"/>
  <c r="Y105" i="2"/>
  <c r="O96" i="2"/>
  <c r="AG250" i="2" l="1"/>
  <c r="AK185" i="2"/>
  <c r="AK230" i="2"/>
  <c r="AL118" i="2"/>
  <c r="AL132" i="2"/>
  <c r="AK231" i="2"/>
  <c r="AK186" i="2"/>
  <c r="AK168" i="2"/>
  <c r="AL153" i="2"/>
  <c r="AL253" i="2"/>
  <c r="AL284" i="2"/>
  <c r="AK177" i="2"/>
  <c r="AL126" i="2"/>
  <c r="AL133" i="2"/>
  <c r="AL141" i="2"/>
  <c r="AK172" i="2"/>
  <c r="AL234" i="2"/>
  <c r="AL242" i="2"/>
  <c r="AL249" i="2"/>
  <c r="AL258" i="2"/>
  <c r="AL266" i="2"/>
  <c r="AL274" i="2"/>
  <c r="AL142" i="2"/>
  <c r="AK189" i="2"/>
  <c r="AL114" i="2"/>
  <c r="AL144" i="2"/>
  <c r="AK197" i="2"/>
  <c r="AK207" i="2"/>
  <c r="AK215" i="2"/>
  <c r="AL124" i="2"/>
  <c r="AK187" i="2"/>
  <c r="AL233" i="2"/>
  <c r="AL265" i="2"/>
  <c r="AL201" i="2"/>
  <c r="AL213" i="2"/>
  <c r="AL281" i="2"/>
  <c r="AL306" i="2"/>
  <c r="AK193" i="2"/>
  <c r="AK170" i="2"/>
  <c r="AL303" i="2"/>
  <c r="AK171" i="2"/>
  <c r="AL255" i="2"/>
  <c r="AL191" i="2"/>
  <c r="AL176" i="2"/>
  <c r="AL110" i="2"/>
  <c r="AL155" i="2"/>
  <c r="AL160" i="2"/>
  <c r="AG117" i="2"/>
  <c r="AF117" i="2" s="1"/>
  <c r="AG139" i="2"/>
  <c r="AF139" i="2" s="1"/>
  <c r="AG240" i="2"/>
  <c r="AF240" i="2" s="1"/>
  <c r="AL256" i="2"/>
  <c r="AG296" i="2"/>
  <c r="AF296" i="2" s="1"/>
  <c r="AL183" i="2"/>
  <c r="AL209" i="2"/>
  <c r="AK179" i="2"/>
  <c r="AK166" i="2"/>
  <c r="AL298" i="2"/>
  <c r="AL180" i="2"/>
  <c r="AK209" i="2"/>
  <c r="AL140" i="2"/>
  <c r="AK161" i="2"/>
  <c r="AL165" i="2"/>
  <c r="AL275" i="2"/>
  <c r="AL291" i="2"/>
  <c r="AL307" i="2"/>
  <c r="AK212" i="2"/>
  <c r="AL105" i="2"/>
  <c r="AL167" i="2"/>
  <c r="AK182" i="2"/>
  <c r="AL228" i="2"/>
  <c r="AL276" i="2"/>
  <c r="AL283" i="2"/>
  <c r="AL292" i="2"/>
  <c r="AL308" i="2"/>
  <c r="AL158" i="2"/>
  <c r="AK176" i="2"/>
  <c r="AL238" i="2"/>
  <c r="AL254" i="2"/>
  <c r="AL146" i="2"/>
  <c r="AK199" i="2"/>
  <c r="AL271" i="2"/>
  <c r="AL278" i="2"/>
  <c r="AL168" i="2"/>
  <c r="AK200" i="2"/>
  <c r="AL214" i="2"/>
  <c r="AK178" i="2"/>
  <c r="AK184" i="2"/>
  <c r="AL203" i="2"/>
  <c r="AL280" i="2"/>
  <c r="AL304" i="2"/>
  <c r="AK164" i="2"/>
  <c r="AK194" i="2"/>
  <c r="AK204" i="2"/>
  <c r="AL207" i="2"/>
  <c r="AL121" i="2"/>
  <c r="AL210" i="2"/>
  <c r="AL171" i="2"/>
  <c r="AG152" i="2"/>
  <c r="AF152" i="2" s="1"/>
  <c r="AK229" i="2"/>
  <c r="AL119" i="2"/>
  <c r="AK211" i="2"/>
  <c r="AK174" i="2"/>
  <c r="AK195" i="2"/>
  <c r="AL205" i="2"/>
  <c r="AL187" i="2"/>
  <c r="AL182" i="2"/>
  <c r="AL122" i="2"/>
  <c r="AL163" i="2"/>
  <c r="AK181" i="2"/>
  <c r="AL208" i="2"/>
  <c r="AL211" i="2"/>
  <c r="AL193" i="2"/>
  <c r="AL202" i="2"/>
  <c r="AG128" i="2"/>
  <c r="AF128" i="2" s="1"/>
  <c r="AG135" i="2"/>
  <c r="AF135" i="2" s="1"/>
  <c r="AL159" i="2"/>
  <c r="AK173" i="2"/>
  <c r="AG252" i="2"/>
  <c r="AF252" i="2" s="1"/>
  <c r="AG260" i="2"/>
  <c r="AF260" i="2" s="1"/>
  <c r="AK210" i="2"/>
  <c r="AL150" i="2"/>
  <c r="AL143" i="2"/>
  <c r="AL174" i="2"/>
  <c r="AL190" i="2"/>
  <c r="AL198" i="2"/>
  <c r="AL252" i="2"/>
  <c r="AL300" i="2"/>
  <c r="AL299" i="2"/>
  <c r="AL162" i="2"/>
  <c r="AL269" i="2"/>
  <c r="AG301" i="2"/>
  <c r="AF301" i="2" s="1"/>
  <c r="AL206" i="2"/>
  <c r="AL128" i="2"/>
  <c r="AK205" i="2"/>
  <c r="AK165" i="2"/>
  <c r="AK167" i="2"/>
  <c r="AK191" i="2"/>
  <c r="AL135" i="2"/>
  <c r="AL106" i="2"/>
  <c r="AL129" i="2"/>
  <c r="AL136" i="2"/>
  <c r="AL175" i="2"/>
  <c r="AL244" i="2"/>
  <c r="AL270" i="2"/>
  <c r="AL277" i="2"/>
  <c r="AL293" i="2"/>
  <c r="AK206" i="2"/>
  <c r="AK159" i="2"/>
  <c r="AK180" i="2"/>
  <c r="AL268" i="2"/>
  <c r="AL107" i="2"/>
  <c r="AL123" i="2"/>
  <c r="AL137" i="2"/>
  <c r="AL154" i="2"/>
  <c r="AL169" i="2"/>
  <c r="AL200" i="2"/>
  <c r="AL246" i="2"/>
  <c r="AL262" i="2"/>
  <c r="AL285" i="2"/>
  <c r="AL294" i="2"/>
  <c r="AL302" i="2"/>
  <c r="AG207" i="2"/>
  <c r="AF207" i="2" s="1"/>
  <c r="AL138" i="2"/>
  <c r="AL196" i="2"/>
  <c r="AL239" i="2"/>
  <c r="AL286" i="2"/>
  <c r="AG215" i="2"/>
  <c r="AF215" i="2" s="1"/>
  <c r="AK162" i="2"/>
  <c r="AL192" i="2"/>
  <c r="AK198" i="2"/>
  <c r="AL272" i="2"/>
  <c r="AL279" i="2"/>
  <c r="AL301" i="2"/>
  <c r="AK208" i="2"/>
  <c r="AK203" i="2"/>
  <c r="AK169" i="2"/>
  <c r="AK213" i="2"/>
  <c r="AK214" i="2"/>
  <c r="AL170" i="2"/>
  <c r="AL108" i="2"/>
  <c r="AL131" i="2"/>
  <c r="AL147" i="2"/>
  <c r="AL178" i="2"/>
  <c r="AL247" i="2"/>
  <c r="AL273" i="2"/>
  <c r="AK202" i="2"/>
  <c r="AK190" i="2"/>
  <c r="AL197" i="2"/>
  <c r="AK196" i="2"/>
  <c r="AK175" i="2"/>
  <c r="AK160" i="2"/>
  <c r="AK201" i="2"/>
  <c r="AK183" i="2"/>
  <c r="AL282" i="2"/>
  <c r="AG111" i="2"/>
  <c r="AF111" i="2" s="1"/>
  <c r="AG140" i="2"/>
  <c r="AF140" i="2" s="1"/>
  <c r="AL161" i="2"/>
  <c r="AG187" i="2"/>
  <c r="AF187" i="2" s="1"/>
  <c r="AL297" i="2"/>
  <c r="AL111" i="2"/>
  <c r="AL134" i="2"/>
  <c r="AL212" i="2"/>
  <c r="AL148" i="2"/>
  <c r="AL172" i="2"/>
  <c r="AL289" i="2"/>
  <c r="AL305" i="2"/>
  <c r="AK163" i="2"/>
  <c r="AL173" i="2"/>
  <c r="AL116" i="2"/>
  <c r="AL157" i="2"/>
  <c r="AL166" i="2"/>
  <c r="AL188" i="2"/>
  <c r="AL195" i="2"/>
  <c r="AL290" i="2"/>
  <c r="AK188" i="2"/>
  <c r="AK192" i="2"/>
  <c r="AG185" i="2"/>
  <c r="AF185" i="2" s="1"/>
  <c r="AL185" i="2"/>
  <c r="AL186" i="2"/>
  <c r="AL231" i="2"/>
  <c r="AL264" i="2"/>
  <c r="AL125" i="2"/>
  <c r="AL156" i="2"/>
  <c r="AL288" i="2"/>
  <c r="AG230" i="2"/>
  <c r="AF230" i="2" s="1"/>
  <c r="AL230" i="2"/>
  <c r="AG179" i="2"/>
  <c r="AF179" i="2" s="1"/>
  <c r="AL179" i="2"/>
  <c r="AG194" i="2"/>
  <c r="AF194" i="2" s="1"/>
  <c r="AG204" i="2"/>
  <c r="AF204" i="2" s="1"/>
  <c r="AG241" i="2"/>
  <c r="AF241" i="2" s="1"/>
  <c r="AG248" i="2"/>
  <c r="AF248" i="2" s="1"/>
  <c r="AL248" i="2"/>
  <c r="AG257" i="2"/>
  <c r="AF257" i="2" s="1"/>
  <c r="AL257" i="2"/>
  <c r="AG281" i="2"/>
  <c r="AF281" i="2" s="1"/>
  <c r="AL295" i="2"/>
  <c r="AL117" i="2"/>
  <c r="AL287" i="2"/>
  <c r="AL109" i="2"/>
  <c r="AG112" i="2"/>
  <c r="AF112" i="2" s="1"/>
  <c r="AG127" i="2"/>
  <c r="AF127" i="2" s="1"/>
  <c r="AG142" i="2"/>
  <c r="AF142" i="2" s="1"/>
  <c r="AL149" i="2"/>
  <c r="AL164" i="2"/>
  <c r="AG189" i="2"/>
  <c r="AF189" i="2" s="1"/>
  <c r="AG235" i="2"/>
  <c r="AF235" i="2" s="1"/>
  <c r="AL235" i="2"/>
  <c r="AG243" i="2"/>
  <c r="AF243" i="2" s="1"/>
  <c r="AF250" i="2"/>
  <c r="AG259" i="2"/>
  <c r="AF259" i="2" s="1"/>
  <c r="AG267" i="2"/>
  <c r="AF267" i="2" s="1"/>
  <c r="AG282" i="2"/>
  <c r="AF282" i="2" s="1"/>
  <c r="AG209" i="2"/>
  <c r="AF209" i="2" s="1"/>
  <c r="AL139" i="2"/>
  <c r="AL267" i="2"/>
  <c r="AL243" i="2"/>
  <c r="AL215" i="2"/>
  <c r="AL259" i="2"/>
  <c r="AL181" i="2"/>
  <c r="AL250" i="2"/>
  <c r="AL189" i="2"/>
  <c r="AL204" i="2"/>
  <c r="AL194" i="2"/>
  <c r="AG177" i="2"/>
  <c r="AF177" i="2" s="1"/>
  <c r="AL177" i="2"/>
  <c r="AL120" i="2"/>
  <c r="AL113" i="2"/>
  <c r="AL236" i="2"/>
  <c r="AL245" i="2"/>
  <c r="AL296" i="2"/>
  <c r="AL151" i="2"/>
  <c r="AG162" i="2"/>
  <c r="AF162" i="2" s="1"/>
  <c r="AL199" i="2"/>
  <c r="AL261" i="2"/>
  <c r="AL112" i="2"/>
  <c r="AG255" i="2"/>
  <c r="AF255" i="2" s="1"/>
  <c r="AL229" i="2"/>
  <c r="AL237" i="2"/>
  <c r="AL241" i="2"/>
  <c r="AL152" i="2"/>
  <c r="AG116" i="2"/>
  <c r="AF116" i="2" s="1"/>
  <c r="AL115" i="2"/>
  <c r="AL130" i="2"/>
  <c r="AL145" i="2"/>
  <c r="AL184" i="2"/>
  <c r="AL260" i="2"/>
  <c r="AL263" i="2"/>
  <c r="AL127" i="2"/>
  <c r="AL240" i="2"/>
  <c r="AG203" i="2"/>
  <c r="AF203" i="2" s="1"/>
  <c r="AG280" i="2"/>
  <c r="AF280" i="2" s="1"/>
  <c r="AG288" i="2"/>
  <c r="AF288" i="2" s="1"/>
  <c r="AG304" i="2"/>
  <c r="AF304" i="2" s="1"/>
  <c r="AG201" i="2"/>
  <c r="AF201" i="2" s="1"/>
  <c r="AG213" i="2"/>
  <c r="AF213" i="2" s="1"/>
  <c r="AG305" i="2"/>
  <c r="AF305" i="2" s="1"/>
  <c r="AG109" i="2"/>
  <c r="AF109" i="2" s="1"/>
  <c r="AG119" i="2"/>
  <c r="AF119" i="2" s="1"/>
  <c r="AG157" i="2"/>
  <c r="AF157" i="2" s="1"/>
  <c r="AG166" i="2"/>
  <c r="AF166" i="2" s="1"/>
  <c r="AG195" i="2"/>
  <c r="AF195" i="2" s="1"/>
  <c r="AG290" i="2"/>
  <c r="AF290" i="2" s="1"/>
  <c r="AG306" i="2"/>
  <c r="AF306" i="2" s="1"/>
  <c r="AG163" i="2"/>
  <c r="AF163" i="2" s="1"/>
  <c r="AG165" i="2"/>
  <c r="AF165" i="2" s="1"/>
  <c r="AG275" i="2"/>
  <c r="AF275" i="2" s="1"/>
  <c r="AG291" i="2"/>
  <c r="AF291" i="2" s="1"/>
  <c r="AG307" i="2"/>
  <c r="AF307" i="2" s="1"/>
  <c r="AG208" i="2"/>
  <c r="AF208" i="2" s="1"/>
  <c r="AF159" i="2"/>
  <c r="AG121" i="2"/>
  <c r="AF121" i="2" s="1"/>
  <c r="AG151" i="2"/>
  <c r="AF151" i="2" s="1"/>
  <c r="AG269" i="2"/>
  <c r="AF269" i="2" s="1"/>
  <c r="AG107" i="2"/>
  <c r="AF107" i="2" s="1"/>
  <c r="AG123" i="2"/>
  <c r="AF123" i="2" s="1"/>
  <c r="AG154" i="2"/>
  <c r="AF154" i="2" s="1"/>
  <c r="AG169" i="2"/>
  <c r="AF169" i="2" s="1"/>
  <c r="AG193" i="2"/>
  <c r="AF193" i="2" s="1"/>
  <c r="AG246" i="2"/>
  <c r="AF246" i="2" s="1"/>
  <c r="AG271" i="2"/>
  <c r="AG278" i="2"/>
  <c r="AF278" i="2" s="1"/>
  <c r="AG302" i="2"/>
  <c r="AF302" i="2" s="1"/>
  <c r="AG124" i="2"/>
  <c r="AF124" i="2" s="1"/>
  <c r="AG155" i="2"/>
  <c r="AF155" i="2" s="1"/>
  <c r="AG160" i="2"/>
  <c r="AF160" i="2" s="1"/>
  <c r="AG192" i="2"/>
  <c r="AF192" i="2" s="1"/>
  <c r="AG202" i="2"/>
  <c r="AF202" i="2" s="1"/>
  <c r="AG263" i="2"/>
  <c r="AF263" i="2" s="1"/>
  <c r="AG295" i="2"/>
  <c r="AF295" i="2" s="1"/>
  <c r="AG268" i="2"/>
  <c r="AF268" i="2" s="1"/>
  <c r="AG188" i="2"/>
  <c r="AF188" i="2" s="1"/>
  <c r="AG299" i="2"/>
  <c r="AF299" i="2" s="1"/>
  <c r="AG143" i="2"/>
  <c r="AF143" i="2" s="1"/>
  <c r="AG167" i="2"/>
  <c r="AF167" i="2" s="1"/>
  <c r="AG114" i="2"/>
  <c r="AF114" i="2" s="1"/>
  <c r="AG144" i="2"/>
  <c r="AF144" i="2" s="1"/>
  <c r="AG175" i="2"/>
  <c r="AF175" i="2" s="1"/>
  <c r="AG191" i="2"/>
  <c r="AF191" i="2" s="1"/>
  <c r="AG199" i="2"/>
  <c r="AF199" i="2" s="1"/>
  <c r="AG253" i="2"/>
  <c r="AF253" i="2" s="1"/>
  <c r="AG284" i="2"/>
  <c r="AF284" i="2" s="1"/>
  <c r="AG206" i="2"/>
  <c r="AF206" i="2" s="1"/>
  <c r="AG293" i="2"/>
  <c r="AF293" i="2" s="1"/>
  <c r="AG122" i="2"/>
  <c r="AF122" i="2" s="1"/>
  <c r="AG176" i="2"/>
  <c r="AF176" i="2" s="1"/>
  <c r="AG197" i="2"/>
  <c r="AF197" i="2" s="1"/>
  <c r="AG238" i="2"/>
  <c r="AF238" i="2" s="1"/>
  <c r="AG254" i="2"/>
  <c r="AF254" i="2" s="1"/>
  <c r="AG303" i="2"/>
  <c r="AF303" i="2" s="1"/>
  <c r="AG298" i="2"/>
  <c r="AF298" i="2" s="1"/>
  <c r="AG183" i="2"/>
  <c r="AF183" i="2" s="1"/>
  <c r="AG214" i="2"/>
  <c r="AF214" i="2" s="1"/>
  <c r="AG147" i="2"/>
  <c r="AF147" i="2" s="1"/>
  <c r="AG171" i="2"/>
  <c r="AF171" i="2" s="1"/>
  <c r="AG265" i="2"/>
  <c r="AF265" i="2" s="1"/>
  <c r="AG212" i="2"/>
  <c r="AF212" i="2" s="1"/>
  <c r="AG105" i="2"/>
  <c r="AF105" i="2" s="1"/>
  <c r="AG182" i="2"/>
  <c r="AF182" i="2" s="1"/>
  <c r="AG190" i="2"/>
  <c r="AF190" i="2" s="1"/>
  <c r="AG198" i="2"/>
  <c r="AF198" i="2" s="1"/>
  <c r="AG276" i="2"/>
  <c r="AF276" i="2" s="1"/>
  <c r="AG283" i="2"/>
  <c r="AF283" i="2" s="1"/>
  <c r="AG292" i="2"/>
  <c r="AF292" i="2" s="1"/>
  <c r="AG300" i="2"/>
  <c r="AF300" i="2" s="1"/>
  <c r="AG308" i="2"/>
  <c r="AF308" i="2" s="1"/>
  <c r="AG106" i="2"/>
  <c r="AF106" i="2" s="1"/>
  <c r="AG158" i="2"/>
  <c r="AF158" i="2" s="1"/>
  <c r="AG229" i="2"/>
  <c r="AF229" i="2" s="1"/>
  <c r="AG244" i="2"/>
  <c r="AF244" i="2" s="1"/>
  <c r="AG270" i="2"/>
  <c r="AF270" i="2" s="1"/>
  <c r="AG277" i="2"/>
  <c r="AF277" i="2" s="1"/>
  <c r="AG309" i="2"/>
  <c r="AF309" i="2" s="1"/>
  <c r="AG137" i="2"/>
  <c r="AF137" i="2" s="1"/>
  <c r="AG200" i="2"/>
  <c r="AF200" i="2" s="1"/>
  <c r="AG262" i="2"/>
  <c r="AF262" i="2" s="1"/>
  <c r="AG285" i="2"/>
  <c r="AF285" i="2" s="1"/>
  <c r="AG294" i="2"/>
  <c r="AF294" i="2" s="1"/>
  <c r="AG138" i="2"/>
  <c r="AF138" i="2" s="1"/>
  <c r="AG146" i="2"/>
  <c r="AF146" i="2" s="1"/>
  <c r="AG196" i="2"/>
  <c r="AF196" i="2" s="1"/>
  <c r="AG286" i="2"/>
  <c r="AF286" i="2" s="1"/>
  <c r="AG120" i="2"/>
  <c r="AF120" i="2" s="1"/>
  <c r="AG170" i="2"/>
  <c r="AF170" i="2" s="1"/>
  <c r="AG272" i="2"/>
  <c r="AF272" i="2" s="1"/>
  <c r="AG279" i="2"/>
  <c r="AF279" i="2" s="1"/>
  <c r="AG108" i="2"/>
  <c r="AF108" i="2" s="1"/>
  <c r="AG131" i="2"/>
  <c r="AF131" i="2" s="1"/>
  <c r="AG178" i="2"/>
  <c r="AF178" i="2" s="1"/>
  <c r="AG186" i="2"/>
  <c r="AF186" i="2" s="1"/>
  <c r="AG231" i="2"/>
  <c r="AF231" i="2" s="1"/>
  <c r="AG247" i="2"/>
  <c r="AF247" i="2" s="1"/>
  <c r="AG264" i="2"/>
  <c r="AF264" i="2" s="1"/>
  <c r="AG181" i="2"/>
  <c r="AF181" i="2" s="1"/>
  <c r="AG118" i="2"/>
  <c r="AF118" i="2" s="1"/>
  <c r="AG132" i="2"/>
  <c r="AF132" i="2" s="1"/>
  <c r="AG233" i="2"/>
  <c r="AF233" i="2" s="1"/>
  <c r="AG180" i="2"/>
  <c r="AF180" i="2" s="1"/>
  <c r="AG173" i="2"/>
  <c r="AF173" i="2" s="1"/>
  <c r="AG161" i="2"/>
  <c r="AF161" i="2" s="1"/>
  <c r="AG297" i="2"/>
  <c r="AF297" i="2" s="1"/>
  <c r="AG205" i="2"/>
  <c r="AF205" i="2" s="1"/>
  <c r="AG150" i="2"/>
  <c r="AF150" i="2" s="1"/>
  <c r="AG126" i="2"/>
  <c r="AF126" i="2" s="1"/>
  <c r="AG133" i="2"/>
  <c r="AF133" i="2" s="1"/>
  <c r="AG141" i="2"/>
  <c r="AF141" i="2" s="1"/>
  <c r="AG148" i="2"/>
  <c r="AF148" i="2" s="1"/>
  <c r="AG153" i="2"/>
  <c r="AF153" i="2" s="1"/>
  <c r="AG172" i="2"/>
  <c r="AF172" i="2" s="1"/>
  <c r="AG234" i="2"/>
  <c r="AF234" i="2" s="1"/>
  <c r="AG242" i="2"/>
  <c r="AF242" i="2" s="1"/>
  <c r="AG249" i="2"/>
  <c r="AF249" i="2" s="1"/>
  <c r="AG258" i="2"/>
  <c r="AF258" i="2" s="1"/>
  <c r="AG266" i="2"/>
  <c r="AF266" i="2" s="1"/>
  <c r="AG274" i="2"/>
  <c r="AF274" i="2" s="1"/>
  <c r="AG210" i="2"/>
  <c r="AF210" i="2" s="1"/>
  <c r="AG211" i="2"/>
  <c r="AF211" i="2" s="1"/>
  <c r="AG287" i="2"/>
  <c r="AF287" i="2" s="1"/>
  <c r="AG134" i="2"/>
  <c r="AF134" i="2" s="1"/>
  <c r="AG149" i="2"/>
  <c r="AF149" i="2" s="1"/>
  <c r="AG113" i="2"/>
  <c r="AF113" i="2" s="1"/>
  <c r="AG174" i="2"/>
  <c r="AF174" i="2" s="1"/>
  <c r="AG228" i="2"/>
  <c r="AF228" i="2" s="1"/>
  <c r="AG236" i="2"/>
  <c r="AF236" i="2" s="1"/>
  <c r="AG245" i="2"/>
  <c r="AF245" i="2" s="1"/>
  <c r="AG261" i="2"/>
  <c r="AF261" i="2" s="1"/>
  <c r="AG289" i="2"/>
  <c r="AF289" i="2" s="1"/>
  <c r="AG136" i="2"/>
  <c r="AF136" i="2" s="1"/>
  <c r="AG164" i="2"/>
  <c r="AF164" i="2" s="1"/>
  <c r="AG129" i="2"/>
  <c r="AF129" i="2" s="1"/>
  <c r="AG237" i="2"/>
  <c r="AF237" i="2" s="1"/>
  <c r="AG115" i="2"/>
  <c r="AF115" i="2" s="1"/>
  <c r="AG130" i="2"/>
  <c r="AF130" i="2" s="1"/>
  <c r="AG145" i="2"/>
  <c r="AF145" i="2" s="1"/>
  <c r="AG168" i="2"/>
  <c r="AF168" i="2" s="1"/>
  <c r="AG184" i="2"/>
  <c r="AF184" i="2" s="1"/>
  <c r="AG310" i="2"/>
  <c r="AF310" i="2" s="1"/>
  <c r="AG239" i="2"/>
  <c r="AF239" i="2" s="1"/>
  <c r="AG110" i="2"/>
  <c r="AF110" i="2" s="1"/>
  <c r="AG256" i="2"/>
  <c r="AF256" i="2" s="1"/>
  <c r="AG273" i="2"/>
  <c r="AF273" i="2" s="1"/>
  <c r="AG125" i="2"/>
  <c r="AF125" i="2" s="1"/>
  <c r="AG156" i="2"/>
  <c r="AF156" i="2" s="1"/>
  <c r="AH224" i="2"/>
  <c r="AH219" i="2"/>
  <c r="AH222" i="2"/>
  <c r="AH218" i="2"/>
  <c r="AH220" i="2"/>
  <c r="AH225" i="2"/>
  <c r="AH221" i="2"/>
  <c r="AH226" i="2"/>
  <c r="AH227" i="2"/>
  <c r="AH217" i="2"/>
  <c r="AH223" i="2"/>
  <c r="AH216" i="2"/>
  <c r="Y96" i="2"/>
  <c r="AG96" i="2" s="1"/>
  <c r="AF96" i="2" s="1"/>
  <c r="O68" i="2"/>
  <c r="Z68" i="2" s="1"/>
  <c r="O104" i="2"/>
  <c r="X104" i="2" s="1"/>
  <c r="O103" i="2"/>
  <c r="O102" i="2"/>
  <c r="X102" i="2" s="1"/>
  <c r="O101" i="2"/>
  <c r="X101" i="2" s="1"/>
  <c r="AF271" i="2" l="1"/>
  <c r="AH185" i="2"/>
  <c r="AH308" i="2"/>
  <c r="AH233" i="2"/>
  <c r="AH126" i="2"/>
  <c r="AH192" i="2"/>
  <c r="AH208" i="2"/>
  <c r="AH265" i="2"/>
  <c r="AH106" i="2"/>
  <c r="AH213" i="2"/>
  <c r="AH297" i="2"/>
  <c r="AH116" i="2"/>
  <c r="AH253" i="2"/>
  <c r="AH207" i="2"/>
  <c r="AH209" i="2"/>
  <c r="AH206" i="2"/>
  <c r="AH170" i="2"/>
  <c r="AH201" i="2"/>
  <c r="AH281" i="2"/>
  <c r="AH278" i="2"/>
  <c r="AH248" i="2"/>
  <c r="AH231" i="2"/>
  <c r="AH113" i="2"/>
  <c r="AH211" i="2"/>
  <c r="AH241" i="2"/>
  <c r="AH168" i="2"/>
  <c r="AH105" i="2"/>
  <c r="AH243" i="2"/>
  <c r="AH210" i="2"/>
  <c r="AH247" i="2"/>
  <c r="AH145" i="2"/>
  <c r="AH300" i="2"/>
  <c r="AH150" i="2"/>
  <c r="AH235" i="2"/>
  <c r="AH305" i="2"/>
  <c r="AH130" i="2"/>
  <c r="AH292" i="2"/>
  <c r="AH147" i="2"/>
  <c r="AH277" i="2"/>
  <c r="AH124" i="2"/>
  <c r="AH266" i="2"/>
  <c r="AH258" i="2"/>
  <c r="AH252" i="2"/>
  <c r="AH181" i="2"/>
  <c r="AH249" i="2"/>
  <c r="AH288" i="2"/>
  <c r="AH129" i="2"/>
  <c r="AH245" i="2"/>
  <c r="AH173" i="2"/>
  <c r="AH169" i="2"/>
  <c r="AH159" i="2"/>
  <c r="AH175" i="2"/>
  <c r="AH186" i="2"/>
  <c r="AH114" i="2"/>
  <c r="AH115" i="2"/>
  <c r="AH283" i="2"/>
  <c r="AH128" i="2"/>
  <c r="AH148" i="2"/>
  <c r="AH267" i="2"/>
  <c r="AH193" i="2"/>
  <c r="AH274" i="2"/>
  <c r="AH304" i="2"/>
  <c r="AH178" i="2"/>
  <c r="AH301" i="2"/>
  <c r="AH254" i="2"/>
  <c r="AH237" i="2"/>
  <c r="AH276" i="2"/>
  <c r="AH117" i="2"/>
  <c r="AH155" i="2"/>
  <c r="AH259" i="2"/>
  <c r="AH107" i="2"/>
  <c r="AH257" i="2"/>
  <c r="AH280" i="2"/>
  <c r="AH171" i="2"/>
  <c r="AH238" i="2"/>
  <c r="AH156" i="2"/>
  <c r="AH261" i="2"/>
  <c r="AH236" i="2"/>
  <c r="AH294" i="2"/>
  <c r="AH307" i="2"/>
  <c r="AH205" i="2"/>
  <c r="AH287" i="2"/>
  <c r="AH242" i="2"/>
  <c r="AH204" i="2"/>
  <c r="AH203" i="2"/>
  <c r="AH108" i="2"/>
  <c r="AH286" i="2"/>
  <c r="AH122" i="2"/>
  <c r="AH125" i="2"/>
  <c r="AH151" i="2"/>
  <c r="AH228" i="2"/>
  <c r="AH200" i="2"/>
  <c r="AH299" i="2"/>
  <c r="AH189" i="2"/>
  <c r="AH306" i="2"/>
  <c r="AH234" i="2"/>
  <c r="AH194" i="2"/>
  <c r="AH187" i="2"/>
  <c r="AH139" i="2"/>
  <c r="AH239" i="2"/>
  <c r="AH246" i="2"/>
  <c r="AH152" i="2"/>
  <c r="AH273" i="2"/>
  <c r="AH134" i="2"/>
  <c r="AH198" i="2"/>
  <c r="AH123" i="2"/>
  <c r="AH291" i="2"/>
  <c r="AH180" i="2"/>
  <c r="AH298" i="2"/>
  <c r="AH172" i="2"/>
  <c r="AH179" i="2"/>
  <c r="AH118" i="2"/>
  <c r="AH214" i="2"/>
  <c r="AH196" i="2"/>
  <c r="AH269" i="2"/>
  <c r="AH256" i="2"/>
  <c r="AH164" i="2"/>
  <c r="AH190" i="2"/>
  <c r="AH309" i="2"/>
  <c r="AH282" i="2"/>
  <c r="AH142" i="2"/>
  <c r="AH290" i="2"/>
  <c r="AH153" i="2"/>
  <c r="AH161" i="2"/>
  <c r="AH255" i="2"/>
  <c r="AH183" i="2"/>
  <c r="AH146" i="2"/>
  <c r="AH121" i="2"/>
  <c r="AH295" i="2"/>
  <c r="AH149" i="2"/>
  <c r="AH182" i="2"/>
  <c r="AH158" i="2"/>
  <c r="AH275" i="2"/>
  <c r="AH127" i="2"/>
  <c r="AH188" i="2"/>
  <c r="AH177" i="2"/>
  <c r="AH140" i="2"/>
  <c r="AH160" i="2"/>
  <c r="AH303" i="2"/>
  <c r="AH138" i="2"/>
  <c r="AH191" i="2"/>
  <c r="AH215" i="2"/>
  <c r="AH263" i="2"/>
  <c r="AH289" i="2"/>
  <c r="AH174" i="2"/>
  <c r="AH144" i="2"/>
  <c r="AH163" i="2"/>
  <c r="AH112" i="2"/>
  <c r="AH157" i="2"/>
  <c r="AH302" i="2"/>
  <c r="AH111" i="2"/>
  <c r="AH285" i="2"/>
  <c r="AH296" i="2"/>
  <c r="AH154" i="2"/>
  <c r="AH119" i="2"/>
  <c r="AH136" i="2"/>
  <c r="AH131" i="2"/>
  <c r="AH230" i="2"/>
  <c r="AH141" i="2"/>
  <c r="AH167" i="2"/>
  <c r="AH202" i="2"/>
  <c r="AH195" i="2"/>
  <c r="AH310" i="2"/>
  <c r="AH137" i="2"/>
  <c r="AH132" i="2"/>
  <c r="AH162" i="2"/>
  <c r="AH279" i="2"/>
  <c r="AH176" i="2"/>
  <c r="AH284" i="2"/>
  <c r="AH244" i="2"/>
  <c r="AH120" i="2"/>
  <c r="AH133" i="2"/>
  <c r="AH143" i="2"/>
  <c r="AH268" i="2"/>
  <c r="AH271" i="2"/>
  <c r="AH166" i="2"/>
  <c r="AH270" i="2"/>
  <c r="AH229" i="2"/>
  <c r="AH110" i="2"/>
  <c r="AH272" i="2"/>
  <c r="AH199" i="2"/>
  <c r="AH212" i="2"/>
  <c r="AH197" i="2"/>
  <c r="AH184" i="2"/>
  <c r="AH135" i="2"/>
  <c r="AH260" i="2"/>
  <c r="AH293" i="2"/>
  <c r="AH109" i="2"/>
  <c r="AH262" i="2"/>
  <c r="AH264" i="2"/>
  <c r="AH240" i="2"/>
  <c r="AH165" i="2"/>
  <c r="AH250" i="2"/>
  <c r="Y68" i="2"/>
  <c r="X68" i="2"/>
  <c r="Z104" i="2"/>
  <c r="Y104" i="2"/>
  <c r="Y103" i="2"/>
  <c r="X103" i="2"/>
  <c r="Z103" i="2"/>
  <c r="Z102" i="2"/>
  <c r="Y102" i="2"/>
  <c r="Y101" i="2"/>
  <c r="Z101" i="2"/>
  <c r="O100" i="2"/>
  <c r="X100" i="2" s="1"/>
  <c r="O89" i="2"/>
  <c r="O99" i="2"/>
  <c r="X99" i="2" s="1"/>
  <c r="O98" i="2"/>
  <c r="X98" i="2" s="1"/>
  <c r="O97" i="2"/>
  <c r="X97" i="2" s="1"/>
  <c r="O95" i="2"/>
  <c r="X95" i="2" s="1"/>
  <c r="O94" i="2"/>
  <c r="O93" i="2"/>
  <c r="X93" i="2" s="1"/>
  <c r="O92" i="2"/>
  <c r="O91" i="2"/>
  <c r="X91" i="2" s="1"/>
  <c r="O90" i="2"/>
  <c r="X90" i="2" s="1"/>
  <c r="O88" i="2"/>
  <c r="X88" i="2" s="1"/>
  <c r="O87" i="2"/>
  <c r="X87" i="2" s="1"/>
  <c r="O86" i="2"/>
  <c r="X86" i="2" s="1"/>
  <c r="O85" i="2"/>
  <c r="X85" i="2" s="1"/>
  <c r="O84" i="2"/>
  <c r="X84" i="2" s="1"/>
  <c r="O83" i="2"/>
  <c r="X83" i="2" s="1"/>
  <c r="O82" i="2"/>
  <c r="X82" i="2" s="1"/>
  <c r="O81" i="2"/>
  <c r="X81" i="2" s="1"/>
  <c r="O80" i="2"/>
  <c r="O79" i="2"/>
  <c r="X79" i="2" s="1"/>
  <c r="O78" i="2"/>
  <c r="X78" i="2" s="1"/>
  <c r="O77" i="2"/>
  <c r="O76" i="2"/>
  <c r="X76" i="2" s="1"/>
  <c r="O75" i="2"/>
  <c r="X75" i="2" s="1"/>
  <c r="O74" i="2"/>
  <c r="X74" i="2" s="1"/>
  <c r="O73" i="2"/>
  <c r="O72" i="2"/>
  <c r="X72" i="2" s="1"/>
  <c r="O71" i="2"/>
  <c r="X71" i="2" s="1"/>
  <c r="O70" i="2"/>
  <c r="Z70" i="2" s="1"/>
  <c r="O69" i="2"/>
  <c r="Z69" i="2" s="1"/>
  <c r="O67" i="2"/>
  <c r="X67" i="2" s="1"/>
  <c r="O66" i="2"/>
  <c r="X66" i="2" s="1"/>
  <c r="O65" i="2"/>
  <c r="X65" i="2" s="1"/>
  <c r="O64" i="2"/>
  <c r="X64" i="2" s="1"/>
  <c r="O63" i="2"/>
  <c r="X63" i="2" s="1"/>
  <c r="O62" i="2"/>
  <c r="X62" i="2" s="1"/>
  <c r="O61" i="2"/>
  <c r="X61" i="2" s="1"/>
  <c r="O60" i="2"/>
  <c r="X60" i="2" s="1"/>
  <c r="O59" i="2"/>
  <c r="X59" i="2" s="1"/>
  <c r="O58" i="2"/>
  <c r="X58" i="2" s="1"/>
  <c r="O57" i="2"/>
  <c r="X57" i="2" s="1"/>
  <c r="O56" i="2"/>
  <c r="X56" i="2" s="1"/>
  <c r="O55" i="2"/>
  <c r="O54" i="2"/>
  <c r="X54" i="2" s="1"/>
  <c r="O53" i="2"/>
  <c r="X53" i="2" s="1"/>
  <c r="AG104" i="2" l="1"/>
  <c r="AF104" i="2" s="1"/>
  <c r="AG101" i="2"/>
  <c r="AF101" i="2" s="1"/>
  <c r="AG68" i="2"/>
  <c r="AF68" i="2" s="1"/>
  <c r="AG102" i="2"/>
  <c r="AF102" i="2" s="1"/>
  <c r="AG103" i="2"/>
  <c r="AF103" i="2" s="1"/>
  <c r="AH96" i="2"/>
  <c r="Y89" i="2"/>
  <c r="Z100" i="2"/>
  <c r="Y95" i="2"/>
  <c r="X94" i="2"/>
  <c r="Y94" i="2"/>
  <c r="X89" i="2"/>
  <c r="Y100" i="2"/>
  <c r="Z89" i="2"/>
  <c r="Z97" i="2"/>
  <c r="Z95" i="2"/>
  <c r="Y97" i="2"/>
  <c r="Z98" i="2"/>
  <c r="Z99" i="2"/>
  <c r="Y98" i="2"/>
  <c r="Z94" i="2"/>
  <c r="Y99" i="2"/>
  <c r="Y93" i="2"/>
  <c r="Z93" i="2"/>
  <c r="Y92" i="2"/>
  <c r="X92" i="2"/>
  <c r="Z92" i="2"/>
  <c r="Z91" i="2"/>
  <c r="Y91" i="2"/>
  <c r="Z90" i="2"/>
  <c r="Y90" i="2"/>
  <c r="Z88" i="2"/>
  <c r="Y88" i="2"/>
  <c r="Z87" i="2"/>
  <c r="Y87" i="2"/>
  <c r="Y86" i="2"/>
  <c r="Z86" i="2"/>
  <c r="Z85" i="2"/>
  <c r="Y85" i="2"/>
  <c r="Z84" i="2"/>
  <c r="Y84" i="2"/>
  <c r="Z83" i="2"/>
  <c r="Y83" i="2"/>
  <c r="Y82" i="2"/>
  <c r="Z82" i="2"/>
  <c r="Z81" i="2"/>
  <c r="Y81" i="2"/>
  <c r="Y80" i="2"/>
  <c r="Z80" i="2"/>
  <c r="X80" i="2"/>
  <c r="Z79" i="2"/>
  <c r="Y79" i="2"/>
  <c r="Y78" i="2"/>
  <c r="Z78" i="2"/>
  <c r="Y77" i="2"/>
  <c r="Z77" i="2"/>
  <c r="X77" i="2"/>
  <c r="Z76" i="2"/>
  <c r="Y76" i="2"/>
  <c r="Z75" i="2"/>
  <c r="Y75" i="2"/>
  <c r="Z74" i="2"/>
  <c r="Y74" i="2"/>
  <c r="Y73" i="2"/>
  <c r="X73" i="2"/>
  <c r="Z73" i="2"/>
  <c r="Z72" i="2"/>
  <c r="Y72" i="2"/>
  <c r="Z71" i="2"/>
  <c r="Y71" i="2"/>
  <c r="Y70" i="2"/>
  <c r="X70" i="2"/>
  <c r="Y69" i="2"/>
  <c r="X69" i="2"/>
  <c r="Z67" i="2"/>
  <c r="Y67" i="2"/>
  <c r="Z66" i="2"/>
  <c r="Y66" i="2"/>
  <c r="Z65" i="2"/>
  <c r="Y65" i="2"/>
  <c r="Z64" i="2"/>
  <c r="Z63" i="2"/>
  <c r="Y63" i="2"/>
  <c r="Y64" i="2"/>
  <c r="Z62" i="2"/>
  <c r="Y62" i="2"/>
  <c r="Y61" i="2"/>
  <c r="Z61" i="2"/>
  <c r="Z60" i="2"/>
  <c r="Y60" i="2"/>
  <c r="Y59" i="2"/>
  <c r="Z59" i="2"/>
  <c r="Z58" i="2"/>
  <c r="Y58" i="2"/>
  <c r="Y57" i="2"/>
  <c r="Z57" i="2"/>
  <c r="Z56" i="2"/>
  <c r="Y56" i="2"/>
  <c r="Y55" i="2"/>
  <c r="Z55" i="2"/>
  <c r="X55" i="2"/>
  <c r="Z54" i="2"/>
  <c r="Y54" i="2"/>
  <c r="Y53" i="2"/>
  <c r="Z53" i="2"/>
  <c r="AG76" i="2" l="1"/>
  <c r="AF76" i="2" s="1"/>
  <c r="AG83" i="2"/>
  <c r="AF83" i="2" s="1"/>
  <c r="AG71" i="2"/>
  <c r="AF71" i="2" s="1"/>
  <c r="AG64" i="2"/>
  <c r="AF64" i="2" s="1"/>
  <c r="AG84" i="2"/>
  <c r="AF84" i="2" s="1"/>
  <c r="AG78" i="2"/>
  <c r="AF78" i="2" s="1"/>
  <c r="AG58" i="2"/>
  <c r="AF58" i="2" s="1"/>
  <c r="AG66" i="2"/>
  <c r="AF66" i="2" s="1"/>
  <c r="AG63" i="2"/>
  <c r="AF63" i="2" s="1"/>
  <c r="AG80" i="2"/>
  <c r="AF80" i="2" s="1"/>
  <c r="AG88" i="2"/>
  <c r="AF88" i="2" s="1"/>
  <c r="AG57" i="2"/>
  <c r="AF57" i="2" s="1"/>
  <c r="AG56" i="2"/>
  <c r="AF56" i="2" s="1"/>
  <c r="AG60" i="2"/>
  <c r="AF60" i="2" s="1"/>
  <c r="AG62" i="2"/>
  <c r="AF62" i="2" s="1"/>
  <c r="AG67" i="2"/>
  <c r="AF67" i="2" s="1"/>
  <c r="AG99" i="2"/>
  <c r="AF99" i="2" s="1"/>
  <c r="AG72" i="2"/>
  <c r="AF72" i="2" s="1"/>
  <c r="AG79" i="2"/>
  <c r="AF79" i="2" s="1"/>
  <c r="AG98" i="2"/>
  <c r="AF98" i="2" s="1"/>
  <c r="AG69" i="2"/>
  <c r="AF69" i="2" s="1"/>
  <c r="AG61" i="2"/>
  <c r="AF61" i="2" s="1"/>
  <c r="AG85" i="2"/>
  <c r="AF85" i="2" s="1"/>
  <c r="AG93" i="2"/>
  <c r="AF93" i="2" s="1"/>
  <c r="AG54" i="2"/>
  <c r="AF54" i="2" s="1"/>
  <c r="AG97" i="2"/>
  <c r="AF97" i="2" s="1"/>
  <c r="AG75" i="2"/>
  <c r="AF75" i="2" s="1"/>
  <c r="AG91" i="2"/>
  <c r="AF91" i="2" s="1"/>
  <c r="AG100" i="2"/>
  <c r="AF100" i="2" s="1"/>
  <c r="AG53" i="2"/>
  <c r="AF53" i="2" s="1"/>
  <c r="AG55" i="2"/>
  <c r="AF55" i="2" s="1"/>
  <c r="AG65" i="2"/>
  <c r="AF65" i="2" s="1"/>
  <c r="AG74" i="2"/>
  <c r="AF74" i="2" s="1"/>
  <c r="AG87" i="2"/>
  <c r="AF87" i="2" s="1"/>
  <c r="AG81" i="2"/>
  <c r="AF81" i="2" s="1"/>
  <c r="AG90" i="2"/>
  <c r="AF90" i="2" s="1"/>
  <c r="AG82" i="2"/>
  <c r="AF82" i="2" s="1"/>
  <c r="AG59" i="2"/>
  <c r="AF59" i="2" s="1"/>
  <c r="AG86" i="2"/>
  <c r="AF86" i="2" s="1"/>
  <c r="AG92" i="2"/>
  <c r="AG94" i="2"/>
  <c r="AF94" i="2" s="1"/>
  <c r="AG77" i="2"/>
  <c r="AF77" i="2" s="1"/>
  <c r="AG95" i="2"/>
  <c r="AF95" i="2" s="1"/>
  <c r="AG70" i="2"/>
  <c r="AF70" i="2" s="1"/>
  <c r="AG73" i="2"/>
  <c r="AF73" i="2" s="1"/>
  <c r="AG89" i="2"/>
  <c r="AF89" i="2" s="1"/>
  <c r="AH103" i="2"/>
  <c r="AH104" i="2"/>
  <c r="AH68" i="2"/>
  <c r="AH102" i="2"/>
  <c r="AH101" i="2"/>
  <c r="AH92" i="2" l="1"/>
  <c r="AF92" i="2"/>
  <c r="AH99" i="2"/>
  <c r="AH88" i="2"/>
  <c r="AH57" i="2"/>
  <c r="AH94" i="2"/>
  <c r="AH83" i="2"/>
  <c r="AH76" i="2"/>
  <c r="AH65" i="2"/>
  <c r="AH61" i="2"/>
  <c r="AH62" i="2"/>
  <c r="AH79" i="2"/>
  <c r="AH81" i="2"/>
  <c r="AH80" i="2"/>
  <c r="AH60" i="2"/>
  <c r="AH87" i="2"/>
  <c r="AH82" i="2"/>
  <c r="AH67" i="2"/>
  <c r="AH100" i="2"/>
  <c r="AH64" i="2"/>
  <c r="AH73" i="2"/>
  <c r="AH66" i="2"/>
  <c r="AH74" i="2"/>
  <c r="AH90" i="2"/>
  <c r="AH91" i="2"/>
  <c r="AH70" i="2"/>
  <c r="AH56" i="2"/>
  <c r="AH53" i="2"/>
  <c r="AH58" i="2"/>
  <c r="AH71" i="2"/>
  <c r="AH85" i="2"/>
  <c r="AH86" i="2"/>
  <c r="AH59" i="2"/>
  <c r="AH72" i="2"/>
  <c r="AH78" i="2"/>
  <c r="AH95" i="2"/>
  <c r="AH63" i="2"/>
  <c r="AH55" i="2"/>
  <c r="AH84" i="2"/>
  <c r="AH75" i="2"/>
  <c r="AH54" i="2"/>
  <c r="AH77" i="2"/>
  <c r="AH97" i="2"/>
  <c r="AH89" i="2"/>
  <c r="AH93" i="2"/>
  <c r="AH69" i="2"/>
  <c r="AH98" i="2"/>
  <c r="O52" i="2"/>
  <c r="O51" i="2"/>
  <c r="O50" i="2"/>
  <c r="O49" i="2"/>
  <c r="X49" i="2" s="1"/>
  <c r="O48" i="2"/>
  <c r="X48" i="2" s="1"/>
  <c r="O47" i="2"/>
  <c r="X47" i="2" s="1"/>
  <c r="O46" i="2"/>
  <c r="X46" i="2" s="1"/>
  <c r="O40" i="2"/>
  <c r="O45" i="2"/>
  <c r="X45" i="2" s="1"/>
  <c r="O44" i="2"/>
  <c r="O43" i="2"/>
  <c r="X43" i="2" s="1"/>
  <c r="O42" i="2"/>
  <c r="X42" i="2" s="1"/>
  <c r="Y52" i="2" l="1"/>
  <c r="X52" i="2"/>
  <c r="Z52" i="2"/>
  <c r="Y51" i="2"/>
  <c r="Z51" i="2"/>
  <c r="X51" i="2"/>
  <c r="Y50" i="2"/>
  <c r="Z47" i="2"/>
  <c r="Y47" i="2"/>
  <c r="X50" i="2"/>
  <c r="Z48" i="2"/>
  <c r="Z50" i="2"/>
  <c r="Y48" i="2"/>
  <c r="Z49" i="2"/>
  <c r="Y49" i="2"/>
  <c r="Y46" i="2"/>
  <c r="Z46" i="2"/>
  <c r="Y44" i="2"/>
  <c r="Y40" i="2"/>
  <c r="Z40" i="2"/>
  <c r="Z44" i="2"/>
  <c r="Z45" i="2"/>
  <c r="X44" i="2"/>
  <c r="Y45" i="2"/>
  <c r="X40" i="2"/>
  <c r="AG40" i="2" s="1"/>
  <c r="AF40" i="2" s="1"/>
  <c r="Z43" i="2"/>
  <c r="Y43" i="2"/>
  <c r="Z42" i="2"/>
  <c r="Y42" i="2"/>
  <c r="AG44" i="2" l="1"/>
  <c r="AF44" i="2" s="1"/>
  <c r="AG45" i="2"/>
  <c r="AF45" i="2" s="1"/>
  <c r="AG48" i="2"/>
  <c r="AF48" i="2" s="1"/>
  <c r="AG51" i="2"/>
  <c r="AF51" i="2" s="1"/>
  <c r="AG42" i="2"/>
  <c r="AF42" i="2" s="1"/>
  <c r="AG43" i="2"/>
  <c r="AF43" i="2" s="1"/>
  <c r="AG47" i="2"/>
  <c r="AF47" i="2" s="1"/>
  <c r="AG49" i="2"/>
  <c r="AF49" i="2" s="1"/>
  <c r="AG46" i="2"/>
  <c r="AF46" i="2" s="1"/>
  <c r="AG52" i="2"/>
  <c r="AF52" i="2" s="1"/>
  <c r="AG50" i="2"/>
  <c r="AF50" i="2" s="1"/>
  <c r="AH44" i="2" l="1"/>
  <c r="AH45" i="2"/>
  <c r="AH50" i="2"/>
  <c r="AH40" i="2"/>
  <c r="AH46" i="2"/>
  <c r="AH48" i="2"/>
  <c r="AH43" i="2"/>
  <c r="AH51" i="2"/>
  <c r="AH47" i="2"/>
  <c r="AH49" i="2"/>
  <c r="AH52" i="2"/>
  <c r="AH42" i="2"/>
  <c r="O41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AB311" i="2"/>
  <c r="O19" i="2"/>
  <c r="O18" i="2"/>
  <c r="W17" i="2"/>
  <c r="W16" i="2"/>
  <c r="O15" i="2"/>
  <c r="O16" i="2"/>
  <c r="O11" i="2"/>
  <c r="O12" i="2"/>
  <c r="Y12" i="2" s="1"/>
  <c r="O13" i="2"/>
  <c r="O14" i="2"/>
  <c r="O17" i="2"/>
  <c r="W13" i="2"/>
  <c r="O10" i="2"/>
  <c r="H48" i="11"/>
  <c r="H50" i="11"/>
  <c r="H52" i="11"/>
  <c r="H54" i="11"/>
  <c r="H56" i="11"/>
  <c r="H58" i="11"/>
  <c r="H60" i="11"/>
  <c r="H62" i="11"/>
  <c r="H64" i="11"/>
  <c r="H66" i="11"/>
  <c r="H68" i="11"/>
  <c r="H46" i="11"/>
  <c r="X16" i="2" l="1"/>
  <c r="Z16" i="2"/>
  <c r="X10" i="2"/>
  <c r="Z10" i="2"/>
  <c r="X13" i="2"/>
  <c r="Z13" i="2"/>
  <c r="X15" i="2"/>
  <c r="Z15" i="2"/>
  <c r="X23" i="2"/>
  <c r="Z23" i="2"/>
  <c r="X27" i="2"/>
  <c r="Z27" i="2"/>
  <c r="X29" i="2"/>
  <c r="Z29" i="2"/>
  <c r="X31" i="2"/>
  <c r="Z31" i="2"/>
  <c r="X33" i="2"/>
  <c r="Z33" i="2"/>
  <c r="X35" i="2"/>
  <c r="Z35" i="2"/>
  <c r="X37" i="2"/>
  <c r="Z37" i="2"/>
  <c r="X39" i="2"/>
  <c r="Z39" i="2"/>
  <c r="X19" i="2"/>
  <c r="Z19" i="2"/>
  <c r="X21" i="2"/>
  <c r="Z21" i="2"/>
  <c r="X25" i="2"/>
  <c r="Z25" i="2"/>
  <c r="X17" i="2"/>
  <c r="Z17" i="2"/>
  <c r="X11" i="2"/>
  <c r="Z11" i="2"/>
  <c r="X12" i="2"/>
  <c r="Z12" i="2"/>
  <c r="X14" i="2"/>
  <c r="Z14" i="2"/>
  <c r="X18" i="2"/>
  <c r="Z18" i="2"/>
  <c r="X20" i="2"/>
  <c r="Z20" i="2"/>
  <c r="X22" i="2"/>
  <c r="Z22" i="2"/>
  <c r="X24" i="2"/>
  <c r="Z24" i="2"/>
  <c r="X26" i="2"/>
  <c r="Z26" i="2"/>
  <c r="X28" i="2"/>
  <c r="Z28" i="2"/>
  <c r="X30" i="2"/>
  <c r="Z30" i="2"/>
  <c r="X32" i="2"/>
  <c r="Z32" i="2"/>
  <c r="X34" i="2"/>
  <c r="Z34" i="2"/>
  <c r="X36" i="2"/>
  <c r="Z36" i="2"/>
  <c r="X38" i="2"/>
  <c r="Z38" i="2"/>
  <c r="X41" i="2"/>
  <c r="Z41" i="2"/>
  <c r="Y41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C15" i="10"/>
  <c r="D14" i="10"/>
  <c r="F14" i="10" s="1"/>
  <c r="F15" i="10" s="1"/>
  <c r="AG12" i="2" l="1"/>
  <c r="AF12" i="2" s="1"/>
  <c r="AG20" i="2"/>
  <c r="AF20" i="2" s="1"/>
  <c r="AG34" i="2"/>
  <c r="AF34" i="2" s="1"/>
  <c r="AG38" i="2"/>
  <c r="AF38" i="2" s="1"/>
  <c r="AG26" i="2"/>
  <c r="AF26" i="2" s="1"/>
  <c r="AG22" i="2"/>
  <c r="AF22" i="2" s="1"/>
  <c r="AG27" i="2"/>
  <c r="AF27" i="2" s="1"/>
  <c r="AG21" i="2"/>
  <c r="AF21" i="2" s="1"/>
  <c r="AG29" i="2"/>
  <c r="AF29" i="2" s="1"/>
  <c r="AG25" i="2"/>
  <c r="AF25" i="2" s="1"/>
  <c r="AG31" i="2"/>
  <c r="AF31" i="2" s="1"/>
  <c r="AG39" i="2"/>
  <c r="AG41" i="2"/>
  <c r="AG23" i="2"/>
  <c r="AF23" i="2" s="1"/>
  <c r="AG32" i="2"/>
  <c r="AF32" i="2" s="1"/>
  <c r="AG37" i="2"/>
  <c r="AG36" i="2"/>
  <c r="AG30" i="2"/>
  <c r="AF30" i="2" s="1"/>
  <c r="AG35" i="2"/>
  <c r="AF35" i="2" s="1"/>
  <c r="AG24" i="2"/>
  <c r="AF24" i="2" s="1"/>
  <c r="AG28" i="2"/>
  <c r="AF28" i="2" s="1"/>
  <c r="AG33" i="2"/>
  <c r="AF33" i="2" s="1"/>
  <c r="D15" i="10"/>
  <c r="AH39" i="2" l="1"/>
  <c r="AF39" i="2"/>
  <c r="AH37" i="2"/>
  <c r="AF37" i="2"/>
  <c r="AH36" i="2"/>
  <c r="AF36" i="2"/>
  <c r="AH41" i="2"/>
  <c r="AF41" i="2"/>
  <c r="AH38" i="2"/>
  <c r="AH22" i="2"/>
  <c r="AH32" i="2"/>
  <c r="AH28" i="2"/>
  <c r="AH24" i="2"/>
  <c r="AH23" i="2"/>
  <c r="AH25" i="2"/>
  <c r="AH33" i="2"/>
  <c r="AH27" i="2"/>
  <c r="AH29" i="2"/>
  <c r="AH21" i="2"/>
  <c r="AH20" i="2"/>
  <c r="AH31" i="2"/>
  <c r="AH35" i="2"/>
  <c r="AH26" i="2"/>
  <c r="AH30" i="2"/>
  <c r="AH34" i="2"/>
  <c r="C17" i="6" l="1"/>
  <c r="E17" i="6"/>
  <c r="D17" i="6"/>
  <c r="F17" i="6"/>
  <c r="B4" i="6"/>
  <c r="B3" i="6"/>
  <c r="B2" i="6"/>
  <c r="F12" i="4"/>
  <c r="E12" i="4"/>
  <c r="G12" i="4"/>
  <c r="B1" i="4"/>
  <c r="B4" i="4"/>
  <c r="B2" i="4"/>
  <c r="B3" i="4"/>
  <c r="E311" i="2"/>
  <c r="D311" i="2"/>
  <c r="Z311" i="2" l="1"/>
  <c r="X311" i="2"/>
  <c r="Y19" i="2"/>
  <c r="AG19" i="2" s="1"/>
  <c r="AF19" i="2" s="1"/>
  <c r="Y15" i="2" l="1"/>
  <c r="AG15" i="2" s="1"/>
  <c r="AF15" i="2" s="1"/>
  <c r="Y16" i="2"/>
  <c r="AG16" i="2" s="1"/>
  <c r="AF16" i="2" s="1"/>
  <c r="Y18" i="2"/>
  <c r="AG18" i="2" s="1"/>
  <c r="AF18" i="2" s="1"/>
  <c r="Y14" i="2"/>
  <c r="AG14" i="2" s="1"/>
  <c r="AF14" i="2" s="1"/>
  <c r="Y17" i="2"/>
  <c r="AG17" i="2" s="1"/>
  <c r="AF17" i="2" s="1"/>
  <c r="B5" i="4"/>
  <c r="Y11" i="2"/>
  <c r="AG11" i="2" s="1"/>
  <c r="AF11" i="2" s="1"/>
  <c r="Y10" i="2"/>
  <c r="AG10" i="2" s="1"/>
  <c r="AF10" i="2" l="1"/>
  <c r="AH19" i="2"/>
  <c r="AH12" i="2"/>
  <c r="Y13" i="2"/>
  <c r="AG13" i="2" s="1"/>
  <c r="AF13" i="2" s="1"/>
  <c r="AG311" i="2" l="1"/>
  <c r="AF311" i="2"/>
  <c r="AH18" i="2"/>
  <c r="AH10" i="2"/>
  <c r="AH11" i="2"/>
  <c r="AH16" i="2"/>
  <c r="AH17" i="2"/>
  <c r="AH15" i="2"/>
  <c r="AH14" i="2"/>
  <c r="AC311" i="2"/>
  <c r="AA311" i="2"/>
  <c r="Y311" i="2"/>
  <c r="G27" i="9" l="1"/>
  <c r="F27" i="9"/>
  <c r="AH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W159" authorId="0" shapeId="0" xr:uid="{5C2B34BD-5893-4737-83B7-D2F66F224A5B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Please refer your supporting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LGee</author>
  </authors>
  <commentList>
    <comment ref="B2" authorId="0" shapeId="0" xr:uid="{7C938F57-619D-4E60-B6C2-62D09BE8E148}">
      <text>
        <r>
          <rPr>
            <b/>
            <sz val="9"/>
            <color indexed="81"/>
            <rFont val="Tahoma"/>
            <family val="2"/>
          </rPr>
          <t>LGee:</t>
        </r>
        <r>
          <rPr>
            <sz val="9"/>
            <color indexed="81"/>
            <rFont val="Tahoma"/>
            <family val="2"/>
          </rPr>
          <t xml:space="preserve">
Update these informations</t>
        </r>
      </text>
    </comment>
  </commentList>
</comments>
</file>

<file path=xl/sharedStrings.xml><?xml version="1.0" encoding="utf-8"?>
<sst xmlns="http://schemas.openxmlformats.org/spreadsheetml/2006/main" count="2480" uniqueCount="497">
  <si>
    <t>Length</t>
  </si>
  <si>
    <t>Width</t>
  </si>
  <si>
    <t>Height</t>
  </si>
  <si>
    <t>Tag No.</t>
  </si>
  <si>
    <t>HOC</t>
  </si>
  <si>
    <t>OHC</t>
  </si>
  <si>
    <t>Description</t>
  </si>
  <si>
    <t>Board  Lift</t>
  </si>
  <si>
    <t>Quantity</t>
  </si>
  <si>
    <t>Unit of Measure</t>
  </si>
  <si>
    <t>HOC Date</t>
  </si>
  <si>
    <t>OHC Date</t>
  </si>
  <si>
    <t>E&amp;D Rate per unit</t>
  </si>
  <si>
    <t>Billing Reference</t>
  </si>
  <si>
    <t>Remarks</t>
  </si>
  <si>
    <t>Client:</t>
  </si>
  <si>
    <t>Project Name:</t>
  </si>
  <si>
    <t>Contract Ref:</t>
  </si>
  <si>
    <t>Scaffold Type</t>
  </si>
  <si>
    <t>Invoice Schedule</t>
  </si>
  <si>
    <t>Application No.:</t>
  </si>
  <si>
    <t>Site:</t>
  </si>
  <si>
    <t>Number</t>
  </si>
  <si>
    <t>Erect Charges</t>
  </si>
  <si>
    <t>Dismantle Charges</t>
  </si>
  <si>
    <t>Hire Charges</t>
  </si>
  <si>
    <t>Total Amount</t>
  </si>
  <si>
    <t>Dismantle %</t>
  </si>
  <si>
    <t>Erection %</t>
  </si>
  <si>
    <t>Hire %</t>
  </si>
  <si>
    <t>DTS</t>
  </si>
  <si>
    <t>Date</t>
  </si>
  <si>
    <t>Scaffolder</t>
  </si>
  <si>
    <t>Foreman</t>
  </si>
  <si>
    <t>Total</t>
  </si>
  <si>
    <t>PAYMENT APPLICATION SUMMARY</t>
  </si>
  <si>
    <t>Application Date</t>
  </si>
  <si>
    <t>Day Works</t>
  </si>
  <si>
    <t>Hire Rate per week</t>
  </si>
  <si>
    <t>As Of:</t>
  </si>
  <si>
    <t>Modification Hours</t>
  </si>
  <si>
    <t>Net</t>
  </si>
  <si>
    <t>Previous</t>
  </si>
  <si>
    <t>Cumulative</t>
  </si>
  <si>
    <t>Application No.</t>
  </si>
  <si>
    <t>Works Carried Out</t>
  </si>
  <si>
    <t>L</t>
  </si>
  <si>
    <t>W</t>
  </si>
  <si>
    <t>H</t>
  </si>
  <si>
    <t>BL</t>
  </si>
  <si>
    <t>Item Price</t>
  </si>
  <si>
    <t>Period (Wks)</t>
  </si>
  <si>
    <t>Extra Hire per Week</t>
  </si>
  <si>
    <t>Reference</t>
  </si>
  <si>
    <t>SCOPE OF WORKS &amp; ADDITIONAL WORKS RATES</t>
  </si>
  <si>
    <t>Order Reference:</t>
  </si>
  <si>
    <t>unit</t>
  </si>
  <si>
    <t>Khansaheb Civil Engineering LLC</t>
  </si>
  <si>
    <t>Khansaheb Civil Engineering L.L.C.</t>
  </si>
  <si>
    <t>PO Box - 2716</t>
  </si>
  <si>
    <t>Period As on</t>
  </si>
  <si>
    <t>Dubai</t>
  </si>
  <si>
    <t>Type</t>
  </si>
  <si>
    <t>Scaffolding Services</t>
  </si>
  <si>
    <t>United Arab Emirates</t>
  </si>
  <si>
    <t xml:space="preserve">Our Bankers </t>
  </si>
  <si>
    <t>Bank Of Sharjah</t>
  </si>
  <si>
    <t>Tel : 971 04 605 7200</t>
  </si>
  <si>
    <t>Fax : 971 04 285 7539</t>
  </si>
  <si>
    <t>Account  No.</t>
  </si>
  <si>
    <t>013 06 278065 01</t>
  </si>
  <si>
    <t>Previous Invoiced (AED)</t>
  </si>
  <si>
    <t>This Application Value (AED)</t>
  </si>
  <si>
    <t>Total Invoiced Net To Date (AED)</t>
  </si>
  <si>
    <t>Scope Of Work</t>
  </si>
  <si>
    <t>(for Client use only)</t>
  </si>
  <si>
    <t>Authorised Signatory</t>
  </si>
  <si>
    <t>Technical Access Services LLC</t>
  </si>
  <si>
    <t>The above amount is not inclusive of VAT</t>
  </si>
  <si>
    <t>1b</t>
  </si>
  <si>
    <t>Dayworks</t>
  </si>
  <si>
    <t>Hrs</t>
  </si>
  <si>
    <t>Varitaions</t>
  </si>
  <si>
    <t>Level-28/29 Block &amp; Glass Work</t>
  </si>
  <si>
    <t>Founding Level</t>
  </si>
  <si>
    <t>Tas Quote-2439-4-3 rev1</t>
  </si>
  <si>
    <t>Level 28-29</t>
  </si>
  <si>
    <t>201A22002/49</t>
  </si>
  <si>
    <t xml:space="preserve">Dorchester Hotel &amp; Residences (Completion Works)  </t>
  </si>
  <si>
    <t>As On Date:</t>
  </si>
  <si>
    <t>Location</t>
  </si>
  <si>
    <t>E11/K149/SK/dm/213</t>
  </si>
  <si>
    <t>E11/K149/SK/dm/216</t>
  </si>
  <si>
    <t>E11/K149/SK/dm/238</t>
  </si>
  <si>
    <t>E11/K149/SK/dm/239</t>
  </si>
  <si>
    <t>E11/K149/SK/dm/256</t>
  </si>
  <si>
    <t>E11/K149/SK/dm/257</t>
  </si>
  <si>
    <t>E11/K149/SK/dm/259</t>
  </si>
  <si>
    <t>HOTEL</t>
  </si>
  <si>
    <t>RESIDENCE</t>
  </si>
  <si>
    <t xml:space="preserve"> Design-1399-02 rev-D</t>
  </si>
  <si>
    <t>Hire Weeks</t>
  </si>
  <si>
    <t>Hire of Aluminium Tower</t>
  </si>
  <si>
    <t>NA</t>
  </si>
  <si>
    <t xml:space="preserve">TAS/HIRE/4969/SM </t>
  </si>
  <si>
    <t>Rate Card Ref</t>
  </si>
  <si>
    <t>Order Reference</t>
  </si>
  <si>
    <r>
      <rPr>
        <b/>
        <sz val="8"/>
        <color rgb="FF000000"/>
        <rFont val="Arial"/>
        <family val="2"/>
      </rPr>
      <t>S</t>
    </r>
    <r>
      <rPr>
        <b/>
        <sz val="8"/>
        <color rgb="FF000000"/>
        <rFont val="Arial"/>
        <family val="2"/>
      </rPr>
      <t>c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f</t>
    </r>
    <r>
      <rPr>
        <b/>
        <sz val="8"/>
        <color rgb="FF000000"/>
        <rFont val="Arial"/>
        <family val="2"/>
      </rPr>
      <t>f</t>
    </r>
    <r>
      <rPr>
        <b/>
        <sz val="8"/>
        <color rgb="FF000000"/>
        <rFont val="Arial"/>
        <family val="2"/>
      </rPr>
      <t>o</t>
    </r>
    <r>
      <rPr>
        <b/>
        <sz val="8"/>
        <color rgb="FF000000"/>
        <rFont val="Arial"/>
        <family val="2"/>
      </rPr>
      <t>l</t>
    </r>
    <r>
      <rPr>
        <b/>
        <sz val="8"/>
        <color rgb="FF000000"/>
        <rFont val="Arial"/>
        <family val="2"/>
      </rPr>
      <t>d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>g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y</t>
    </r>
    <r>
      <rPr>
        <b/>
        <sz val="8"/>
        <color rgb="FF000000"/>
        <rFont val="Arial"/>
        <family val="2"/>
      </rPr>
      <t>p</t>
    </r>
    <r>
      <rPr>
        <b/>
        <sz val="8"/>
        <color rgb="FF000000"/>
        <rFont val="Arial"/>
        <family val="2"/>
      </rPr>
      <t>e</t>
    </r>
  </si>
  <si>
    <t>Fixed Duration</t>
  </si>
  <si>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m</t>
    </r>
  </si>
  <si>
    <r>
      <rPr>
        <b/>
        <sz val="8"/>
        <color rgb="FF000000"/>
        <rFont val="Arial"/>
        <family val="2"/>
      </rPr>
      <t>U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t</t>
    </r>
  </si>
  <si>
    <r>
      <rPr>
        <b/>
        <sz val="8"/>
        <color rgb="FF000000"/>
        <rFont val="Arial"/>
        <family val="2"/>
      </rPr>
      <t>R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D</t>
    </r>
  </si>
  <si>
    <t>Static tower</t>
  </si>
  <si>
    <t>Erect &amp; Dismantle</t>
  </si>
  <si>
    <t>Rising Meter</t>
  </si>
  <si>
    <t>Mobile Tower</t>
  </si>
  <si>
    <t xml:space="preserve">Heavy duty tower </t>
  </si>
  <si>
    <t>Heavy duty tower</t>
  </si>
  <si>
    <t>Independent 1.2m wide</t>
  </si>
  <si>
    <t>M2 (LxH)</t>
  </si>
  <si>
    <t>Independent 1.8m wide</t>
  </si>
  <si>
    <t>Birdcage</t>
  </si>
  <si>
    <t>M3</t>
  </si>
  <si>
    <t>M3/Day</t>
  </si>
  <si>
    <t>Heavy duty birdcage</t>
  </si>
  <si>
    <t>Buttress</t>
  </si>
  <si>
    <t>Boarded lift</t>
  </si>
  <si>
    <t>M2 (LxW)</t>
  </si>
  <si>
    <t>Cantilever (0 &lt; 0.5m width)</t>
  </si>
  <si>
    <t>Cantilever (0.5 &gt; 1.2m width)</t>
  </si>
  <si>
    <t xml:space="preserve">Bridge </t>
  </si>
  <si>
    <t>Linear Meter</t>
  </si>
  <si>
    <t>Counterweight (Scaffold Tubes)</t>
  </si>
  <si>
    <t>Edge protection - A Frame Single</t>
  </si>
  <si>
    <t>Edge protection - A Frame double</t>
  </si>
  <si>
    <t>Edge Protection - Double</t>
  </si>
  <si>
    <t>Edge Protection - Double (Hilti)</t>
  </si>
  <si>
    <t>Netting supply - Beige Colour</t>
  </si>
  <si>
    <t>Supply only</t>
  </si>
  <si>
    <t>Netting install</t>
  </si>
  <si>
    <t>Staircase Supported by structure</t>
  </si>
  <si>
    <t>Staircase supported by Buttress</t>
  </si>
  <si>
    <t>Manpower - Scaffolder</t>
  </si>
  <si>
    <t>Hour</t>
  </si>
  <si>
    <t>Manpower - Foreman</t>
  </si>
  <si>
    <t>Aluminium Tower</t>
  </si>
  <si>
    <t>Set</t>
  </si>
  <si>
    <t>Design - TAS-1399-10A</t>
  </si>
  <si>
    <t>Lumpsum</t>
  </si>
  <si>
    <t>Design - TAS-1399-7</t>
  </si>
  <si>
    <t>Balcony Scaffold - Type1</t>
  </si>
  <si>
    <t>Balcony Scaffold - Type2</t>
  </si>
  <si>
    <t>Balcony Scaffold - Type3</t>
  </si>
  <si>
    <t>Balcony Scaffold - Type4</t>
  </si>
  <si>
    <t>Balcony Scaffold - Type5</t>
  </si>
  <si>
    <t>Balcony Scaffold - Type6</t>
  </si>
  <si>
    <t>Balcony Scaffold - Type7</t>
  </si>
  <si>
    <t>Design - TAS-1399-02D</t>
  </si>
  <si>
    <t>Design - TAS-1399-06B</t>
  </si>
  <si>
    <t>CONTRACT - 201A22002/49</t>
  </si>
  <si>
    <t>Contract Scope - Progressive Billing</t>
  </si>
  <si>
    <t>Level 30</t>
  </si>
  <si>
    <t>m2-LxW</t>
  </si>
  <si>
    <t>1f</t>
  </si>
  <si>
    <t>Glass Channel Fixing</t>
  </si>
  <si>
    <t>Level 29</t>
  </si>
  <si>
    <t>1h</t>
  </si>
  <si>
    <t>1i</t>
  </si>
  <si>
    <t>1j</t>
  </si>
  <si>
    <t>1k</t>
  </si>
  <si>
    <t>1l</t>
  </si>
  <si>
    <t>Attn: Mr. Saman Kulasooriya</t>
  </si>
  <si>
    <t>Dorchester Hotel &amp; Residences (Completion Works)  - 201A22002/49</t>
  </si>
  <si>
    <t>Contract Ref 201A22002/49</t>
  </si>
  <si>
    <t xml:space="preserve">PAYMENT APPLICATION </t>
  </si>
  <si>
    <t>Previous Amount</t>
  </si>
  <si>
    <t>Net Amount</t>
  </si>
  <si>
    <t>2a</t>
  </si>
  <si>
    <t>Additional Boarding</t>
  </si>
  <si>
    <t>2b</t>
  </si>
  <si>
    <t>Colum G-3  Painting Works</t>
  </si>
  <si>
    <t>2c</t>
  </si>
  <si>
    <t>Colum F-3  Painting Works</t>
  </si>
  <si>
    <t>2d</t>
  </si>
  <si>
    <t>Colum D-3  Painting Works</t>
  </si>
  <si>
    <t>3a</t>
  </si>
  <si>
    <t>Colum D-2  Painting Works</t>
  </si>
  <si>
    <t>3b</t>
  </si>
  <si>
    <t>Colum F-G/2  Painting Works</t>
  </si>
  <si>
    <t>EIFS Removel &amp; Reinstate Works</t>
  </si>
  <si>
    <t>Ramp</t>
  </si>
  <si>
    <t>Design-1399-07 rev-B</t>
  </si>
  <si>
    <t>Level 31</t>
  </si>
  <si>
    <t>Level -30 Lobby Room Shaft-09</t>
  </si>
  <si>
    <t>Design -1399-10 rev-A</t>
  </si>
  <si>
    <t>Tas Quote - 2439-5-1</t>
  </si>
  <si>
    <t xml:space="preserve">Tas Quote - 2439-8-2 </t>
  </si>
  <si>
    <t>2e</t>
  </si>
  <si>
    <t>Level - 30 Balcony Side Glass frame work</t>
  </si>
  <si>
    <t>E11/K149/HN/dm/285</t>
  </si>
  <si>
    <t>Design-TAS-1399-12</t>
  </si>
  <si>
    <t>Loading Bay Above Planter Trench</t>
  </si>
  <si>
    <t>Ground Level</t>
  </si>
  <si>
    <t>Design -1399-12 rev-A</t>
  </si>
  <si>
    <t>Tas Quote - 2439-10-1</t>
  </si>
  <si>
    <t>Level -4 Planter Box Soil Filling</t>
  </si>
  <si>
    <t>Level 4</t>
  </si>
  <si>
    <t>Independent</t>
  </si>
  <si>
    <t>m2-LxH</t>
  </si>
  <si>
    <t>8h</t>
  </si>
  <si>
    <t>Pool Area Glass work</t>
  </si>
  <si>
    <t>Level 26</t>
  </si>
  <si>
    <t>8i</t>
  </si>
  <si>
    <t>Level -30 Glass Frame work</t>
  </si>
  <si>
    <t>Hire per Week</t>
  </si>
  <si>
    <t>8j</t>
  </si>
  <si>
    <t>Level -30 Shaft Mep Services</t>
  </si>
  <si>
    <t>Pool Plant Room (KMEP Work)</t>
  </si>
  <si>
    <t>Level 3</t>
  </si>
  <si>
    <t>Colum Nut bolt Installation</t>
  </si>
  <si>
    <t>KMEP</t>
  </si>
  <si>
    <t>Shaft -6 Kmep Duct Extension</t>
  </si>
  <si>
    <t>Tower</t>
  </si>
  <si>
    <t>rm</t>
  </si>
  <si>
    <t>Level -2 Retail Unit 34 For (Kmep)</t>
  </si>
  <si>
    <t>Level 2</t>
  </si>
  <si>
    <t>m3</t>
  </si>
  <si>
    <t>Basement 1 (Kmep work)</t>
  </si>
  <si>
    <t>Basement 1</t>
  </si>
  <si>
    <t>Staircase -4 For Water coring tank work</t>
  </si>
  <si>
    <t>19a</t>
  </si>
  <si>
    <t>16a</t>
  </si>
  <si>
    <t>Second Lift Duct Extension work</t>
  </si>
  <si>
    <t>1n</t>
  </si>
  <si>
    <t>Fire Fifhting Sprinkler Work</t>
  </si>
  <si>
    <t>8k</t>
  </si>
  <si>
    <t>Mockup For Bracket Fixing</t>
  </si>
  <si>
    <t>Level 6</t>
  </si>
  <si>
    <t>2g</t>
  </si>
  <si>
    <t>2f</t>
  </si>
  <si>
    <t>Glass Fixing work</t>
  </si>
  <si>
    <t>E11/K149/SK/dm/365</t>
  </si>
  <si>
    <t xml:space="preserve">EIFS Fixing Work </t>
  </si>
  <si>
    <t>Level 23</t>
  </si>
  <si>
    <t>30a</t>
  </si>
  <si>
    <t>Tas Quote - 2439-14-1 (item-1)</t>
  </si>
  <si>
    <t>Tas Quote - 2439-14-1 (item-2)</t>
  </si>
  <si>
    <t>E11/K149/SK/dm/350</t>
  </si>
  <si>
    <t>Design-TAS-1399-14</t>
  </si>
  <si>
    <t>Above Air Extract trench Loading Bay</t>
  </si>
  <si>
    <t>Design 1399-14</t>
  </si>
  <si>
    <t>Tas Quote - 2439-13-1</t>
  </si>
  <si>
    <t>Hotel Side Block Work</t>
  </si>
  <si>
    <t>Level 14</t>
  </si>
  <si>
    <t>Canal Side wall Cladding opening Work</t>
  </si>
  <si>
    <t>Plant Room Façade Fin Supporting work</t>
  </si>
  <si>
    <t>Level 5</t>
  </si>
  <si>
    <t>Plant Room For AC Duct Work</t>
  </si>
  <si>
    <t>Air Extract Gratting Installation</t>
  </si>
  <si>
    <t>4a</t>
  </si>
  <si>
    <t>E11/K149/SK/dm/300</t>
  </si>
  <si>
    <t>Design-Tas-1399-13A</t>
  </si>
  <si>
    <t>Cradle Beam Support</t>
  </si>
  <si>
    <t>Roof</t>
  </si>
  <si>
    <t>Design 1399-13 rev-A</t>
  </si>
  <si>
    <t>Tas Quote - 2439-11-2</t>
  </si>
  <si>
    <t>Cradle Beam Support (Re-erction)</t>
  </si>
  <si>
    <t>Planter Drain Connection (mep)</t>
  </si>
  <si>
    <t>Planter Room Fin Supportting work</t>
  </si>
  <si>
    <t>3c</t>
  </si>
  <si>
    <t>8a</t>
  </si>
  <si>
    <t>3d</t>
  </si>
  <si>
    <t>Plant Room For Kmep Work</t>
  </si>
  <si>
    <t>8b</t>
  </si>
  <si>
    <t>8c</t>
  </si>
  <si>
    <t>E11/K149/SK/dm/341</t>
  </si>
  <si>
    <t>Level 13</t>
  </si>
  <si>
    <t>Balcony Floor Drain Work</t>
  </si>
  <si>
    <t>Level 12</t>
  </si>
  <si>
    <t>Tas Quote - 2439-12-2 (item-2)</t>
  </si>
  <si>
    <t>Level 15</t>
  </si>
  <si>
    <t>10a</t>
  </si>
  <si>
    <t xml:space="preserve">Trench Inside for Parapet Cutting </t>
  </si>
  <si>
    <t>Inverted Scaffold</t>
  </si>
  <si>
    <t>Tas Quote - 2439-6-1</t>
  </si>
  <si>
    <t>lm</t>
  </si>
  <si>
    <t>15a</t>
  </si>
  <si>
    <t>EIFS work Damac side Elevation</t>
  </si>
  <si>
    <t>Level  2</t>
  </si>
  <si>
    <t>16b</t>
  </si>
  <si>
    <t>Butress</t>
  </si>
  <si>
    <t>9a</t>
  </si>
  <si>
    <t>Plant Room Kmep Work</t>
  </si>
  <si>
    <t>9b</t>
  </si>
  <si>
    <t>17a</t>
  </si>
  <si>
    <t>4d</t>
  </si>
  <si>
    <t xml:space="preserve">EIFS work  </t>
  </si>
  <si>
    <t>Ground Level to Level 2</t>
  </si>
  <si>
    <t xml:space="preserve"> </t>
  </si>
  <si>
    <t>Additional Inspection</t>
  </si>
  <si>
    <t>Third Party Inspection ( Additional)</t>
  </si>
  <si>
    <t>Design 1399 -06 rev-B</t>
  </si>
  <si>
    <t>E11/K149/MS/dm/396</t>
  </si>
  <si>
    <t>Master Pump Room Work</t>
  </si>
  <si>
    <t>Tas Quote - 2439-18-1 (item-1)</t>
  </si>
  <si>
    <t>8m</t>
  </si>
  <si>
    <t>8n</t>
  </si>
  <si>
    <t>Level 7</t>
  </si>
  <si>
    <t>Entrance Lobby Block Demolishing Work</t>
  </si>
  <si>
    <t>Existing Pipe Removal Work</t>
  </si>
  <si>
    <t>Edge Protection</t>
  </si>
  <si>
    <t>Double Handrail</t>
  </si>
  <si>
    <t>8o</t>
  </si>
  <si>
    <t>Block Demolishing Work</t>
  </si>
  <si>
    <t>41a</t>
  </si>
  <si>
    <t>38a</t>
  </si>
  <si>
    <t>39a</t>
  </si>
  <si>
    <t>32a</t>
  </si>
  <si>
    <t>Block Work</t>
  </si>
  <si>
    <t>4i</t>
  </si>
  <si>
    <t>EIFS Painting up to Groove</t>
  </si>
  <si>
    <t>Back Propping For Mast Climber</t>
  </si>
  <si>
    <t>Design - 1399-20</t>
  </si>
  <si>
    <t>32b</t>
  </si>
  <si>
    <t>Block Shifting Work</t>
  </si>
  <si>
    <t>19b</t>
  </si>
  <si>
    <t>19c</t>
  </si>
  <si>
    <t>Electrical &amp; Plumbing Work</t>
  </si>
  <si>
    <t>Column Cove Installation Work</t>
  </si>
  <si>
    <t>Electrical Service Work (BMS)</t>
  </si>
  <si>
    <t>8p</t>
  </si>
  <si>
    <t>8q</t>
  </si>
  <si>
    <t>38b</t>
  </si>
  <si>
    <t>Entrance Lobby Block Work</t>
  </si>
  <si>
    <t>38c</t>
  </si>
  <si>
    <t>19d</t>
  </si>
  <si>
    <t>Shaft - 9 Ducting Work</t>
  </si>
  <si>
    <t>Shaft -9 For Ducting Work</t>
  </si>
  <si>
    <t>Balcony Side Edge Protection</t>
  </si>
  <si>
    <t>Level 27</t>
  </si>
  <si>
    <t>53a</t>
  </si>
  <si>
    <t>Balustrade Glass Edge Protection</t>
  </si>
  <si>
    <t>Tripple Hnadrail</t>
  </si>
  <si>
    <t>46a</t>
  </si>
  <si>
    <t>Electrical Services Work</t>
  </si>
  <si>
    <t>38d</t>
  </si>
  <si>
    <t>38e</t>
  </si>
  <si>
    <t>Cable Tray Removal Work</t>
  </si>
  <si>
    <t>8r</t>
  </si>
  <si>
    <t>Level 25</t>
  </si>
  <si>
    <t>60a</t>
  </si>
  <si>
    <t>E11/K149/PK/dm/400</t>
  </si>
  <si>
    <t>Design-Tas-1399-22</t>
  </si>
  <si>
    <t>OME Corridoor Mep Work</t>
  </si>
  <si>
    <t xml:space="preserve">Ground Level </t>
  </si>
  <si>
    <t>Design - 1399-22</t>
  </si>
  <si>
    <t>Prorate Tas Quote - 2439-19-1</t>
  </si>
  <si>
    <t>Design - 1399-24</t>
  </si>
  <si>
    <t>Basement 2</t>
  </si>
  <si>
    <t>19e</t>
  </si>
  <si>
    <t>19f</t>
  </si>
  <si>
    <t>(BW-0754)</t>
  </si>
  <si>
    <t>Entrance Area Glass Work</t>
  </si>
  <si>
    <t>(Glass Line - BW-002)</t>
  </si>
  <si>
    <t>Staircase  - Electrical Work</t>
  </si>
  <si>
    <t>Level 2 to 3</t>
  </si>
  <si>
    <t>68a</t>
  </si>
  <si>
    <t xml:space="preserve">Electrical Service Work </t>
  </si>
  <si>
    <t>Design - 1399-20E</t>
  </si>
  <si>
    <t>Entrance Storage room (KMEP)</t>
  </si>
  <si>
    <t>BOH Corridor Block Work</t>
  </si>
  <si>
    <t>Lift Lobby Fire Curtain Work</t>
  </si>
  <si>
    <t>BOH Corridor Shaft Block Work</t>
  </si>
  <si>
    <t>Cable Pulling Work</t>
  </si>
  <si>
    <t>Chill Water Pipe For (KMEP)</t>
  </si>
  <si>
    <t>Lift 3 Gypsum Work</t>
  </si>
  <si>
    <t>79a</t>
  </si>
  <si>
    <t>19g</t>
  </si>
  <si>
    <t>Shaft 9 Duct Fixing Work</t>
  </si>
  <si>
    <t>Ceiling Opening and Closing for (KMEP)</t>
  </si>
  <si>
    <t>Duct Fixing Work</t>
  </si>
  <si>
    <t>Lift Lobby Glass Line Work</t>
  </si>
  <si>
    <t>BOH Corridor Lift 1&amp;2 Wall Finishing Work</t>
  </si>
  <si>
    <t>89a</t>
  </si>
  <si>
    <t>61a</t>
  </si>
  <si>
    <t>Corridor KMEP Work</t>
  </si>
  <si>
    <t>Staircase 7 For Electrical Work</t>
  </si>
  <si>
    <t>Canal Side Column Cove Work</t>
  </si>
  <si>
    <t>21a</t>
  </si>
  <si>
    <t>Canal Side for Wall Cutting Work</t>
  </si>
  <si>
    <t>12a</t>
  </si>
  <si>
    <t>Balcony Side Grc Removel &amp; Pipe Connection</t>
  </si>
  <si>
    <t>11a</t>
  </si>
  <si>
    <t>Balcony Side Grc Work</t>
  </si>
  <si>
    <t>14a</t>
  </si>
  <si>
    <t>Balcony Side RFI-130</t>
  </si>
  <si>
    <t>EIFS &amp; Wall Finishing Work</t>
  </si>
  <si>
    <t>25a</t>
  </si>
  <si>
    <t>Plant Room For CHW Pipe</t>
  </si>
  <si>
    <t>26a</t>
  </si>
  <si>
    <t>26b</t>
  </si>
  <si>
    <t xml:space="preserve">Bond Ceiling Work </t>
  </si>
  <si>
    <t>31a</t>
  </si>
  <si>
    <t>Level 18 to 20</t>
  </si>
  <si>
    <t>Tas Quote - 2439-12-2 (item-1)</t>
  </si>
  <si>
    <t>13a</t>
  </si>
  <si>
    <t>Balcony Side Grc Removel &amp; Ceiling Board Work</t>
  </si>
  <si>
    <t>21b</t>
  </si>
  <si>
    <t>10b</t>
  </si>
  <si>
    <t>31b</t>
  </si>
  <si>
    <t>Single Handrail</t>
  </si>
  <si>
    <t>Chill Water line Pipe For Water Proof</t>
  </si>
  <si>
    <t>25b</t>
  </si>
  <si>
    <t>25c</t>
  </si>
  <si>
    <t>Ramp Area GRC Pannel Fixing Work</t>
  </si>
  <si>
    <t>Design 1399-21</t>
  </si>
  <si>
    <t>43&amp;43a</t>
  </si>
  <si>
    <t>E11/K149/PK/dm/378</t>
  </si>
  <si>
    <t>Design -Tas-1399-21</t>
  </si>
  <si>
    <t>Duct Fixing Work (KMEP)</t>
  </si>
  <si>
    <t>GRC Divider Removel</t>
  </si>
  <si>
    <t>48a</t>
  </si>
  <si>
    <t>Netting Supply &amp; Install</t>
  </si>
  <si>
    <t>36a</t>
  </si>
  <si>
    <t>36b</t>
  </si>
  <si>
    <t>Wall Cutting Work</t>
  </si>
  <si>
    <t>Design 1399-26</t>
  </si>
  <si>
    <t>49a</t>
  </si>
  <si>
    <t>E11/K149/JA/dm/429</t>
  </si>
  <si>
    <t xml:space="preserve">Balcony Access </t>
  </si>
  <si>
    <t>Level 20</t>
  </si>
  <si>
    <t>Tas Quote -2439-20-1 (item#7)</t>
  </si>
  <si>
    <t>52a</t>
  </si>
  <si>
    <t>Level 21</t>
  </si>
  <si>
    <t>13b</t>
  </si>
  <si>
    <t>25d</t>
  </si>
  <si>
    <t>Wall Finishing Work</t>
  </si>
  <si>
    <t>51a</t>
  </si>
  <si>
    <t>43b&amp;43c</t>
  </si>
  <si>
    <t>Tas Quote - 2439-15-1 (item-1 Prorate)</t>
  </si>
  <si>
    <t>Plant Room For Duct Work</t>
  </si>
  <si>
    <t>Level 10</t>
  </si>
  <si>
    <t>Tas Quote -2439-20-1 (item#2)</t>
  </si>
  <si>
    <t>54a</t>
  </si>
  <si>
    <t>55a</t>
  </si>
  <si>
    <t>36c</t>
  </si>
  <si>
    <t xml:space="preserve">Level 18 </t>
  </si>
  <si>
    <t>Tas Quote -2439-20-1 (item#4)</t>
  </si>
  <si>
    <t>56a</t>
  </si>
  <si>
    <t>Level 18</t>
  </si>
  <si>
    <t>Tas Quote -2439-20-1 (item#6)</t>
  </si>
  <si>
    <t>57a</t>
  </si>
  <si>
    <t>Tas Quote -2439-20-1 (item#1)</t>
  </si>
  <si>
    <t>58a</t>
  </si>
  <si>
    <t>Tas Quote -2439-20-1 (item#3)</t>
  </si>
  <si>
    <t>59a</t>
  </si>
  <si>
    <t>25e</t>
  </si>
  <si>
    <t>1o</t>
  </si>
  <si>
    <t>Drainge Pipe Connection</t>
  </si>
  <si>
    <t>8s</t>
  </si>
  <si>
    <t>Lift Lobby Block Shifting Work</t>
  </si>
  <si>
    <t>87a</t>
  </si>
  <si>
    <t>90a</t>
  </si>
  <si>
    <t>BOH Corridor For Chill Pipe (KMEP)</t>
  </si>
  <si>
    <t>Balcony Side Glass Installation</t>
  </si>
  <si>
    <t>Level 1</t>
  </si>
  <si>
    <t>94a</t>
  </si>
  <si>
    <t>94b</t>
  </si>
  <si>
    <t>94c</t>
  </si>
  <si>
    <t>Canal Side For Ceiling Work (KMEP- BW 0804)</t>
  </si>
  <si>
    <t>KCE Site Office area Chill Water Pipe (KMEP-BW 767)</t>
  </si>
  <si>
    <t>Shaft Water Meter Room For (KMEP-BW 797)</t>
  </si>
  <si>
    <t>Pump Room For Water Master (BW 024)</t>
  </si>
  <si>
    <t>92a</t>
  </si>
  <si>
    <t>Road Side Access For Glass Fixing</t>
  </si>
  <si>
    <t>Canal Side For Excavation Access</t>
  </si>
  <si>
    <t>72a</t>
  </si>
  <si>
    <t>Lift Lobby For Fire Curtain Work</t>
  </si>
  <si>
    <t>8t</t>
  </si>
  <si>
    <t>1,271.00</t>
  </si>
  <si>
    <t>E11/K149/JJ/dm/377</t>
  </si>
  <si>
    <t>Design -Tas-1399-20a</t>
  </si>
  <si>
    <t>Tas Quote 2439-16-3 (item-1)</t>
  </si>
  <si>
    <t>Application # 3</t>
  </si>
  <si>
    <t>AED : Two Hundred Fifty-Five Thousand Six Hundred Fifty-Seven and Twenty Fils Only</t>
  </si>
  <si>
    <t>Certified Amount (Previous)</t>
  </si>
  <si>
    <t>Certified Amount (This Month)</t>
  </si>
  <si>
    <t>Certified Amount (Cum)</t>
  </si>
  <si>
    <t>Comments</t>
  </si>
  <si>
    <t>Erect Charge</t>
  </si>
  <si>
    <t>1a</t>
  </si>
  <si>
    <t>S#</t>
  </si>
  <si>
    <t>Hire Chrge</t>
  </si>
  <si>
    <t>E &amp; D Rate</t>
  </si>
  <si>
    <t>Hire Charge</t>
  </si>
  <si>
    <t>Cantilever (0.5m&lt; width)</t>
  </si>
  <si>
    <t>Certified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</si>
</sst>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8"/>
      <color rgb="FF000000"/>
      <name val="Arial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1"/>
      <color rgb="FF000000"/>
      <name val="Arial"/>
      <family val="2"/>
    </font>
    <font>
      <sz val="11"/>
      <name val="Arial"/>
    </font>
    <font>
      <b/>
      <sz val="11"/>
      <name val="Arial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1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theme="3" tint="-0.249977111117893"/>
      </left>
      <right style="thin">
        <color indexed="64"/>
      </right>
      <top/>
      <bottom style="thin">
        <color theme="3" tint="-0.249977111117893"/>
      </bottom>
      <diagonal/>
    </border>
    <border>
      <left style="thin">
        <color theme="3" tint="-0.249977111117893"/>
      </left>
      <right style="thin">
        <color indexed="64"/>
      </right>
      <top style="thin">
        <color theme="3" tint="-0.24997711111789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3" tint="-0.249977111117893"/>
      </top>
      <bottom/>
      <diagonal/>
    </border>
  </borders>
  <cellStyleXfs count="1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>
      <alignment vertical="top"/>
    </xf>
    <xf numFmtId="0" fontId="1" fillId="0" borderId="0"/>
    <xf numFmtId="0" fontId="6" fillId="0" borderId="0"/>
    <xf numFmtId="0" fontId="1" fillId="0" borderId="0"/>
    <xf numFmtId="43" fontId="1" fillId="0" borderId="0" applyFont="0" applyFill="0" applyBorder="0" applyAlignment="0" applyProtection="0"/>
  </cellStyleXfs>
  <cellXfs count="245">
    <xf numFmtId="0" fontId="0" fillId="0" borderId="0" xfId="0"/>
    <xf numFmtId="4" fontId="0" fillId="0" borderId="0" xfId="0" applyNumberFormat="1" applyAlignment="1">
      <alignment horizontal="center" vertical="center"/>
    </xf>
    <xf numFmtId="4" fontId="2" fillId="0" borderId="0" xfId="0" applyNumberFormat="1" applyFont="1"/>
    <xf numFmtId="0" fontId="7" fillId="0" borderId="2" xfId="2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7" fillId="0" borderId="4" xfId="3" applyFont="1" applyFill="1" applyBorder="1" applyAlignment="1">
      <alignment horizontal="center" vertical="center" wrapText="1"/>
    </xf>
    <xf numFmtId="0" fontId="7" fillId="0" borderId="2" xfId="3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0" fontId="7" fillId="0" borderId="0" xfId="0" applyFont="1"/>
    <xf numFmtId="14" fontId="7" fillId="0" borderId="0" xfId="0" applyNumberFormat="1" applyFont="1"/>
    <xf numFmtId="0" fontId="9" fillId="0" borderId="0" xfId="0" applyFont="1" applyAlignment="1">
      <alignment wrapText="1"/>
    </xf>
    <xf numFmtId="0" fontId="7" fillId="0" borderId="9" xfId="4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 wrapText="1"/>
    </xf>
    <xf numFmtId="14" fontId="9" fillId="0" borderId="2" xfId="1" applyNumberFormat="1" applyFont="1" applyFill="1" applyBorder="1" applyAlignment="1">
      <alignment horizontal="center" vertical="center"/>
    </xf>
    <xf numFmtId="9" fontId="9" fillId="0" borderId="2" xfId="6" applyFont="1" applyFill="1" applyBorder="1" applyAlignment="1">
      <alignment horizontal="center" vertical="center"/>
    </xf>
    <xf numFmtId="2" fontId="9" fillId="0" borderId="2" xfId="1" applyNumberFormat="1" applyFont="1" applyFill="1" applyBorder="1" applyAlignment="1">
      <alignment horizontal="center" vertical="center"/>
    </xf>
    <xf numFmtId="4" fontId="9" fillId="0" borderId="2" xfId="3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4" fontId="9" fillId="0" borderId="11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4" fontId="7" fillId="0" borderId="0" xfId="0" applyNumberFormat="1" applyFont="1" applyAlignment="1">
      <alignment wrapText="1"/>
    </xf>
    <xf numFmtId="4" fontId="7" fillId="0" borderId="0" xfId="0" applyNumberFormat="1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1" fillId="0" borderId="1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2" fillId="0" borderId="7" xfId="0" applyFont="1" applyBorder="1"/>
    <xf numFmtId="165" fontId="12" fillId="0" borderId="3" xfId="0" applyNumberFormat="1" applyFont="1" applyBorder="1"/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4" fontId="12" fillId="0" borderId="5" xfId="0" applyNumberFormat="1" applyFont="1" applyBorder="1"/>
    <xf numFmtId="0" fontId="12" fillId="0" borderId="18" xfId="0" applyFont="1" applyBorder="1"/>
    <xf numFmtId="165" fontId="12" fillId="0" borderId="19" xfId="0" applyNumberFormat="1" applyFont="1" applyBorder="1"/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4" fontId="12" fillId="0" borderId="20" xfId="0" applyNumberFormat="1" applyFont="1" applyBorder="1"/>
    <xf numFmtId="0" fontId="12" fillId="0" borderId="19" xfId="0" applyFont="1" applyBorder="1"/>
    <xf numFmtId="0" fontId="12" fillId="0" borderId="20" xfId="0" applyFont="1" applyBorder="1"/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2" fillId="0" borderId="21" xfId="0" applyFont="1" applyBorder="1"/>
    <xf numFmtId="14" fontId="12" fillId="0" borderId="1" xfId="0" applyNumberFormat="1" applyFont="1" applyBorder="1"/>
    <xf numFmtId="4" fontId="12" fillId="0" borderId="1" xfId="0" applyNumberFormat="1" applyFont="1" applyBorder="1"/>
    <xf numFmtId="0" fontId="12" fillId="0" borderId="22" xfId="0" applyFont="1" applyBorder="1"/>
    <xf numFmtId="0" fontId="12" fillId="0" borderId="1" xfId="0" applyFont="1" applyBorder="1"/>
    <xf numFmtId="0" fontId="12" fillId="0" borderId="26" xfId="0" applyFont="1" applyBorder="1"/>
    <xf numFmtId="0" fontId="12" fillId="0" borderId="27" xfId="0" applyFont="1" applyBorder="1"/>
    <xf numFmtId="4" fontId="12" fillId="0" borderId="27" xfId="0" applyNumberFormat="1" applyFont="1" applyBorder="1"/>
    <xf numFmtId="0" fontId="12" fillId="0" borderId="28" xfId="0" applyFont="1" applyBorder="1"/>
    <xf numFmtId="0" fontId="1" fillId="0" borderId="0" xfId="13"/>
    <xf numFmtId="0" fontId="14" fillId="0" borderId="33" xfId="12" applyFont="1" applyBorder="1" applyAlignment="1">
      <alignment vertical="center"/>
    </xf>
    <xf numFmtId="14" fontId="14" fillId="0" borderId="5" xfId="12" applyNumberFormat="1" applyFont="1" applyBorder="1" applyAlignment="1">
      <alignment horizontal="left" vertical="center"/>
    </xf>
    <xf numFmtId="0" fontId="14" fillId="0" borderId="35" xfId="12" applyFont="1" applyBorder="1" applyAlignment="1">
      <alignment vertical="center"/>
    </xf>
    <xf numFmtId="0" fontId="14" fillId="0" borderId="0" xfId="12" applyFont="1" applyAlignment="1">
      <alignment vertical="center"/>
    </xf>
    <xf numFmtId="17" fontId="14" fillId="0" borderId="34" xfId="12" applyNumberFormat="1" applyFont="1" applyBorder="1" applyAlignment="1">
      <alignment horizontal="left" vertical="center"/>
    </xf>
    <xf numFmtId="0" fontId="14" fillId="0" borderId="5" xfId="12" applyFont="1" applyBorder="1" applyAlignment="1">
      <alignment horizontal="left" vertical="center"/>
    </xf>
    <xf numFmtId="0" fontId="14" fillId="0" borderId="34" xfId="12" applyFont="1" applyBorder="1" applyAlignment="1">
      <alignment horizontal="left" vertical="center"/>
    </xf>
    <xf numFmtId="0" fontId="14" fillId="0" borderId="36" xfId="12" applyFont="1" applyBorder="1" applyAlignment="1">
      <alignment horizontal="left" vertical="center"/>
    </xf>
    <xf numFmtId="0" fontId="14" fillId="0" borderId="20" xfId="12" applyFont="1" applyBorder="1" applyAlignment="1">
      <alignment horizontal="left" vertical="center"/>
    </xf>
    <xf numFmtId="0" fontId="14" fillId="0" borderId="37" xfId="12" applyFont="1" applyBorder="1" applyAlignment="1">
      <alignment horizontal="left" vertical="center"/>
    </xf>
    <xf numFmtId="0" fontId="14" fillId="0" borderId="38" xfId="12" applyFont="1" applyBorder="1" applyAlignment="1">
      <alignment horizontal="left" vertical="center"/>
    </xf>
    <xf numFmtId="0" fontId="14" fillId="0" borderId="29" xfId="12" applyFont="1" applyBorder="1" applyAlignment="1">
      <alignment horizontal="left" vertical="center"/>
    </xf>
    <xf numFmtId="0" fontId="14" fillId="0" borderId="39" xfId="12" applyFont="1" applyBorder="1" applyAlignment="1">
      <alignment horizontal="left" vertical="center"/>
    </xf>
    <xf numFmtId="0" fontId="14" fillId="0" borderId="35" xfId="12" applyFont="1" applyBorder="1"/>
    <xf numFmtId="0" fontId="14" fillId="0" borderId="0" xfId="12" applyFont="1"/>
    <xf numFmtId="0" fontId="14" fillId="0" borderId="35" xfId="12" applyFont="1" applyBorder="1" applyAlignment="1">
      <alignment horizontal="left"/>
    </xf>
    <xf numFmtId="0" fontId="15" fillId="6" borderId="30" xfId="13" applyFont="1" applyFill="1" applyBorder="1" applyAlignment="1">
      <alignment horizontal="center" vertical="center" wrapText="1"/>
    </xf>
    <xf numFmtId="4" fontId="15" fillId="6" borderId="43" xfId="13" applyNumberFormat="1" applyFont="1" applyFill="1" applyBorder="1" applyAlignment="1">
      <alignment horizontal="center" vertical="center" wrapText="1"/>
    </xf>
    <xf numFmtId="4" fontId="15" fillId="6" borderId="32" xfId="13" applyNumberFormat="1" applyFont="1" applyFill="1" applyBorder="1" applyAlignment="1">
      <alignment horizontal="center" vertical="center" wrapText="1"/>
    </xf>
    <xf numFmtId="0" fontId="14" fillId="0" borderId="44" xfId="12" applyFont="1" applyBorder="1" applyAlignment="1">
      <alignment vertical="center"/>
    </xf>
    <xf numFmtId="43" fontId="14" fillId="0" borderId="44" xfId="14" applyFont="1" applyBorder="1" applyAlignment="1">
      <alignment vertical="center"/>
    </xf>
    <xf numFmtId="0" fontId="14" fillId="0" borderId="35" xfId="12" applyFont="1" applyBorder="1" applyAlignment="1">
      <alignment horizontal="center" vertical="center"/>
    </xf>
    <xf numFmtId="0" fontId="14" fillId="0" borderId="0" xfId="12" applyFont="1" applyAlignment="1">
      <alignment horizontal="center" vertical="center"/>
    </xf>
    <xf numFmtId="43" fontId="14" fillId="0" borderId="44" xfId="14" applyFont="1" applyBorder="1" applyAlignment="1"/>
    <xf numFmtId="0" fontId="14" fillId="0" borderId="39" xfId="12" applyFont="1" applyBorder="1"/>
    <xf numFmtId="0" fontId="14" fillId="0" borderId="40" xfId="12" applyFont="1" applyBorder="1"/>
    <xf numFmtId="0" fontId="14" fillId="0" borderId="41" xfId="12" applyFont="1" applyBorder="1"/>
    <xf numFmtId="0" fontId="14" fillId="0" borderId="42" xfId="12" applyFont="1" applyBorder="1"/>
    <xf numFmtId="43" fontId="14" fillId="0" borderId="43" xfId="12" applyNumberFormat="1" applyFont="1" applyBorder="1" applyAlignment="1">
      <alignment vertical="center" wrapText="1"/>
    </xf>
    <xf numFmtId="0" fontId="14" fillId="0" borderId="35" xfId="12" applyFont="1" applyBorder="1" applyAlignment="1">
      <alignment horizontal="left" vertical="center"/>
    </xf>
    <xf numFmtId="0" fontId="14" fillId="0" borderId="0" xfId="12" applyFont="1" applyAlignment="1">
      <alignment horizontal="left" vertical="center"/>
    </xf>
    <xf numFmtId="49" fontId="9" fillId="0" borderId="8" xfId="2" applyNumberFormat="1" applyFont="1" applyFill="1" applyBorder="1" applyAlignment="1">
      <alignment horizontal="center" vertical="center"/>
    </xf>
    <xf numFmtId="0" fontId="9" fillId="0" borderId="2" xfId="2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7" xfId="0" applyBorder="1"/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" fontId="1" fillId="0" borderId="19" xfId="0" applyNumberFormat="1" applyFont="1" applyBorder="1" applyAlignment="1">
      <alignment horizontal="right"/>
    </xf>
    <xf numFmtId="4" fontId="0" fillId="0" borderId="19" xfId="0" applyNumberFormat="1" applyBorder="1" applyAlignment="1">
      <alignment horizontal="right"/>
    </xf>
    <xf numFmtId="4" fontId="0" fillId="0" borderId="19" xfId="0" applyNumberFormat="1" applyBorder="1"/>
    <xf numFmtId="14" fontId="0" fillId="0" borderId="3" xfId="0" applyNumberFormat="1" applyBorder="1"/>
    <xf numFmtId="0" fontId="0" fillId="0" borderId="19" xfId="0" applyBorder="1"/>
    <xf numFmtId="0" fontId="16" fillId="0" borderId="3" xfId="12" applyFont="1" applyBorder="1" applyAlignment="1">
      <alignment horizontal="center" vertical="center"/>
    </xf>
    <xf numFmtId="49" fontId="18" fillId="0" borderId="8" xfId="2" applyNumberFormat="1" applyFont="1" applyFill="1" applyBorder="1" applyAlignment="1">
      <alignment horizontal="center" vertical="center"/>
    </xf>
    <xf numFmtId="0" fontId="18" fillId="0" borderId="2" xfId="2" applyFont="1" applyFill="1" applyBorder="1" applyAlignment="1">
      <alignment horizontal="center" vertical="center"/>
    </xf>
    <xf numFmtId="0" fontId="18" fillId="0" borderId="2" xfId="2" applyFont="1" applyFill="1" applyBorder="1" applyAlignment="1">
      <alignment horizontal="center" vertical="center" wrapText="1"/>
    </xf>
    <xf numFmtId="0" fontId="18" fillId="0" borderId="2" xfId="2" applyNumberFormat="1" applyFont="1" applyFill="1" applyBorder="1" applyAlignment="1">
      <alignment horizontal="center" vertical="center"/>
    </xf>
    <xf numFmtId="9" fontId="18" fillId="0" borderId="2" xfId="6" applyFont="1" applyFill="1" applyBorder="1" applyAlignment="1">
      <alignment horizontal="center" vertical="center"/>
    </xf>
    <xf numFmtId="2" fontId="18" fillId="0" borderId="2" xfId="1" applyNumberFormat="1" applyFont="1" applyFill="1" applyBorder="1" applyAlignment="1">
      <alignment horizontal="center" vertical="center"/>
    </xf>
    <xf numFmtId="4" fontId="18" fillId="0" borderId="2" xfId="3" applyNumberFormat="1" applyFont="1" applyFill="1" applyBorder="1" applyAlignment="1">
      <alignment horizontal="center" vertical="center"/>
    </xf>
    <xf numFmtId="0" fontId="18" fillId="0" borderId="9" xfId="4" applyFont="1" applyFill="1" applyBorder="1" applyAlignment="1">
      <alignment horizontal="center" vertical="center"/>
    </xf>
    <xf numFmtId="0" fontId="19" fillId="0" borderId="45" xfId="12" applyFont="1" applyBorder="1" applyAlignment="1">
      <alignment horizontal="center" vertical="center" wrapText="1"/>
    </xf>
    <xf numFmtId="0" fontId="19" fillId="0" borderId="46" xfId="12" applyFont="1" applyBorder="1" applyAlignment="1">
      <alignment horizontal="center" vertical="center" wrapText="1"/>
    </xf>
    <xf numFmtId="4" fontId="19" fillId="0" borderId="47" xfId="12" applyNumberFormat="1" applyFont="1" applyBorder="1" applyAlignment="1">
      <alignment horizontal="center" vertical="center" wrapText="1"/>
    </xf>
    <xf numFmtId="0" fontId="16" fillId="0" borderId="48" xfId="12" applyFont="1" applyBorder="1" applyAlignment="1">
      <alignment horizontal="center" vertical="center"/>
    </xf>
    <xf numFmtId="4" fontId="16" fillId="0" borderId="49" xfId="12" applyNumberFormat="1" applyFont="1" applyBorder="1" applyAlignment="1">
      <alignment horizontal="center" vertical="center"/>
    </xf>
    <xf numFmtId="0" fontId="16" fillId="0" borderId="50" xfId="12" applyFont="1" applyBorder="1" applyAlignment="1">
      <alignment horizontal="center" vertical="center"/>
    </xf>
    <xf numFmtId="4" fontId="16" fillId="0" borderId="51" xfId="12" applyNumberFormat="1" applyFont="1" applyBorder="1" applyAlignment="1">
      <alignment horizontal="center" vertical="center"/>
    </xf>
    <xf numFmtId="14" fontId="9" fillId="0" borderId="0" xfId="0" applyNumberFormat="1" applyFont="1"/>
    <xf numFmtId="14" fontId="7" fillId="0" borderId="2" xfId="1" applyNumberFormat="1" applyFont="1" applyFill="1" applyBorder="1" applyAlignment="1">
      <alignment horizontal="center" vertical="center" wrapText="1"/>
    </xf>
    <xf numFmtId="14" fontId="18" fillId="0" borderId="2" xfId="1" applyNumberFormat="1" applyFont="1" applyFill="1" applyBorder="1" applyAlignment="1">
      <alignment horizontal="center" vertical="center"/>
    </xf>
    <xf numFmtId="14" fontId="9" fillId="0" borderId="11" xfId="0" applyNumberFormat="1" applyFont="1" applyBorder="1" applyAlignment="1">
      <alignment horizontal="center" vertical="center"/>
    </xf>
    <xf numFmtId="14" fontId="0" fillId="0" borderId="0" xfId="0" applyNumberFormat="1"/>
    <xf numFmtId="0" fontId="14" fillId="0" borderId="35" xfId="12" applyFont="1" applyBorder="1" applyAlignment="1">
      <alignment horizontal="center" vertical="center" wrapText="1"/>
    </xf>
    <xf numFmtId="0" fontId="14" fillId="0" borderId="39" xfId="12" applyFont="1" applyBorder="1" applyAlignment="1">
      <alignment horizontal="center" vertical="center" wrapText="1"/>
    </xf>
    <xf numFmtId="0" fontId="14" fillId="0" borderId="0" xfId="12" applyFont="1" applyAlignment="1">
      <alignment horizontal="center" vertical="center" wrapText="1"/>
    </xf>
    <xf numFmtId="0" fontId="13" fillId="0" borderId="35" xfId="12" applyFont="1" applyBorder="1" applyAlignment="1">
      <alignment vertical="center"/>
    </xf>
    <xf numFmtId="0" fontId="14" fillId="0" borderId="52" xfId="12" applyFont="1" applyBorder="1" applyAlignment="1">
      <alignment vertical="center"/>
    </xf>
    <xf numFmtId="14" fontId="14" fillId="0" borderId="14" xfId="12" applyNumberFormat="1" applyFont="1" applyBorder="1" applyAlignment="1">
      <alignment horizontal="left" vertical="center"/>
    </xf>
    <xf numFmtId="14" fontId="14" fillId="0" borderId="53" xfId="12" applyNumberFormat="1" applyFont="1" applyBorder="1" applyAlignment="1">
      <alignment horizontal="left" vertical="center"/>
    </xf>
    <xf numFmtId="0" fontId="7" fillId="0" borderId="9" xfId="3" applyFont="1" applyFill="1" applyBorder="1" applyAlignment="1">
      <alignment horizontal="center" vertical="center" wrapText="1"/>
    </xf>
    <xf numFmtId="4" fontId="18" fillId="0" borderId="9" xfId="3" applyNumberFormat="1" applyFont="1" applyFill="1" applyBorder="1" applyAlignment="1">
      <alignment horizontal="center"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8" xfId="2" applyFont="1" applyFill="1" applyBorder="1" applyAlignment="1">
      <alignment horizontal="center" vertical="center"/>
    </xf>
    <xf numFmtId="4" fontId="9" fillId="0" borderId="9" xfId="3" applyNumberFormat="1" applyFont="1" applyFill="1" applyBorder="1" applyAlignment="1">
      <alignment horizontal="center" vertical="center"/>
    </xf>
    <xf numFmtId="0" fontId="18" fillId="0" borderId="9" xfId="4" applyFont="1" applyFill="1" applyBorder="1" applyAlignment="1">
      <alignment horizontal="center" vertical="center" wrapText="1"/>
    </xf>
    <xf numFmtId="0" fontId="22" fillId="0" borderId="3" xfId="12" applyFont="1" applyBorder="1" applyAlignment="1">
      <alignment horizontal="center" vertical="center"/>
    </xf>
    <xf numFmtId="0" fontId="9" fillId="0" borderId="9" xfId="4" applyFont="1" applyFill="1" applyBorder="1" applyAlignment="1">
      <alignment horizontal="center" vertical="center" wrapText="1"/>
    </xf>
    <xf numFmtId="0" fontId="9" fillId="6" borderId="0" xfId="0" applyFont="1" applyFill="1"/>
    <xf numFmtId="0" fontId="12" fillId="0" borderId="21" xfId="0" applyFont="1" applyBorder="1" applyAlignment="1">
      <alignment horizontal="center"/>
    </xf>
    <xf numFmtId="4" fontId="12" fillId="0" borderId="1" xfId="0" applyNumberFormat="1" applyFont="1" applyBorder="1" applyAlignment="1">
      <alignment horizontal="right"/>
    </xf>
    <xf numFmtId="0" fontId="18" fillId="7" borderId="2" xfId="2" applyFont="1" applyFill="1" applyBorder="1" applyAlignment="1">
      <alignment horizontal="center" vertical="center"/>
    </xf>
    <xf numFmtId="0" fontId="9" fillId="8" borderId="0" xfId="0" applyFont="1" applyFill="1"/>
    <xf numFmtId="0" fontId="9" fillId="7" borderId="2" xfId="2" applyFont="1" applyFill="1" applyBorder="1" applyAlignment="1">
      <alignment horizontal="center" vertical="center"/>
    </xf>
    <xf numFmtId="0" fontId="0" fillId="7" borderId="18" xfId="0" applyFill="1" applyBorder="1"/>
    <xf numFmtId="0" fontId="24" fillId="9" borderId="4" xfId="3" applyFont="1" applyFill="1" applyBorder="1" applyAlignment="1">
      <alignment horizontal="center" vertical="center" wrapText="1"/>
    </xf>
    <xf numFmtId="43" fontId="24" fillId="8" borderId="55" xfId="3" applyNumberFormat="1" applyFont="1" applyFill="1" applyBorder="1" applyAlignment="1">
      <alignment horizontal="center" vertical="center" wrapText="1"/>
    </xf>
    <xf numFmtId="0" fontId="9" fillId="8" borderId="54" xfId="0" applyFont="1" applyFill="1" applyBorder="1"/>
    <xf numFmtId="43" fontId="24" fillId="8" borderId="56" xfId="3" applyNumberFormat="1" applyFont="1" applyFill="1" applyBorder="1" applyAlignment="1">
      <alignment horizontal="center" vertical="center" wrapText="1"/>
    </xf>
    <xf numFmtId="0" fontId="23" fillId="8" borderId="54" xfId="3" applyFont="1" applyFill="1" applyBorder="1" applyAlignment="1">
      <alignment horizontal="center" vertical="center"/>
    </xf>
    <xf numFmtId="0" fontId="23" fillId="8" borderId="54" xfId="3" applyFont="1" applyFill="1" applyBorder="1" applyAlignment="1">
      <alignment horizontal="right" vertical="center" indent="1"/>
    </xf>
    <xf numFmtId="0" fontId="9" fillId="8" borderId="57" xfId="0" applyFont="1" applyFill="1" applyBorder="1" applyAlignment="1">
      <alignment horizontal="center" vertical="center"/>
    </xf>
    <xf numFmtId="0" fontId="9" fillId="8" borderId="58" xfId="0" applyFont="1" applyFill="1" applyBorder="1"/>
    <xf numFmtId="43" fontId="24" fillId="8" borderId="59" xfId="3" applyNumberFormat="1" applyFont="1" applyFill="1" applyBorder="1" applyAlignment="1">
      <alignment horizontal="center" vertical="center" wrapText="1"/>
    </xf>
    <xf numFmtId="4" fontId="23" fillId="9" borderId="0" xfId="3" applyNumberFormat="1" applyFont="1" applyFill="1" applyAlignment="1">
      <alignment horizontal="center" vertical="center"/>
    </xf>
    <xf numFmtId="0" fontId="9" fillId="10" borderId="0" xfId="0" applyFont="1" applyFill="1"/>
    <xf numFmtId="4" fontId="23" fillId="8" borderId="0" xfId="3" applyNumberFormat="1" applyFont="1" applyFill="1" applyAlignment="1">
      <alignment horizontal="center" vertical="center"/>
    </xf>
    <xf numFmtId="4" fontId="23" fillId="8" borderId="58" xfId="3" applyNumberFormat="1" applyFont="1" applyFill="1" applyBorder="1" applyAlignment="1">
      <alignment horizontal="center" vertical="center"/>
    </xf>
    <xf numFmtId="4" fontId="25" fillId="0" borderId="2" xfId="3" applyNumberFormat="1" applyFont="1" applyFill="1" applyBorder="1" applyAlignment="1">
      <alignment horizontal="center" vertical="center"/>
    </xf>
    <xf numFmtId="0" fontId="23" fillId="0" borderId="54" xfId="3" applyFont="1" applyFill="1" applyBorder="1" applyAlignment="1">
      <alignment horizontal="right" vertical="center" indent="1"/>
    </xf>
    <xf numFmtId="4" fontId="23" fillId="0" borderId="58" xfId="3" applyNumberFormat="1" applyFont="1" applyFill="1" applyBorder="1" applyAlignment="1">
      <alignment horizontal="center" vertical="center"/>
    </xf>
    <xf numFmtId="4" fontId="23" fillId="0" borderId="0" xfId="3" applyNumberFormat="1" applyFont="1" applyFill="1" applyAlignment="1">
      <alignment horizontal="center" vertical="center"/>
    </xf>
    <xf numFmtId="0" fontId="10" fillId="0" borderId="0" xfId="0" applyFont="1" applyAlignment="1">
      <alignment wrapText="1"/>
    </xf>
    <xf numFmtId="4" fontId="9" fillId="0" borderId="0" xfId="0" applyNumberFormat="1" applyFont="1"/>
    <xf numFmtId="0" fontId="23" fillId="0" borderId="54" xfId="3" applyFont="1" applyFill="1" applyBorder="1" applyAlignment="1">
      <alignment horizontal="center" vertical="center"/>
    </xf>
    <xf numFmtId="4" fontId="26" fillId="11" borderId="0" xfId="0" applyNumberFormat="1" applyFont="1" applyFill="1"/>
    <xf numFmtId="2" fontId="9" fillId="0" borderId="0" xfId="0" applyNumberFormat="1" applyFont="1"/>
    <xf numFmtId="4" fontId="9" fillId="0" borderId="58" xfId="3" applyNumberFormat="1" applyFont="1" applyFill="1" applyBorder="1" applyAlignment="1">
      <alignment horizontal="center" vertical="center"/>
    </xf>
    <xf numFmtId="4" fontId="9" fillId="0" borderId="0" xfId="3" applyNumberFormat="1" applyFont="1" applyFill="1" applyAlignment="1">
      <alignment horizontal="center" vertical="center"/>
    </xf>
    <xf numFmtId="0" fontId="9" fillId="8" borderId="2" xfId="2" applyFont="1" applyFill="1" applyBorder="1" applyAlignment="1">
      <alignment horizontal="center" vertical="center"/>
    </xf>
    <xf numFmtId="4" fontId="9" fillId="10" borderId="0" xfId="0" applyNumberFormat="1" applyFont="1" applyFill="1"/>
    <xf numFmtId="0" fontId="9" fillId="0" borderId="54" xfId="3" applyFont="1" applyFill="1" applyBorder="1" applyAlignment="1">
      <alignment horizontal="center" vertical="center"/>
    </xf>
    <xf numFmtId="0" fontId="9" fillId="8" borderId="54" xfId="3" applyFont="1" applyFill="1" applyBorder="1" applyAlignment="1">
      <alignment horizontal="right" vertical="center" indent="1"/>
    </xf>
    <xf numFmtId="4" fontId="9" fillId="8" borderId="58" xfId="3" applyNumberFormat="1" applyFont="1" applyFill="1" applyBorder="1" applyAlignment="1">
      <alignment horizontal="center" vertical="center"/>
    </xf>
    <xf numFmtId="4" fontId="9" fillId="8" borderId="0" xfId="3" applyNumberFormat="1" applyFont="1" applyFill="1" applyAlignment="1">
      <alignment horizontal="center" vertical="center"/>
    </xf>
    <xf numFmtId="4" fontId="9" fillId="8" borderId="0" xfId="0" applyNumberFormat="1" applyFont="1" applyFill="1"/>
    <xf numFmtId="0" fontId="9" fillId="0" borderId="0" xfId="0" applyFont="1" applyAlignment="1">
      <alignment horizontal="center"/>
    </xf>
    <xf numFmtId="0" fontId="9" fillId="6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9" fillId="0" borderId="3" xfId="12" applyFont="1" applyBorder="1" applyAlignment="1">
      <alignment horizontal="center" vertical="center"/>
    </xf>
    <xf numFmtId="43" fontId="9" fillId="8" borderId="60" xfId="0" applyNumberFormat="1" applyFont="1" applyFill="1" applyBorder="1" applyAlignment="1">
      <alignment horizontal="center" vertical="center"/>
    </xf>
    <xf numFmtId="43" fontId="9" fillId="8" borderId="10" xfId="0" applyNumberFormat="1" applyFont="1" applyFill="1" applyBorder="1" applyAlignment="1">
      <alignment horizontal="center" vertical="center"/>
    </xf>
    <xf numFmtId="43" fontId="14" fillId="8" borderId="44" xfId="14" applyFont="1" applyFill="1" applyBorder="1" applyAlignment="1">
      <alignment vertical="center"/>
    </xf>
    <xf numFmtId="0" fontId="14" fillId="0" borderId="35" xfId="12" applyFont="1" applyBorder="1" applyAlignment="1">
      <alignment horizontal="right"/>
    </xf>
    <xf numFmtId="0" fontId="14" fillId="0" borderId="0" xfId="12" applyFont="1" applyAlignment="1">
      <alignment horizontal="right"/>
    </xf>
    <xf numFmtId="0" fontId="14" fillId="0" borderId="39" xfId="12" applyFont="1" applyBorder="1" applyAlignment="1">
      <alignment horizontal="right"/>
    </xf>
    <xf numFmtId="0" fontId="20" fillId="0" borderId="30" xfId="12" applyFont="1" applyBorder="1" applyAlignment="1">
      <alignment horizontal="center" vertical="center"/>
    </xf>
    <xf numFmtId="0" fontId="20" fillId="0" borderId="31" xfId="12" applyFont="1" applyBorder="1" applyAlignment="1">
      <alignment horizontal="center" vertical="center"/>
    </xf>
    <xf numFmtId="0" fontId="20" fillId="0" borderId="32" xfId="12" applyFont="1" applyBorder="1" applyAlignment="1">
      <alignment horizontal="center" vertical="center"/>
    </xf>
    <xf numFmtId="0" fontId="14" fillId="0" borderId="35" xfId="12" applyFont="1" applyBorder="1"/>
    <xf numFmtId="0" fontId="14" fillId="0" borderId="0" xfId="12" applyFont="1"/>
    <xf numFmtId="0" fontId="14" fillId="0" borderId="29" xfId="12" applyFont="1" applyBorder="1" applyAlignment="1">
      <alignment horizontal="left"/>
    </xf>
    <xf numFmtId="0" fontId="14" fillId="0" borderId="39" xfId="12" applyFont="1" applyBorder="1" applyAlignment="1">
      <alignment horizontal="left"/>
    </xf>
    <xf numFmtId="0" fontId="13" fillId="0" borderId="30" xfId="12" applyFont="1" applyBorder="1" applyAlignment="1">
      <alignment horizontal="left"/>
    </xf>
    <xf numFmtId="0" fontId="13" fillId="0" borderId="31" xfId="12" applyFont="1" applyBorder="1" applyAlignment="1">
      <alignment horizontal="left"/>
    </xf>
    <xf numFmtId="0" fontId="13" fillId="0" borderId="32" xfId="12" applyFont="1" applyBorder="1" applyAlignment="1">
      <alignment horizontal="left"/>
    </xf>
    <xf numFmtId="0" fontId="14" fillId="0" borderId="15" xfId="12" applyFont="1" applyBorder="1" applyAlignment="1">
      <alignment horizontal="center" vertical="center" wrapText="1"/>
    </xf>
    <xf numFmtId="0" fontId="14" fillId="0" borderId="16" xfId="12" applyFont="1" applyBorder="1" applyAlignment="1">
      <alignment horizontal="center" vertical="center" wrapText="1"/>
    </xf>
    <xf numFmtId="0" fontId="14" fillId="0" borderId="17" xfId="12" applyFont="1" applyBorder="1" applyAlignment="1">
      <alignment horizontal="center" vertical="center" wrapText="1"/>
    </xf>
    <xf numFmtId="0" fontId="14" fillId="0" borderId="40" xfId="12" applyFont="1" applyBorder="1" applyAlignment="1">
      <alignment horizontal="center" vertical="center" wrapText="1"/>
    </xf>
    <xf numFmtId="0" fontId="14" fillId="0" borderId="41" xfId="12" applyFont="1" applyBorder="1" applyAlignment="1">
      <alignment horizontal="center" vertical="center" wrapText="1"/>
    </xf>
    <xf numFmtId="0" fontId="14" fillId="0" borderId="42" xfId="12" applyFont="1" applyBorder="1" applyAlignment="1">
      <alignment horizontal="center" vertical="center" wrapText="1"/>
    </xf>
    <xf numFmtId="0" fontId="14" fillId="6" borderId="30" xfId="12" applyFont="1" applyFill="1" applyBorder="1" applyAlignment="1">
      <alignment horizontal="center" vertical="center"/>
    </xf>
    <xf numFmtId="0" fontId="14" fillId="6" borderId="31" xfId="12" applyFont="1" applyFill="1" applyBorder="1" applyAlignment="1">
      <alignment horizontal="center" vertical="center"/>
    </xf>
    <xf numFmtId="0" fontId="14" fillId="0" borderId="35" xfId="12" applyFont="1" applyBorder="1" applyAlignment="1">
      <alignment horizontal="center" vertical="center"/>
    </xf>
    <xf numFmtId="0" fontId="14" fillId="0" borderId="0" xfId="12" applyFont="1" applyAlignment="1">
      <alignment horizontal="center" vertical="center"/>
    </xf>
    <xf numFmtId="0" fontId="14" fillId="0" borderId="39" xfId="12" applyFont="1" applyBorder="1" applyAlignment="1">
      <alignment horizontal="center" vertical="center"/>
    </xf>
    <xf numFmtId="0" fontId="14" fillId="0" borderId="35" xfId="12" applyFont="1" applyBorder="1" applyAlignment="1">
      <alignment horizontal="center" vertical="center" wrapText="1"/>
    </xf>
    <xf numFmtId="0" fontId="14" fillId="0" borderId="0" xfId="12" applyFont="1" applyAlignment="1">
      <alignment horizontal="center" vertical="center" wrapText="1"/>
    </xf>
    <xf numFmtId="0" fontId="14" fillId="0" borderId="39" xfId="12" applyFont="1" applyBorder="1" applyAlignment="1">
      <alignment horizontal="center" vertical="center" wrapText="1"/>
    </xf>
    <xf numFmtId="0" fontId="21" fillId="0" borderId="30" xfId="12" applyFont="1" applyBorder="1" applyAlignment="1">
      <alignment horizontal="center" vertical="center"/>
    </xf>
    <xf numFmtId="0" fontId="21" fillId="0" borderId="31" xfId="12" applyFont="1" applyBorder="1" applyAlignment="1">
      <alignment horizontal="center" vertical="center"/>
    </xf>
    <xf numFmtId="0" fontId="21" fillId="0" borderId="32" xfId="12" applyFont="1" applyBorder="1" applyAlignment="1">
      <alignment horizontal="center" vertical="center"/>
    </xf>
    <xf numFmtId="0" fontId="14" fillId="0" borderId="15" xfId="12" applyFont="1" applyBorder="1" applyAlignment="1">
      <alignment horizontal="center" vertical="center"/>
    </xf>
    <xf numFmtId="0" fontId="14" fillId="0" borderId="16" xfId="12" applyFont="1" applyBorder="1" applyAlignment="1">
      <alignment horizontal="center" vertical="center"/>
    </xf>
    <xf numFmtId="0" fontId="14" fillId="0" borderId="15" xfId="12" applyFont="1" applyBorder="1" applyAlignment="1">
      <alignment horizontal="left" vertical="center"/>
    </xf>
    <xf numFmtId="0" fontId="14" fillId="0" borderId="16" xfId="12" applyFont="1" applyBorder="1" applyAlignment="1">
      <alignment horizontal="left" vertical="center"/>
    </xf>
    <xf numFmtId="0" fontId="14" fillId="0" borderId="17" xfId="12" applyFont="1" applyBorder="1" applyAlignment="1">
      <alignment horizontal="left" vertical="center"/>
    </xf>
    <xf numFmtId="0" fontId="14" fillId="0" borderId="35" xfId="12" applyFont="1" applyBorder="1" applyAlignment="1">
      <alignment horizontal="center"/>
    </xf>
    <xf numFmtId="0" fontId="14" fillId="0" borderId="0" xfId="12" applyFont="1" applyAlignment="1">
      <alignment horizontal="center"/>
    </xf>
    <xf numFmtId="0" fontId="14" fillId="0" borderId="39" xfId="12" applyFont="1" applyBorder="1" applyAlignment="1">
      <alignment horizontal="center"/>
    </xf>
    <xf numFmtId="0" fontId="14" fillId="0" borderId="30" xfId="12" applyFont="1" applyBorder="1" applyAlignment="1">
      <alignment horizontal="center" vertical="center" wrapText="1"/>
    </xf>
    <xf numFmtId="0" fontId="14" fillId="0" borderId="31" xfId="12" applyFont="1" applyBorder="1" applyAlignment="1">
      <alignment horizontal="center" vertical="center" wrapText="1"/>
    </xf>
    <xf numFmtId="0" fontId="14" fillId="0" borderId="30" xfId="12" applyFont="1" applyBorder="1" applyAlignment="1">
      <alignment horizontal="left" vertical="center" wrapText="1"/>
    </xf>
    <xf numFmtId="0" fontId="14" fillId="0" borderId="31" xfId="12" applyFont="1" applyBorder="1" applyAlignment="1">
      <alignment horizontal="left" vertical="center"/>
    </xf>
    <xf numFmtId="0" fontId="14" fillId="0" borderId="32" xfId="12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43" fontId="14" fillId="0" borderId="35" xfId="14" applyFont="1" applyBorder="1" applyAlignment="1">
      <alignment horizontal="center" vertical="center"/>
    </xf>
    <xf numFmtId="0" fontId="1" fillId="0" borderId="40" xfId="13" applyBorder="1" applyAlignment="1">
      <alignment horizontal="center"/>
    </xf>
    <xf numFmtId="0" fontId="1" fillId="0" borderId="41" xfId="13" applyBorder="1" applyAlignment="1">
      <alignment horizontal="center"/>
    </xf>
  </cellXfs>
  <cellStyles count="15">
    <cellStyle name="20% - Accent4" xfId="2" builtinId="42"/>
    <cellStyle name="40% - Accent3" xfId="1" builtinId="39"/>
    <cellStyle name="40% - Accent5" xfId="3" builtinId="47"/>
    <cellStyle name="40% - Accent6" xfId="4" builtinId="51"/>
    <cellStyle name="Comma 2" xfId="5" xr:uid="{00000000-0005-0000-0000-000004000000}"/>
    <cellStyle name="Comma 2 2" xfId="8" xr:uid="{00000000-0005-0000-0000-000005000000}"/>
    <cellStyle name="Comma 2 3" xfId="14" xr:uid="{00000000-0005-0000-0000-000006000000}"/>
    <cellStyle name="Comma 3" xfId="9" xr:uid="{00000000-0005-0000-0000-000007000000}"/>
    <cellStyle name="Comma 4" xfId="7" xr:uid="{00000000-0005-0000-0000-000008000000}"/>
    <cellStyle name="Normal" xfId="0" builtinId="0"/>
    <cellStyle name="Normal 2" xfId="10" xr:uid="{00000000-0005-0000-0000-00000A000000}"/>
    <cellStyle name="Normal 2 2" xfId="12" xr:uid="{00000000-0005-0000-0000-00000B000000}"/>
    <cellStyle name="Normal 3" xfId="13" xr:uid="{00000000-0005-0000-0000-00000C000000}"/>
    <cellStyle name="Normal 6" xfId="11" xr:uid="{00000000-0005-0000-0000-00000D000000}"/>
    <cellStyle name="Percent" xfId="6" builtinId="5"/>
  </cellStyles>
  <dxfs count="1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5" formatCode="_(* #,##0.00_);_(* \(#,##0.00\);_(* &quot;-&quot;??_);_(@_)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5" formatCode="_(* #,##0.00_);_(* \(#,##0.00\);_(* &quot;-&quot;??_);_(@_)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5" formatCode="_(* #,##0.00_);_(* \(#,##0.00\);_(* &quot;-&quot;??_);_(@_)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indexed="64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top style="thin">
          <color theme="3" tint="0.39997558519241921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[$-F800]dddd\,\ mmmm\ dd\,\ yy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alignment horizontal="righ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F800]dddd\,\ mmmm\ dd\,\ 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/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/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border outline="0">
        <top style="thin">
          <color theme="3" tint="-0.249977111117893"/>
        </top>
      </border>
    </dxf>
    <dxf>
      <font>
        <strike val="0"/>
        <outline val="0"/>
        <shadow val="0"/>
        <u val="none"/>
        <vertAlign val="baseline"/>
        <color auto="1"/>
      </font>
    </dxf>
    <dxf>
      <border outline="0">
        <left style="thin">
          <color theme="3" tint="-0.249977111117893"/>
        </left>
        <right style="thin">
          <color theme="3" tint="-0.249977111117893"/>
        </right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3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/>
        <bottom/>
      </border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459442</xdr:colOff>
      <xdr:row>1</xdr:row>
      <xdr:rowOff>128067</xdr:rowOff>
    </xdr:from>
    <xdr:to>
      <xdr:col>29</xdr:col>
      <xdr:colOff>1179553</xdr:colOff>
      <xdr:row>6</xdr:row>
      <xdr:rowOff>123960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3236" y="307361"/>
          <a:ext cx="1915405" cy="10492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5.20\TAS_Projects\Users\Danreb%20Pastorin\Desktop\May'17\Ajman%20City%20Centre_May'2017%20Invo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suae-my.sharepoint.com/personal/lgabriel_tasuae_com/Documents/Desktop/Other%20Files/July'2019/LOR%20EXPO2020%20Dayworks%20July'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suae-my.sharepoint.com/personal/lgabriel_tasuae_com/Documents/Desktop/Other%20Files/Payment%20Application%20Form%20K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E11.Rev1"/>
      <sheetName val="Dayworks - May'17"/>
      <sheetName val="Frontsheet"/>
      <sheetName val="Quotation"/>
      <sheetName val="schedule"/>
      <sheetName val="Diff Crash deck"/>
      <sheetName val="SOR Items"/>
      <sheetName val="LMTCV"/>
      <sheetName val="Summary"/>
      <sheetName val="Masterkey"/>
      <sheetName val="Rates"/>
      <sheetName val="Ajman City Centre_May'2017 In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Dayworks"/>
      <sheetName val="Summary"/>
      <sheetName val="Masterkey"/>
      <sheetName val="LOR EXPO2020 Dayworks July'2019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g Details Checking"/>
      <sheetName val="OHC no HOC"/>
      <sheetName val="Scientechnic"/>
      <sheetName val="ACC"/>
      <sheetName val="jumeirah villa"/>
      <sheetName val="Jadaf"/>
      <sheetName val="leader sports (2)"/>
      <sheetName val="leader sports"/>
      <sheetName val="leader sports Manpower Supply"/>
      <sheetName val="DIFC"/>
      <sheetName val="MAF VILLA"/>
      <sheetName val="Jadaf (2)"/>
      <sheetName val="OH Paper"/>
      <sheetName val="E11"/>
      <sheetName val="CR#4"/>
      <sheetName val="ERP"/>
      <sheetName val="Quotation"/>
      <sheetName val="schedule"/>
      <sheetName val="Diff Crash deck"/>
      <sheetName val="SOR Items"/>
      <sheetName val="LMTCV"/>
      <sheetName val="Summary"/>
      <sheetName val="Masterkey"/>
      <sheetName val="Rates"/>
      <sheetName val="Payment Application Form KCE"/>
      <sheetName val="Aquaventu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AH311" totalsRowCount="1" headerRowDxfId="127" dataDxfId="125" totalsRowDxfId="123" headerRowBorderDxfId="126" tableBorderDxfId="124" totalsRowBorderDxfId="122" headerRowCellStyle="40% - Accent5" dataCellStyle="40% - Accent5">
  <autoFilter ref="A9:AH310" xr:uid="{00000000-0009-0000-0100-000001000000}"/>
  <tableColumns count="34">
    <tableColumn id="1" xr3:uid="{00000000-0010-0000-0000-000001000000}" name="Billing Reference" totalsRowLabel="Total" dataDxfId="121" totalsRowDxfId="33" dataCellStyle="20% - Accent4"/>
    <tableColumn id="17" xr3:uid="{3BFE6B37-D398-4E64-9F1E-A43AB98608D8}" name="Location" dataDxfId="120" totalsRowDxfId="32" dataCellStyle="20% - Accent4"/>
    <tableColumn id="2" xr3:uid="{00000000-0010-0000-0000-000002000000}" name="Tag No." dataDxfId="119" totalsRowDxfId="31" dataCellStyle="20% - Accent4"/>
    <tableColumn id="3" xr3:uid="{00000000-0010-0000-0000-000003000000}" name="HOC" totalsRowFunction="count" dataDxfId="118" totalsRowDxfId="30" dataCellStyle="20% - Accent4"/>
    <tableColumn id="4" xr3:uid="{00000000-0010-0000-0000-000004000000}" name="OHC" totalsRowFunction="count" dataDxfId="117" totalsRowDxfId="29" dataCellStyle="20% - Accent4"/>
    <tableColumn id="6" xr3:uid="{00000000-0010-0000-0000-000006000000}" name="Description" dataDxfId="116" totalsRowDxfId="28" dataCellStyle="20% - Accent4"/>
    <tableColumn id="14" xr3:uid="{89D346EA-51BD-4437-ADE1-726CB91CC5B2}" name="Founding Level" dataDxfId="115" totalsRowDxfId="27" dataCellStyle="20% - Accent4"/>
    <tableColumn id="7" xr3:uid="{00000000-0010-0000-0000-000007000000}" name="Scaffold Type" dataDxfId="114" totalsRowDxfId="26" dataCellStyle="20% - Accent4"/>
    <tableColumn id="8" xr3:uid="{00000000-0010-0000-0000-000008000000}" name="Number" dataDxfId="113" totalsRowDxfId="25" dataCellStyle="20% - Accent4"/>
    <tableColumn id="9" xr3:uid="{00000000-0010-0000-0000-000009000000}" name="Length" dataDxfId="112" totalsRowDxfId="24" dataCellStyle="20% - Accent4"/>
    <tableColumn id="10" xr3:uid="{00000000-0010-0000-0000-00000A000000}" name="Width" dataDxfId="111" totalsRowDxfId="23" dataCellStyle="20% - Accent4"/>
    <tableColumn id="11" xr3:uid="{00000000-0010-0000-0000-00000B000000}" name="Height" dataDxfId="110" totalsRowDxfId="22" dataCellStyle="20% - Accent4"/>
    <tableColumn id="12" xr3:uid="{00000000-0010-0000-0000-00000C000000}" name="Board  Lift" dataDxfId="109" totalsRowDxfId="21" dataCellStyle="20% - Accent4"/>
    <tableColumn id="16" xr3:uid="{00000000-0010-0000-0000-000010000000}" name="Unit of Measure" dataDxfId="108" totalsRowDxfId="20" dataCellStyle="20% - Accent4"/>
    <tableColumn id="15" xr3:uid="{00000000-0010-0000-0000-00000F000000}" name="Quantity" dataDxfId="107" totalsRowDxfId="19" dataCellStyle="20% - Accent4">
      <calculatedColumnFormula>ROUND(IF(N10="m3",I10*J10*K10*L10,IF(N10="m2-LxH",I10*J10*L10,IF(N10="m2-LxW",I10*J10*K10,IF(N10="rm",I10*L10,IF(N10="lm",I10*J10,IF(N10="unit",I10,"NA")))))),2)</calculatedColumnFormula>
    </tableColumn>
    <tableColumn id="18" xr3:uid="{00000000-0010-0000-0000-000012000000}" name="HOC Date" dataDxfId="106" totalsRowDxfId="18" dataCellStyle="40% - Accent3"/>
    <tableColumn id="19" xr3:uid="{00000000-0010-0000-0000-000013000000}" name="OHC Date" dataDxfId="105" totalsRowDxfId="17" dataCellStyle="40% - Accent3"/>
    <tableColumn id="20" xr3:uid="{00000000-0010-0000-0000-000014000000}" name="Erection %" dataDxfId="104" totalsRowDxfId="16" dataCellStyle="Percent"/>
    <tableColumn id="22" xr3:uid="{00000000-0010-0000-0000-000016000000}" name="Hire %" dataDxfId="103" totalsRowDxfId="15" dataCellStyle="Percent"/>
    <tableColumn id="21" xr3:uid="{00000000-0010-0000-0000-000015000000}" name="Dismantle %" dataDxfId="102" totalsRowDxfId="14" dataCellStyle="Percent"/>
    <tableColumn id="24" xr3:uid="{00000000-0010-0000-0000-000018000000}" name="Hire Weeks" dataDxfId="101" totalsRowDxfId="13" dataCellStyle="40% - Accent3">
      <calculatedColumnFormula>IF(ISBLANK(Table1[[#This Row],[OHC Date]]),$B$7-Table1[[#This Row],[HOC Date]]+1,Table1[[#This Row],[OHC Date]]-Table1[[#This Row],[HOC Date]]+1)/7</calculatedColumnFormula>
    </tableColumn>
    <tableColumn id="25" xr3:uid="{00000000-0010-0000-0000-000019000000}" name="E&amp;D Rate per unit" dataDxfId="100" totalsRowDxfId="12" dataCellStyle="40% - Accent5"/>
    <tableColumn id="26" xr3:uid="{00000000-0010-0000-0000-00001A000000}" name="Hire Rate per week" dataDxfId="99" totalsRowDxfId="11" dataCellStyle="40% - Accent5"/>
    <tableColumn id="28" xr3:uid="{00000000-0010-0000-0000-00001C000000}" name="Erect Charges" totalsRowFunction="sum" dataDxfId="98" totalsRowDxfId="10" dataCellStyle="40% - Accent5">
      <calculatedColumnFormula>ROUND(0.7*Table1[[#This Row],[E&amp;D Rate per unit]]*R10*Table1[[#This Row],[Quantity]],2)</calculatedColumnFormula>
    </tableColumn>
    <tableColumn id="30" xr3:uid="{00000000-0010-0000-0000-00001E000000}" name="Hire Charges" totalsRowFunction="sum" dataDxfId="97" totalsRowDxfId="9" dataCellStyle="40% - Accent5">
      <calculatedColumnFormula>ROUND(O10*U10*W10*S10,2)</calculatedColumnFormula>
    </tableColumn>
    <tableColumn id="29" xr3:uid="{00000000-0010-0000-0000-00001D000000}" name="Dismantle Charges" totalsRowFunction="sum" dataDxfId="96" totalsRowDxfId="8" dataCellStyle="40% - Accent5">
      <calculatedColumnFormula>ROUND(0.3*T10*Table1[[#This Row],[E&amp;D Rate per unit]]*Table1[[#This Row],[Quantity]],2)</calculatedColumnFormula>
    </tableColumn>
    <tableColumn id="33" xr3:uid="{00000000-0010-0000-0000-000021000000}" name="Total Amount" totalsRowFunction="sum" dataDxfId="95" totalsRowDxfId="7" dataCellStyle="40% - Accent5"/>
    <tableColumn id="5" xr3:uid="{6A22415C-3242-4E4A-90A0-17BB2F71EF32}" name="Previous Amount" totalsRowFunction="sum" dataDxfId="94" totalsRowDxfId="6" dataCellStyle="40% - Accent5"/>
    <tableColumn id="13" xr3:uid="{9D149D36-4A49-4A54-8D1A-884C86FB6D29}" name="Net Amount" totalsRowFunction="sum" dataDxfId="93" totalsRowDxfId="5" dataCellStyle="40% - Accent5"/>
    <tableColumn id="36" xr3:uid="{00000000-0010-0000-0000-000024000000}" name="Remarks" dataDxfId="92" totalsRowDxfId="4" dataCellStyle="40% - Accent6"/>
    <tableColumn id="23" xr3:uid="{4E5A44B7-0D08-4D69-9B6C-112FC70B1DFB}" name="Certified Amount (Previous)" dataDxfId="91" totalsRowDxfId="3" dataCellStyle="40% - Accent5"/>
    <tableColumn id="27" xr3:uid="{D65EFD2D-4F08-44A6-AAD2-E9EAE4C278BB}" name="Certified Amount (This Month)" totalsRowFunction="sum" dataDxfId="90" totalsRowDxfId="2" dataCellStyle="40% - Accent5">
      <calculatedColumnFormula>Table1[[#This Row],[Certified Amount (Cum)]]-Table1[[#This Row],[Certified Amount (Previous)]]</calculatedColumnFormula>
    </tableColumn>
    <tableColumn id="31" xr3:uid="{83BC2221-3675-46F5-A967-FA537B942EFA}" name="Certified Amount (Cum)" totalsRowFunction="sum" dataDxfId="89" totalsRowDxfId="1" dataCellStyle="40% - Accent5">
      <calculatedColumnFormula>SUM(X10,Y10,Z10)</calculatedColumnFormula>
    </tableColumn>
    <tableColumn id="32" xr3:uid="{CCD2C7A3-B105-4CDD-ABA8-16F74F03F129}" name="Comments" totalsRowFunction="sum" dataDxfId="88" totalsRowDxfId="0" dataCellStyle="40% - Accent5">
      <calculatedColumnFormula>Table1[[#This Row],[Certified Amount (Cum)]]-Table1[[#This Row],[Total Amount]]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A71828-8CF2-4F39-BBB9-A9B56F351B60}" name="Table37" displayName="Table37" ref="A8:F15" totalsRowCount="1" headerRowDxfId="87" headerRowBorderDxfId="86" tableBorderDxfId="85" totalsRowBorderDxfId="84">
  <autoFilter ref="A8:F14" xr:uid="{87A71828-8CF2-4F39-BBB9-A9B56F351B60}"/>
  <tableColumns count="6">
    <tableColumn id="1" xr3:uid="{9DFD6B60-EFCC-44DC-9526-28177157DC4D}" name="DTS" totalsRowLabel="Total" dataDxfId="83" totalsRowDxfId="82"/>
    <tableColumn id="2" xr3:uid="{3214119C-8E47-4625-A5C7-3C0351EF2569}" name="Date" dataDxfId="81" totalsRowDxfId="80"/>
    <tableColumn id="3" xr3:uid="{52AAA9B6-8D47-40F3-A57E-8AFC83DFBE1B}" name="Hrs" totalsRowFunction="sum" dataDxfId="79" totalsRowDxfId="78"/>
    <tableColumn id="5" xr3:uid="{8D44D0A9-1928-4382-9EDA-077FC764060C}" name="Total" totalsRowFunction="sum" dataDxfId="77" totalsRowDxfId="76">
      <calculatedColumnFormula>20.5*C9</calculatedColumnFormula>
    </tableColumn>
    <tableColumn id="4" xr3:uid="{31497590-7BB3-4E8A-A111-EC6053A900E8}" name="Previous" totalsRowLabel="1,271.00" dataDxfId="75" totalsRowDxfId="74"/>
    <tableColumn id="7" xr3:uid="{4BC987A9-6C9A-4A27-96DE-C408F67F5E1A}" name="Net Amount" totalsRowFunction="sum" dataDxfId="73" totalsRowDxfId="72">
      <calculatedColumnFormula>Table37[[#This Row],[Total]]-Table37[[#This Row],[Previous]]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:G12" totalsRowCount="1" headerRowDxfId="71" dataDxfId="69" totalsRowDxfId="67" headerRowBorderDxfId="70" tableBorderDxfId="68" totalsRowBorderDxfId="66">
  <autoFilter ref="A8:G11" xr:uid="{00000000-0009-0000-0100-000002000000}"/>
  <tableColumns count="7">
    <tableColumn id="1" xr3:uid="{00000000-0010-0000-0100-000001000000}" name="DTS" totalsRowLabel="Total" dataDxfId="65" totalsRowDxfId="64"/>
    <tableColumn id="2" xr3:uid="{00000000-0010-0000-0100-000002000000}" name="Date" dataDxfId="63" totalsRowDxfId="62"/>
    <tableColumn id="3" xr3:uid="{00000000-0010-0000-0100-000003000000}" name="Scaffolder" dataDxfId="61" totalsRowDxfId="60"/>
    <tableColumn id="4" xr3:uid="{00000000-0010-0000-0100-000004000000}" name="Foreman" dataDxfId="59" totalsRowDxfId="58"/>
    <tableColumn id="7" xr3:uid="{00000000-0010-0000-0100-000007000000}" name="Cumulative" totalsRowFunction="sum" dataDxfId="57" totalsRowDxfId="56"/>
    <tableColumn id="6" xr3:uid="{00000000-0010-0000-0100-000006000000}" name="Previous" totalsRowFunction="sum" dataDxfId="55" totalsRowDxfId="54"/>
    <tableColumn id="5" xr3:uid="{00000000-0010-0000-0100-000005000000}" name="Net" totalsRowFunction="count" dataDxfId="53" totalsRowDxfId="5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2:J12" totalsRowShown="0">
  <autoFilter ref="A2:J12" xr:uid="{00000000-0009-0000-0100-000004000000}"/>
  <tableColumns count="10">
    <tableColumn id="1" xr3:uid="{00000000-0010-0000-0200-000001000000}" name="Reference"/>
    <tableColumn id="2" xr3:uid="{00000000-0010-0000-0200-000002000000}" name="Description"/>
    <tableColumn id="3" xr3:uid="{00000000-0010-0000-0200-000003000000}" name="Number"/>
    <tableColumn id="4" xr3:uid="{00000000-0010-0000-0200-000004000000}" name="L"/>
    <tableColumn id="5" xr3:uid="{00000000-0010-0000-0200-000005000000}" name="W"/>
    <tableColumn id="6" xr3:uid="{00000000-0010-0000-0200-000006000000}" name="H"/>
    <tableColumn id="7" xr3:uid="{00000000-0010-0000-0200-000007000000}" name="BL"/>
    <tableColumn id="8" xr3:uid="{00000000-0010-0000-0200-000008000000}" name="Item Price"/>
    <tableColumn id="9" xr3:uid="{00000000-0010-0000-0200-000009000000}" name="Period (Wks)"/>
    <tableColumn id="10" xr3:uid="{00000000-0010-0000-0200-00000A000000}" name="Extra Hire per Week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8:F17" totalsRowCount="1" headerRowDxfId="51" dataDxfId="49" totalsRowDxfId="47" headerRowBorderDxfId="50" tableBorderDxfId="48" totalsRowBorderDxfId="46">
  <autoFilter ref="A8:F16" xr:uid="{00000000-0009-0000-0100-000003000000}"/>
  <tableColumns count="6">
    <tableColumn id="1" xr3:uid="{00000000-0010-0000-0300-000001000000}" name="Application No." totalsRowLabel="Total" dataDxfId="45" totalsRowDxfId="44"/>
    <tableColumn id="2" xr3:uid="{00000000-0010-0000-0300-000002000000}" name="Application Date" dataDxfId="43" totalsRowDxfId="42"/>
    <tableColumn id="3" xr3:uid="{00000000-0010-0000-0300-000003000000}" name="Works Carried Out" totalsRowFunction="sum" dataDxfId="41" totalsRowDxfId="40"/>
    <tableColumn id="5" xr3:uid="{00000000-0010-0000-0300-000005000000}" name="Day Works" totalsRowFunction="sum" dataDxfId="39" totalsRowDxfId="38"/>
    <tableColumn id="6" xr3:uid="{00000000-0010-0000-0300-000006000000}" name="Total" totalsRowFunction="sum" dataDxfId="37" totalsRowDxfId="36">
      <calculatedColumnFormula>Table3[[#This Row],[Works Carried Out]]+Table3[[#This Row],[Day Works]]</calculatedColumnFormula>
    </tableColumn>
    <tableColumn id="7" xr3:uid="{00000000-0010-0000-0300-000007000000}" name="Remarks" totalsRowFunction="count" dataDxfId="35" totalsRowDxfId="34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8"/>
  <sheetViews>
    <sheetView tabSelected="1" topLeftCell="A7" zoomScaleNormal="100" workbookViewId="0">
      <selection activeCell="H11" sqref="H11:J11"/>
    </sheetView>
  </sheetViews>
  <sheetFormatPr defaultColWidth="9.1796875" defaultRowHeight="14.5" x14ac:dyDescent="0.35"/>
  <cols>
    <col min="1" max="3" width="9.1796875" style="58"/>
    <col min="4" max="4" width="11.453125" style="58" customWidth="1"/>
    <col min="5" max="7" width="17.26953125" style="58" customWidth="1"/>
    <col min="8" max="8" width="18.54296875" style="58" customWidth="1"/>
    <col min="9" max="9" width="16.54296875" style="58" customWidth="1"/>
    <col min="10" max="10" width="20.26953125" style="58" customWidth="1"/>
    <col min="11" max="12" width="9.1796875" style="58"/>
    <col min="13" max="13" width="0" style="58" hidden="1" customWidth="1"/>
    <col min="14" max="16384" width="9.1796875" style="58"/>
  </cols>
  <sheetData>
    <row r="1" spans="1:13" ht="30.75" customHeight="1" thickBot="1" x14ac:dyDescent="0.4">
      <c r="A1" s="191" t="s">
        <v>174</v>
      </c>
      <c r="B1" s="192"/>
      <c r="C1" s="192"/>
      <c r="D1" s="192"/>
      <c r="E1" s="192"/>
      <c r="F1" s="192"/>
      <c r="G1" s="193"/>
    </row>
    <row r="2" spans="1:13" ht="30.75" customHeight="1" thickBot="1" x14ac:dyDescent="0.4">
      <c r="A2" s="215" t="s">
        <v>483</v>
      </c>
      <c r="B2" s="216"/>
      <c r="C2" s="216"/>
      <c r="D2" s="216"/>
      <c r="E2" s="216"/>
      <c r="F2" s="216"/>
      <c r="G2" s="217"/>
    </row>
    <row r="3" spans="1:13" x14ac:dyDescent="0.35">
      <c r="A3" s="130" t="s">
        <v>58</v>
      </c>
      <c r="B3" s="62"/>
      <c r="C3" s="62"/>
      <c r="D3" s="62"/>
      <c r="E3" s="131" t="s">
        <v>31</v>
      </c>
      <c r="F3" s="132">
        <v>44895</v>
      </c>
      <c r="G3" s="133"/>
      <c r="M3" s="58" t="s">
        <v>98</v>
      </c>
    </row>
    <row r="4" spans="1:13" x14ac:dyDescent="0.35">
      <c r="A4" s="61" t="s">
        <v>59</v>
      </c>
      <c r="B4" s="62"/>
      <c r="C4" s="62"/>
      <c r="D4" s="62"/>
      <c r="E4" s="59" t="s">
        <v>60</v>
      </c>
      <c r="F4" s="60">
        <v>44890</v>
      </c>
      <c r="G4" s="63"/>
      <c r="M4" s="58" t="s">
        <v>99</v>
      </c>
    </row>
    <row r="5" spans="1:13" x14ac:dyDescent="0.35">
      <c r="A5" s="61" t="s">
        <v>61</v>
      </c>
      <c r="B5" s="62"/>
      <c r="C5" s="62"/>
      <c r="D5" s="62"/>
      <c r="E5" s="59" t="s">
        <v>62</v>
      </c>
      <c r="F5" s="64" t="s">
        <v>63</v>
      </c>
      <c r="G5" s="65"/>
    </row>
    <row r="6" spans="1:13" x14ac:dyDescent="0.35">
      <c r="A6" s="194" t="s">
        <v>64</v>
      </c>
      <c r="B6" s="195"/>
      <c r="C6" s="195"/>
      <c r="D6" s="195"/>
      <c r="E6" s="66" t="s">
        <v>65</v>
      </c>
      <c r="F6" s="67" t="s">
        <v>66</v>
      </c>
      <c r="G6" s="68"/>
    </row>
    <row r="7" spans="1:13" x14ac:dyDescent="0.35">
      <c r="A7" s="194" t="s">
        <v>67</v>
      </c>
      <c r="B7" s="195"/>
      <c r="C7" s="195"/>
      <c r="D7" s="195"/>
      <c r="E7" s="69"/>
      <c r="F7" s="70"/>
      <c r="G7" s="71"/>
    </row>
    <row r="8" spans="1:13" ht="15" thickBot="1" x14ac:dyDescent="0.4">
      <c r="A8" s="72" t="s">
        <v>68</v>
      </c>
      <c r="B8" s="73"/>
      <c r="C8" s="73"/>
      <c r="D8" s="73"/>
      <c r="E8" s="74" t="s">
        <v>69</v>
      </c>
      <c r="F8" s="196" t="s">
        <v>70</v>
      </c>
      <c r="G8" s="197"/>
    </row>
    <row r="9" spans="1:13" ht="15" thickBot="1" x14ac:dyDescent="0.4">
      <c r="A9" s="198" t="s">
        <v>171</v>
      </c>
      <c r="B9" s="199"/>
      <c r="C9" s="199"/>
      <c r="D9" s="199"/>
      <c r="E9" s="199"/>
      <c r="F9" s="199"/>
      <c r="G9" s="200"/>
    </row>
    <row r="10" spans="1:13" ht="15.75" customHeight="1" x14ac:dyDescent="0.35">
      <c r="A10" s="201" t="s">
        <v>172</v>
      </c>
      <c r="B10" s="202"/>
      <c r="C10" s="202"/>
      <c r="D10" s="202"/>
      <c r="E10" s="202"/>
      <c r="F10" s="202"/>
      <c r="G10" s="203"/>
    </row>
    <row r="11" spans="1:13" ht="15.75" customHeight="1" thickBot="1" x14ac:dyDescent="0.4">
      <c r="A11" s="204"/>
      <c r="B11" s="205"/>
      <c r="C11" s="205"/>
      <c r="D11" s="205"/>
      <c r="E11" s="205"/>
      <c r="F11" s="205"/>
      <c r="G11" s="206"/>
      <c r="H11" s="243" t="s">
        <v>496</v>
      </c>
      <c r="I11" s="244"/>
      <c r="J11" s="244"/>
    </row>
    <row r="12" spans="1:13" ht="28.5" thickBot="1" x14ac:dyDescent="0.4">
      <c r="A12" s="207" t="s">
        <v>6</v>
      </c>
      <c r="B12" s="208"/>
      <c r="C12" s="208"/>
      <c r="D12" s="208"/>
      <c r="E12" s="75" t="s">
        <v>71</v>
      </c>
      <c r="F12" s="76" t="s">
        <v>72</v>
      </c>
      <c r="G12" s="77" t="s">
        <v>73</v>
      </c>
      <c r="H12" s="75" t="s">
        <v>71</v>
      </c>
      <c r="I12" s="76" t="s">
        <v>72</v>
      </c>
      <c r="J12" s="77" t="s">
        <v>73</v>
      </c>
    </row>
    <row r="13" spans="1:13" x14ac:dyDescent="0.35">
      <c r="A13" s="209"/>
      <c r="B13" s="210"/>
      <c r="C13" s="210"/>
      <c r="D13" s="210"/>
      <c r="E13" s="78"/>
      <c r="F13" s="78"/>
      <c r="G13" s="79"/>
      <c r="H13" s="78"/>
      <c r="I13" s="78"/>
      <c r="J13" s="79"/>
    </row>
    <row r="14" spans="1:13" x14ac:dyDescent="0.35">
      <c r="A14" s="209" t="s">
        <v>173</v>
      </c>
      <c r="B14" s="210"/>
      <c r="C14" s="210"/>
      <c r="D14" s="211"/>
      <c r="E14" s="79"/>
      <c r="F14" s="79"/>
      <c r="G14" s="79"/>
      <c r="H14" s="79"/>
      <c r="I14" s="79"/>
      <c r="J14" s="79"/>
    </row>
    <row r="15" spans="1:13" x14ac:dyDescent="0.35">
      <c r="A15" s="80"/>
      <c r="B15" s="81"/>
      <c r="C15" s="81"/>
      <c r="D15" s="81"/>
      <c r="E15" s="79"/>
      <c r="F15" s="79"/>
      <c r="G15" s="79"/>
      <c r="H15" s="79"/>
      <c r="I15" s="79"/>
      <c r="J15" s="79"/>
    </row>
    <row r="16" spans="1:13" ht="21.75" customHeight="1" x14ac:dyDescent="0.35">
      <c r="A16" s="212" t="s">
        <v>74</v>
      </c>
      <c r="B16" s="213"/>
      <c r="C16" s="213"/>
      <c r="D16" s="214"/>
      <c r="E16" s="242">
        <v>159933.85999999999</v>
      </c>
      <c r="F16" s="79">
        <v>28255.170000000013</v>
      </c>
      <c r="G16" s="79">
        <f>E16+F16</f>
        <v>188189.03</v>
      </c>
      <c r="H16" s="187">
        <v>159933.85999999999</v>
      </c>
      <c r="I16" s="187">
        <f>Evaluation!AF12</f>
        <v>28255.170000000013</v>
      </c>
      <c r="J16" s="187">
        <f>H16+I16</f>
        <v>188189.03</v>
      </c>
    </row>
    <row r="17" spans="1:10" ht="21.75" customHeight="1" x14ac:dyDescent="0.35">
      <c r="A17" s="212" t="s">
        <v>82</v>
      </c>
      <c r="B17" s="213"/>
      <c r="C17" s="213"/>
      <c r="D17" s="214"/>
      <c r="E17" s="242">
        <v>187009.85</v>
      </c>
      <c r="F17" s="79">
        <v>225803.03</v>
      </c>
      <c r="G17" s="79">
        <f>E17+F17</f>
        <v>412812.88</v>
      </c>
      <c r="H17" s="187">
        <v>186524.13999999998</v>
      </c>
      <c r="I17" s="187">
        <f>Table1[[#Totals],[Certified Amount (This Month)]]-I16</f>
        <v>225044.85000000003</v>
      </c>
      <c r="J17" s="187">
        <f>H17+I17</f>
        <v>411568.99</v>
      </c>
    </row>
    <row r="18" spans="1:10" ht="21.75" customHeight="1" x14ac:dyDescent="0.35">
      <c r="A18" s="212" t="s">
        <v>80</v>
      </c>
      <c r="B18" s="213"/>
      <c r="C18" s="213"/>
      <c r="D18" s="214"/>
      <c r="E18" s="242">
        <v>1271</v>
      </c>
      <c r="F18" s="79">
        <v>1599</v>
      </c>
      <c r="G18" s="79">
        <f>E18+F18</f>
        <v>2870</v>
      </c>
      <c r="H18" s="187">
        <v>1271</v>
      </c>
      <c r="I18" s="187">
        <f>Table37[[#Totals],[Net Amount]]</f>
        <v>1599</v>
      </c>
      <c r="J18" s="187">
        <f>H18+I18</f>
        <v>2870</v>
      </c>
    </row>
    <row r="19" spans="1:10" ht="21.75" customHeight="1" x14ac:dyDescent="0.35">
      <c r="A19" s="127"/>
      <c r="B19" s="129"/>
      <c r="C19" s="129"/>
      <c r="D19" s="128"/>
      <c r="E19" s="79"/>
      <c r="F19" s="79"/>
      <c r="G19" s="79"/>
      <c r="H19" s="79"/>
      <c r="I19" s="79"/>
      <c r="J19" s="79"/>
    </row>
    <row r="20" spans="1:10" ht="21.75" customHeight="1" x14ac:dyDescent="0.35">
      <c r="A20" s="127"/>
      <c r="B20" s="129"/>
      <c r="C20" s="129"/>
      <c r="D20" s="128"/>
      <c r="E20" s="79"/>
      <c r="F20" s="79"/>
      <c r="G20" s="79"/>
      <c r="H20" s="79"/>
      <c r="I20" s="79"/>
      <c r="J20" s="79"/>
    </row>
    <row r="21" spans="1:10" ht="21.75" customHeight="1" x14ac:dyDescent="0.35">
      <c r="A21" s="127"/>
      <c r="B21" s="129"/>
      <c r="C21" s="129"/>
      <c r="D21" s="128"/>
      <c r="E21" s="79"/>
      <c r="F21" s="79"/>
      <c r="G21" s="79"/>
      <c r="H21" s="79"/>
      <c r="I21" s="79"/>
      <c r="J21" s="79"/>
    </row>
    <row r="22" spans="1:10" ht="21.75" customHeight="1" x14ac:dyDescent="0.35">
      <c r="A22" s="127"/>
      <c r="B22" s="129"/>
      <c r="C22" s="129"/>
      <c r="D22" s="128"/>
      <c r="E22" s="79"/>
      <c r="F22" s="79"/>
      <c r="G22" s="79"/>
      <c r="H22" s="79"/>
      <c r="I22" s="79"/>
      <c r="J22" s="79"/>
    </row>
    <row r="23" spans="1:10" x14ac:dyDescent="0.35">
      <c r="A23" s="188"/>
      <c r="B23" s="189"/>
      <c r="C23" s="189"/>
      <c r="D23" s="190"/>
      <c r="E23" s="79"/>
      <c r="F23" s="79"/>
      <c r="G23" s="79"/>
      <c r="H23" s="79"/>
      <c r="I23" s="79"/>
      <c r="J23" s="79"/>
    </row>
    <row r="24" spans="1:10" ht="16.899999999999999" customHeight="1" x14ac:dyDescent="0.35">
      <c r="A24" s="188"/>
      <c r="B24" s="189"/>
      <c r="C24" s="189"/>
      <c r="D24" s="190"/>
      <c r="E24" s="79"/>
      <c r="F24" s="82"/>
      <c r="G24" s="79"/>
      <c r="H24" s="79"/>
      <c r="I24" s="82"/>
      <c r="J24" s="79"/>
    </row>
    <row r="25" spans="1:10" x14ac:dyDescent="0.35">
      <c r="A25" s="188"/>
      <c r="B25" s="189"/>
      <c r="C25" s="189"/>
      <c r="D25" s="190"/>
      <c r="E25" s="79"/>
      <c r="F25" s="82"/>
      <c r="G25" s="79"/>
      <c r="H25" s="79"/>
      <c r="I25" s="82"/>
      <c r="J25" s="79"/>
    </row>
    <row r="26" spans="1:10" ht="15" thickBot="1" x14ac:dyDescent="0.4">
      <c r="A26" s="223"/>
      <c r="B26" s="224"/>
      <c r="C26" s="224"/>
      <c r="D26" s="225"/>
      <c r="E26" s="79"/>
      <c r="F26" s="82"/>
      <c r="G26" s="79"/>
      <c r="H26" s="79"/>
      <c r="I26" s="82"/>
      <c r="J26" s="79"/>
    </row>
    <row r="27" spans="1:10" ht="34.9" customHeight="1" thickBot="1" x14ac:dyDescent="0.4">
      <c r="A27" s="226" t="s">
        <v>34</v>
      </c>
      <c r="B27" s="227"/>
      <c r="C27" s="227"/>
      <c r="D27" s="227"/>
      <c r="E27" s="87">
        <v>347729</v>
      </c>
      <c r="F27" s="87">
        <f>SUM(F16:F26)</f>
        <v>255657.2</v>
      </c>
      <c r="G27" s="87">
        <f>SUM(G16:G26)</f>
        <v>603871.91</v>
      </c>
      <c r="H27" s="87">
        <v>347729</v>
      </c>
      <c r="I27" s="87">
        <f>SUM(I16:I26)</f>
        <v>254899.02000000005</v>
      </c>
      <c r="J27" s="87">
        <f>SUM(J16:J26)</f>
        <v>602628.02</v>
      </c>
    </row>
    <row r="28" spans="1:10" ht="34.9" customHeight="1" thickBot="1" x14ac:dyDescent="0.4">
      <c r="A28" s="228" t="s">
        <v>484</v>
      </c>
      <c r="B28" s="229"/>
      <c r="C28" s="229"/>
      <c r="D28" s="229"/>
      <c r="E28" s="229"/>
      <c r="F28" s="229"/>
      <c r="G28" s="230"/>
    </row>
    <row r="29" spans="1:10" x14ac:dyDescent="0.35">
      <c r="A29" s="218" t="s">
        <v>75</v>
      </c>
      <c r="B29" s="219"/>
      <c r="C29" s="219"/>
      <c r="D29" s="219"/>
      <c r="E29" s="220" t="s">
        <v>76</v>
      </c>
      <c r="F29" s="221"/>
      <c r="G29" s="222"/>
    </row>
    <row r="30" spans="1:10" x14ac:dyDescent="0.35">
      <c r="A30" s="80"/>
      <c r="B30" s="81"/>
      <c r="C30" s="81"/>
      <c r="D30" s="81"/>
      <c r="E30" s="88"/>
      <c r="F30" s="89"/>
      <c r="G30" s="71"/>
    </row>
    <row r="31" spans="1:10" x14ac:dyDescent="0.35">
      <c r="A31" s="80"/>
      <c r="B31" s="81"/>
      <c r="C31" s="81"/>
      <c r="D31" s="81"/>
      <c r="E31" s="88"/>
      <c r="F31" s="89"/>
      <c r="G31" s="71"/>
    </row>
    <row r="32" spans="1:10" x14ac:dyDescent="0.35">
      <c r="A32" s="80"/>
      <c r="B32" s="81"/>
      <c r="C32" s="81"/>
      <c r="D32" s="81"/>
      <c r="E32" s="88"/>
      <c r="F32" s="89"/>
      <c r="G32" s="71"/>
    </row>
    <row r="33" spans="1:7" x14ac:dyDescent="0.35">
      <c r="A33" s="80"/>
      <c r="B33" s="81"/>
      <c r="C33" s="81"/>
      <c r="D33" s="81"/>
      <c r="E33" s="88"/>
      <c r="F33" s="89"/>
      <c r="G33" s="71"/>
    </row>
    <row r="34" spans="1:7" x14ac:dyDescent="0.35">
      <c r="A34" s="80"/>
      <c r="B34" s="81"/>
      <c r="C34" s="81"/>
      <c r="D34" s="81"/>
      <c r="E34" s="88"/>
      <c r="F34" s="89"/>
      <c r="G34" s="71"/>
    </row>
    <row r="35" spans="1:7" x14ac:dyDescent="0.35">
      <c r="A35" s="80"/>
      <c r="B35" s="81"/>
      <c r="C35" s="81"/>
      <c r="D35" s="81"/>
      <c r="E35" s="88"/>
      <c r="F35" s="89"/>
      <c r="G35" s="71"/>
    </row>
    <row r="36" spans="1:7" x14ac:dyDescent="0.35">
      <c r="A36" s="72"/>
      <c r="B36" s="73"/>
      <c r="C36" s="73"/>
      <c r="D36" s="73"/>
      <c r="E36" s="72"/>
      <c r="F36" s="73"/>
      <c r="G36" s="83"/>
    </row>
    <row r="37" spans="1:7" ht="15" thickBot="1" x14ac:dyDescent="0.4">
      <c r="A37" s="84"/>
      <c r="B37" s="85"/>
      <c r="C37" s="85"/>
      <c r="D37" s="85"/>
      <c r="E37" s="84" t="s">
        <v>77</v>
      </c>
      <c r="F37" s="85"/>
      <c r="G37" s="86"/>
    </row>
    <row r="38" spans="1:7" x14ac:dyDescent="0.35">
      <c r="A38" s="73" t="s">
        <v>78</v>
      </c>
      <c r="B38" s="73"/>
      <c r="C38" s="73"/>
      <c r="D38" s="73"/>
      <c r="E38" s="73"/>
      <c r="F38" s="73"/>
      <c r="G38" s="73"/>
    </row>
  </sheetData>
  <mergeCells count="22">
    <mergeCell ref="H11:J11"/>
    <mergeCell ref="A29:D29"/>
    <mergeCell ref="E29:G29"/>
    <mergeCell ref="A25:D25"/>
    <mergeCell ref="A26:D26"/>
    <mergeCell ref="A27:D27"/>
    <mergeCell ref="A28:G28"/>
    <mergeCell ref="A24:D24"/>
    <mergeCell ref="A1:G1"/>
    <mergeCell ref="A6:D6"/>
    <mergeCell ref="A7:D7"/>
    <mergeCell ref="F8:G8"/>
    <mergeCell ref="A9:G9"/>
    <mergeCell ref="A10:G11"/>
    <mergeCell ref="A12:D12"/>
    <mergeCell ref="A13:D13"/>
    <mergeCell ref="A14:D14"/>
    <mergeCell ref="A16:D16"/>
    <mergeCell ref="A23:D23"/>
    <mergeCell ref="A17:D17"/>
    <mergeCell ref="A18:D18"/>
    <mergeCell ref="A2:G2"/>
  </mergeCells>
  <printOptions horizontalCentered="1" verticalCentered="1"/>
  <pageMargins left="0.70866141732283505" right="0.70866141732283505" top="1.04270833333333" bottom="0.74803149606299202" header="0.31496062992126" footer="0.31496062992126"/>
  <pageSetup paperSize="9" scale="96" orientation="portrait" verticalDpi="4294967293" r:id="rId1"/>
  <headerFooter>
    <oddHeader>&amp;R&amp;G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325"/>
  <sheetViews>
    <sheetView topLeftCell="AD301" zoomScale="85" zoomScaleNormal="85" workbookViewId="0">
      <selection activeCell="AH311" sqref="AH311"/>
    </sheetView>
  </sheetViews>
  <sheetFormatPr defaultColWidth="9.1796875" defaultRowHeight="14.5" x14ac:dyDescent="0.35"/>
  <cols>
    <col min="1" max="1" width="30.54296875" style="8" customWidth="1"/>
    <col min="2" max="2" width="22.81640625" style="8" customWidth="1"/>
    <col min="3" max="3" width="9.81640625" style="8" customWidth="1"/>
    <col min="4" max="4" width="12.81640625" style="8" customWidth="1"/>
    <col min="5" max="5" width="10.7265625" style="8" bestFit="1" customWidth="1"/>
    <col min="6" max="6" width="36.26953125" style="13" bestFit="1" customWidth="1"/>
    <col min="7" max="7" width="15.1796875" style="13" bestFit="1" customWidth="1"/>
    <col min="8" max="8" width="33.26953125" style="8" bestFit="1" customWidth="1"/>
    <col min="9" max="9" width="14.1796875" style="8" bestFit="1" customWidth="1"/>
    <col min="10" max="10" width="13.1796875" style="8" bestFit="1" customWidth="1"/>
    <col min="11" max="11" width="12.1796875" style="8" bestFit="1" customWidth="1"/>
    <col min="12" max="12" width="12.54296875" style="8" bestFit="1" customWidth="1"/>
    <col min="13" max="13" width="12.26953125" style="8" bestFit="1" customWidth="1"/>
    <col min="14" max="14" width="15" style="8" bestFit="1" customWidth="1"/>
    <col min="15" max="15" width="14.453125" style="8" bestFit="1" customWidth="1"/>
    <col min="16" max="16" width="11.81640625" style="126" bestFit="1" customWidth="1"/>
    <col min="17" max="17" width="11.54296875" style="122" customWidth="1"/>
    <col min="18" max="20" width="10.81640625" style="8" customWidth="1"/>
    <col min="21" max="21" width="10.1796875" style="8" customWidth="1"/>
    <col min="22" max="22" width="14.453125" customWidth="1"/>
    <col min="23" max="26" width="15.7265625" style="8" customWidth="1"/>
    <col min="27" max="27" width="19.6328125" style="8" bestFit="1" customWidth="1"/>
    <col min="28" max="28" width="15.7265625" style="8" customWidth="1"/>
    <col min="29" max="29" width="17.7265625" style="8" bestFit="1" customWidth="1"/>
    <col min="30" max="30" width="24.7265625" style="8" bestFit="1" customWidth="1"/>
    <col min="31" max="31" width="35.7265625" style="151" customWidth="1"/>
    <col min="32" max="32" width="23.6328125" style="156" bestFit="1" customWidth="1"/>
    <col min="33" max="33" width="21.6328125" style="146" bestFit="1" customWidth="1"/>
    <col min="34" max="34" width="13.90625" style="8" bestFit="1" customWidth="1"/>
    <col min="35" max="36" width="9.1796875" style="8"/>
    <col min="37" max="37" width="10.08984375" style="8" bestFit="1" customWidth="1"/>
    <col min="38" max="38" width="10.90625" style="8" bestFit="1" customWidth="1"/>
    <col min="39" max="41" width="9.1796875" style="8"/>
    <col min="42" max="42" width="10.08984375" style="8" bestFit="1" customWidth="1"/>
    <col min="43" max="43" width="13.26953125" style="8" bestFit="1" customWidth="1"/>
    <col min="44" max="44" width="11.7265625" style="180" bestFit="1" customWidth="1"/>
    <col min="45" max="45" width="12.90625" style="8" bestFit="1" customWidth="1"/>
    <col min="46" max="46" width="10.6328125" style="8" bestFit="1" customWidth="1"/>
    <col min="47" max="16384" width="9.1796875" style="8"/>
  </cols>
  <sheetData>
    <row r="1" spans="1:38" ht="14" x14ac:dyDescent="0.3">
      <c r="P1" s="122"/>
      <c r="V1" s="8"/>
      <c r="AE1" s="8"/>
      <c r="AF1" s="8"/>
      <c r="AG1" s="8"/>
    </row>
    <row r="2" spans="1:38" ht="25" x14ac:dyDescent="0.5">
      <c r="A2" s="231" t="s">
        <v>19</v>
      </c>
      <c r="B2" s="231"/>
      <c r="C2" s="231"/>
      <c r="D2" s="231"/>
      <c r="E2" s="231"/>
      <c r="F2" s="8"/>
      <c r="G2" s="8"/>
      <c r="P2" s="122"/>
      <c r="V2" s="8"/>
      <c r="AE2" s="8"/>
      <c r="AF2" s="8"/>
      <c r="AG2" s="8"/>
    </row>
    <row r="3" spans="1:38" ht="14" x14ac:dyDescent="0.3">
      <c r="A3" s="232" t="s">
        <v>57</v>
      </c>
      <c r="B3" s="232"/>
      <c r="C3" s="232"/>
      <c r="D3" s="232"/>
      <c r="E3" s="232"/>
      <c r="F3" s="8"/>
      <c r="G3" s="8"/>
      <c r="P3" s="122"/>
      <c r="V3" s="8"/>
      <c r="AE3" s="8"/>
      <c r="AF3" s="8"/>
      <c r="AG3" s="8"/>
    </row>
    <row r="4" spans="1:38" ht="14" x14ac:dyDescent="0.3">
      <c r="A4" s="9" t="s">
        <v>20</v>
      </c>
      <c r="B4" s="9">
        <v>3</v>
      </c>
      <c r="F4" s="8"/>
      <c r="G4" s="8"/>
      <c r="P4" s="122"/>
      <c r="V4" s="8"/>
      <c r="AE4" s="8"/>
      <c r="AF4" s="8"/>
      <c r="AG4" s="8"/>
    </row>
    <row r="5" spans="1:38" ht="14" x14ac:dyDescent="0.3">
      <c r="A5" s="9" t="s">
        <v>16</v>
      </c>
      <c r="B5" s="9" t="s">
        <v>88</v>
      </c>
      <c r="F5" s="8"/>
      <c r="G5" s="8"/>
      <c r="P5" s="122"/>
      <c r="V5" s="8"/>
      <c r="W5" s="167"/>
      <c r="AE5" s="8"/>
      <c r="AF5" s="8"/>
      <c r="AG5" s="8"/>
    </row>
    <row r="6" spans="1:38" ht="14" x14ac:dyDescent="0.3">
      <c r="A6" s="9" t="s">
        <v>55</v>
      </c>
      <c r="B6" s="9" t="s">
        <v>87</v>
      </c>
      <c r="F6" s="8"/>
      <c r="G6" s="8"/>
      <c r="I6" s="9"/>
      <c r="P6" s="122"/>
      <c r="V6" s="8"/>
      <c r="AE6" s="8"/>
      <c r="AF6" s="8"/>
      <c r="AG6" s="8"/>
    </row>
    <row r="7" spans="1:38" ht="14" x14ac:dyDescent="0.3">
      <c r="A7" s="9" t="s">
        <v>89</v>
      </c>
      <c r="B7" s="10">
        <v>44890</v>
      </c>
      <c r="D7" s="9"/>
      <c r="E7" s="9"/>
      <c r="F7" s="8"/>
      <c r="G7" s="8"/>
      <c r="H7" s="11"/>
      <c r="I7" s="12"/>
      <c r="P7" s="122"/>
      <c r="V7" s="8"/>
      <c r="AE7" s="8"/>
      <c r="AF7" s="8"/>
      <c r="AG7" s="8"/>
    </row>
    <row r="8" spans="1:38" ht="14" x14ac:dyDescent="0.3">
      <c r="A8" s="9"/>
      <c r="B8" s="9"/>
      <c r="C8" s="10"/>
      <c r="D8" s="9"/>
      <c r="E8" s="9"/>
      <c r="F8" s="8"/>
      <c r="G8" s="8"/>
      <c r="H8" s="11"/>
      <c r="I8" s="12"/>
      <c r="P8" s="122"/>
      <c r="V8" s="8"/>
      <c r="AE8" s="8"/>
      <c r="AF8" s="8"/>
      <c r="AG8" s="8"/>
    </row>
    <row r="9" spans="1:38" s="15" customFormat="1" ht="30" customHeight="1" x14ac:dyDescent="0.4">
      <c r="A9" s="7" t="s">
        <v>13</v>
      </c>
      <c r="B9" s="7" t="s">
        <v>90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84</v>
      </c>
      <c r="H9" s="3" t="s">
        <v>18</v>
      </c>
      <c r="I9" s="3" t="s">
        <v>22</v>
      </c>
      <c r="J9" s="3" t="s">
        <v>0</v>
      </c>
      <c r="K9" s="3" t="s">
        <v>1</v>
      </c>
      <c r="L9" s="3" t="s">
        <v>2</v>
      </c>
      <c r="M9" s="3" t="s">
        <v>7</v>
      </c>
      <c r="N9" s="3" t="s">
        <v>9</v>
      </c>
      <c r="O9" s="3" t="s">
        <v>8</v>
      </c>
      <c r="P9" s="123" t="s">
        <v>10</v>
      </c>
      <c r="Q9" s="123" t="s">
        <v>11</v>
      </c>
      <c r="R9" s="4" t="s">
        <v>28</v>
      </c>
      <c r="S9" s="4" t="s">
        <v>29</v>
      </c>
      <c r="T9" s="4" t="s">
        <v>27</v>
      </c>
      <c r="U9" s="4" t="s">
        <v>101</v>
      </c>
      <c r="V9" s="5" t="s">
        <v>12</v>
      </c>
      <c r="W9" s="5" t="s">
        <v>38</v>
      </c>
      <c r="X9" s="5" t="s">
        <v>23</v>
      </c>
      <c r="Y9" s="5" t="s">
        <v>25</v>
      </c>
      <c r="Z9" s="5" t="s">
        <v>24</v>
      </c>
      <c r="AA9" s="6" t="s">
        <v>26</v>
      </c>
      <c r="AB9" s="134" t="s">
        <v>175</v>
      </c>
      <c r="AC9" s="134" t="s">
        <v>176</v>
      </c>
      <c r="AD9" s="14" t="s">
        <v>14</v>
      </c>
      <c r="AE9" s="152" t="s">
        <v>485</v>
      </c>
      <c r="AF9" s="157" t="s">
        <v>486</v>
      </c>
      <c r="AG9" s="150" t="s">
        <v>487</v>
      </c>
      <c r="AH9" s="149" t="s">
        <v>488</v>
      </c>
      <c r="AL9" s="166"/>
    </row>
    <row r="10" spans="1:38" ht="30" customHeight="1" x14ac:dyDescent="0.3">
      <c r="A10" s="90" t="s">
        <v>96</v>
      </c>
      <c r="B10" s="90" t="s">
        <v>98</v>
      </c>
      <c r="C10" s="16">
        <v>1</v>
      </c>
      <c r="D10" s="16">
        <v>74602</v>
      </c>
      <c r="E10" s="16"/>
      <c r="F10" s="17" t="s">
        <v>83</v>
      </c>
      <c r="G10" s="17" t="s">
        <v>86</v>
      </c>
      <c r="H10" s="17" t="s">
        <v>100</v>
      </c>
      <c r="I10" s="16">
        <v>1</v>
      </c>
      <c r="J10" s="16"/>
      <c r="K10" s="16"/>
      <c r="L10" s="16"/>
      <c r="M10" s="16"/>
      <c r="N10" s="91" t="s">
        <v>56</v>
      </c>
      <c r="O10" s="16">
        <f>ROUND(IF(N10="m3",I10*J10*K10*L10,IF(N10="m2-LxH",I10*J10*L10,IF(N10="m2-LxW",I10*J10*K10,IF(N10="rm",I10*L10,IF(N10="lm",I10*J10,IF(N10="unit",I10,"NA")))))),2)</f>
        <v>1</v>
      </c>
      <c r="P10" s="18">
        <v>44830</v>
      </c>
      <c r="Q10" s="18"/>
      <c r="R10" s="19">
        <v>1</v>
      </c>
      <c r="S10" s="19">
        <v>1</v>
      </c>
      <c r="T10" s="19">
        <v>0</v>
      </c>
      <c r="U10" s="20">
        <f>IF(ISBLANK(Table1[[#This Row],[OHC Date]]),$B$7-Table1[[#This Row],[HOC Date]]+1,Table1[[#This Row],[OHC Date]]-Table1[[#This Row],[HOC Date]]+1)/7</f>
        <v>8.7142857142857135</v>
      </c>
      <c r="V10" s="21">
        <v>50703.26</v>
      </c>
      <c r="W10" s="21">
        <v>2807</v>
      </c>
      <c r="X10" s="21">
        <f>ROUND(0.7*Table1[[#This Row],[E&amp;D Rate per unit]]*R10*Table1[[#This Row],[Quantity]],2)</f>
        <v>35492.28</v>
      </c>
      <c r="Y10" s="21">
        <f>ROUND(O10*U10*W10*S10,2)</f>
        <v>24461</v>
      </c>
      <c r="Z10" s="21">
        <f>ROUND(0.3*T10*Table1[[#This Row],[E&amp;D Rate per unit]]*Table1[[#This Row],[Quantity]],2)</f>
        <v>0</v>
      </c>
      <c r="AA10" s="21">
        <v>59953.279999999999</v>
      </c>
      <c r="AB10" s="21">
        <v>47522.28</v>
      </c>
      <c r="AC10" s="21">
        <v>12431</v>
      </c>
      <c r="AD10" s="16" t="s">
        <v>85</v>
      </c>
      <c r="AE10" s="153">
        <v>47522.28</v>
      </c>
      <c r="AF10" s="161">
        <f>Table1[[#This Row],[Certified Amount (Cum)]]-Table1[[#This Row],[Certified Amount (Previous)]]</f>
        <v>12431</v>
      </c>
      <c r="AG10" s="160">
        <f t="shared" ref="AG10:AG73" si="0">SUM(X10,Y10,Z10)</f>
        <v>59953.279999999999</v>
      </c>
      <c r="AH10" s="158">
        <f>Table1[[#This Row],[Certified Amount (Cum)]]-Table1[[#This Row],[Total Amount]]</f>
        <v>0</v>
      </c>
    </row>
    <row r="11" spans="1:38" ht="30" customHeight="1" x14ac:dyDescent="0.3">
      <c r="A11" s="90" t="s">
        <v>92</v>
      </c>
      <c r="B11" s="90" t="s">
        <v>99</v>
      </c>
      <c r="C11" s="16"/>
      <c r="D11" s="16"/>
      <c r="E11" s="16"/>
      <c r="F11" s="17" t="s">
        <v>102</v>
      </c>
      <c r="G11" s="17" t="s">
        <v>103</v>
      </c>
      <c r="H11" s="16" t="s">
        <v>103</v>
      </c>
      <c r="I11" s="16">
        <v>1</v>
      </c>
      <c r="J11" s="16"/>
      <c r="K11" s="16"/>
      <c r="L11" s="16"/>
      <c r="M11" s="16"/>
      <c r="N11" s="91" t="s">
        <v>56</v>
      </c>
      <c r="O11" s="16">
        <f>ROUND(IF(N11="m3",I11*J11*K11*L11,IF(N11="m2-LxH",I11*J11*L11,IF(N11="m2-LxW",I11*J11*K11,IF(N11="rm",I11*L11,IF(N11="lm",I11*J11,IF(N11="unit",I11,"NA")))))),2)</f>
        <v>1</v>
      </c>
      <c r="P11" s="18">
        <v>44819</v>
      </c>
      <c r="Q11" s="18">
        <v>44835</v>
      </c>
      <c r="R11" s="19">
        <v>0</v>
      </c>
      <c r="S11" s="19">
        <v>1</v>
      </c>
      <c r="T11" s="19">
        <v>0</v>
      </c>
      <c r="U11" s="20">
        <f>IF(ISBLANK(Table1[[#This Row],[OHC Date]]),$B$7-Table1[[#This Row],[HOC Date]]+1,Table1[[#This Row],[OHC Date]]-Table1[[#This Row],[HOC Date]]+1)/7</f>
        <v>2.4285714285714284</v>
      </c>
      <c r="V11" s="21">
        <v>0</v>
      </c>
      <c r="W11" s="21">
        <v>200</v>
      </c>
      <c r="X11" s="21">
        <f>ROUND(0.7*Table1[[#This Row],[E&amp;D Rate per unit]]*R11*Table1[[#This Row],[Quantity]],2)</f>
        <v>0</v>
      </c>
      <c r="Y11" s="21">
        <f>ROUND(O11*U11*W11*S11,2)</f>
        <v>485.71</v>
      </c>
      <c r="Z11" s="21">
        <f>ROUND(0.3*T11*Table1[[#This Row],[E&amp;D Rate per unit]]*Table1[[#This Row],[Quantity]],2)</f>
        <v>0</v>
      </c>
      <c r="AA11" s="21">
        <v>485.71</v>
      </c>
      <c r="AB11" s="21">
        <v>485.71</v>
      </c>
      <c r="AC11" s="21">
        <v>0</v>
      </c>
      <c r="AD11" s="16" t="s">
        <v>104</v>
      </c>
      <c r="AE11" s="153">
        <v>485.71</v>
      </c>
      <c r="AF11" s="161">
        <f>Table1[[#This Row],[Certified Amount (Cum)]]-Table1[[#This Row],[Certified Amount (Previous)]]</f>
        <v>0</v>
      </c>
      <c r="AG11" s="160">
        <f t="shared" si="0"/>
        <v>485.71</v>
      </c>
      <c r="AH11" s="158">
        <f>Table1[[#This Row],[Certified Amount (Cum)]]-Table1[[#This Row],[Total Amount]]</f>
        <v>0</v>
      </c>
    </row>
    <row r="12" spans="1:38" ht="30" customHeight="1" x14ac:dyDescent="0.3">
      <c r="A12" s="107" t="s">
        <v>159</v>
      </c>
      <c r="B12" s="90" t="s">
        <v>99</v>
      </c>
      <c r="C12" s="108"/>
      <c r="D12" s="108"/>
      <c r="E12" s="108"/>
      <c r="F12" s="109" t="s">
        <v>160</v>
      </c>
      <c r="G12" s="17"/>
      <c r="H12" s="108"/>
      <c r="I12" s="108">
        <v>1</v>
      </c>
      <c r="J12" s="16"/>
      <c r="K12" s="16"/>
      <c r="L12" s="16"/>
      <c r="M12" s="16"/>
      <c r="N12" s="110" t="s">
        <v>56</v>
      </c>
      <c r="O12" s="16">
        <f>ROUND(IF(N12="m3",I12*J12*K12*L12,IF(N12="m2-LxH",I12*J12*L12,IF(N12="m2-LxW",I12*J12*K12,IF(N12="rm",I12*L12,IF(N12="lm",I12*J12,IF(N12="unit",I12,"NA")))))),2)</f>
        <v>1</v>
      </c>
      <c r="P12" s="18">
        <v>44824</v>
      </c>
      <c r="Q12" s="124"/>
      <c r="R12" s="111">
        <v>0.95</v>
      </c>
      <c r="S12" s="111">
        <v>0.95</v>
      </c>
      <c r="T12" s="111">
        <v>0</v>
      </c>
      <c r="U12" s="112">
        <f>IF(ISBLANK(Table1[[#This Row],[OHC Date]]),$B$7-Table1[[#This Row],[HOC Date]]+1,Table1[[#This Row],[OHC Date]]-Table1[[#This Row],[HOC Date]]+1)/7</f>
        <v>9.5714285714285712</v>
      </c>
      <c r="V12" s="113">
        <v>191160</v>
      </c>
      <c r="W12" s="113">
        <v>6716</v>
      </c>
      <c r="X12" s="113">
        <f>ROUND(0.7*Table1[[#This Row],[E&amp;D Rate per unit]]*R12*Table1[[#This Row],[Quantity]],2)</f>
        <v>127121.4</v>
      </c>
      <c r="Y12" s="21">
        <f>ROUND(O12*U12*W12*S12,2)</f>
        <v>61067.63</v>
      </c>
      <c r="Z12" s="113">
        <f>ROUND(0.3*T12*Table1[[#This Row],[E&amp;D Rate per unit]]*Table1[[#This Row],[Quantity]],2)</f>
        <v>0</v>
      </c>
      <c r="AA12" s="113">
        <v>188189.03</v>
      </c>
      <c r="AB12" s="135">
        <v>159933.85999999999</v>
      </c>
      <c r="AC12" s="135">
        <v>28255.170000000013</v>
      </c>
      <c r="AD12" s="114"/>
      <c r="AE12" s="153">
        <v>159933.85999999999</v>
      </c>
      <c r="AF12" s="161">
        <f>Table1[[#This Row],[Certified Amount (Cum)]]-Table1[[#This Row],[Certified Amount (Previous)]]</f>
        <v>28255.170000000013</v>
      </c>
      <c r="AG12" s="160">
        <f t="shared" si="0"/>
        <v>188189.03</v>
      </c>
      <c r="AH12" s="158">
        <f>Table1[[#This Row],[Certified Amount (Cum)]]-Table1[[#This Row],[Total Amount]]</f>
        <v>0</v>
      </c>
    </row>
    <row r="13" spans="1:38" ht="30" customHeight="1" x14ac:dyDescent="0.3">
      <c r="A13" s="107" t="s">
        <v>91</v>
      </c>
      <c r="B13" s="90" t="s">
        <v>99</v>
      </c>
      <c r="C13" s="108" t="s">
        <v>79</v>
      </c>
      <c r="D13" s="108">
        <v>74653</v>
      </c>
      <c r="E13" s="108">
        <v>76751</v>
      </c>
      <c r="F13" s="109" t="s">
        <v>164</v>
      </c>
      <c r="G13" s="17" t="s">
        <v>161</v>
      </c>
      <c r="H13" s="108" t="s">
        <v>129</v>
      </c>
      <c r="I13" s="108">
        <v>1</v>
      </c>
      <c r="J13" s="108">
        <v>25.2</v>
      </c>
      <c r="K13" s="108">
        <v>1.2</v>
      </c>
      <c r="L13" s="108">
        <v>1</v>
      </c>
      <c r="M13" s="108">
        <v>1</v>
      </c>
      <c r="N13" s="110" t="s">
        <v>162</v>
      </c>
      <c r="O13" s="16">
        <f>ROUND(IF(N13="m3",I13*J13*K13*L13,IF(N13="m2-LxH",I13*J13*L13,IF(N13="m2-LxW",I13*J13*K13,IF(N13="rm",I13*L13,IF(N13="lm",I13*J13,IF(N13="unit",I13,"NA")))))),2)</f>
        <v>30.24</v>
      </c>
      <c r="P13" s="18">
        <v>44824</v>
      </c>
      <c r="Q13" s="124">
        <v>44830</v>
      </c>
      <c r="R13" s="111">
        <v>1</v>
      </c>
      <c r="S13" s="111">
        <v>1</v>
      </c>
      <c r="T13" s="111">
        <v>1</v>
      </c>
      <c r="U13" s="112">
        <f>IF(ISBLANK(Table1[[#This Row],[OHC Date]]),$B$7-Table1[[#This Row],[HOC Date]]+1,Table1[[#This Row],[OHC Date]]-Table1[[#This Row],[HOC Date]]+1)/7</f>
        <v>1</v>
      </c>
      <c r="V13" s="113">
        <v>36.520000000000003</v>
      </c>
      <c r="W13" s="113">
        <f>0.42*7</f>
        <v>2.94</v>
      </c>
      <c r="X13" s="113">
        <f>ROUND(0.7*Table1[[#This Row],[E&amp;D Rate per unit]]*R13*Table1[[#This Row],[Quantity]],2)</f>
        <v>773.06</v>
      </c>
      <c r="Y13" s="113">
        <f>ROUND(O13*U13*W13*S13,2)</f>
        <v>88.91</v>
      </c>
      <c r="Z13" s="113">
        <f>ROUND(0.3*T13*Table1[[#This Row],[E&amp;D Rate per unit]]*Table1[[#This Row],[Quantity]],2)</f>
        <v>331.31</v>
      </c>
      <c r="AA13" s="113">
        <v>1193.28</v>
      </c>
      <c r="AB13" s="135">
        <v>1193.28</v>
      </c>
      <c r="AC13" s="135">
        <v>0</v>
      </c>
      <c r="AD13" s="114"/>
      <c r="AE13" s="153">
        <v>1193.28</v>
      </c>
      <c r="AF13" s="161">
        <f>Table1[[#This Row],[Certified Amount (Cum)]]-Table1[[#This Row],[Certified Amount (Previous)]]</f>
        <v>0</v>
      </c>
      <c r="AG13" s="160">
        <f t="shared" si="0"/>
        <v>1193.28</v>
      </c>
      <c r="AH13" s="158">
        <f>Table1[[#This Row],[Certified Amount (Cum)]]-Table1[[#This Row],[Total Amount]]</f>
        <v>0</v>
      </c>
    </row>
    <row r="14" spans="1:38" ht="30" customHeight="1" x14ac:dyDescent="0.3">
      <c r="A14" s="107" t="s">
        <v>91</v>
      </c>
      <c r="B14" s="90" t="s">
        <v>99</v>
      </c>
      <c r="C14" s="108" t="s">
        <v>163</v>
      </c>
      <c r="D14" s="108">
        <v>74654</v>
      </c>
      <c r="E14" s="108"/>
      <c r="F14" s="109" t="s">
        <v>164</v>
      </c>
      <c r="G14" s="17" t="s">
        <v>165</v>
      </c>
      <c r="H14" s="108" t="s">
        <v>128</v>
      </c>
      <c r="I14" s="108">
        <v>1</v>
      </c>
      <c r="J14" s="108">
        <v>5</v>
      </c>
      <c r="K14" s="108">
        <v>0.5</v>
      </c>
      <c r="L14" s="108">
        <v>1</v>
      </c>
      <c r="M14" s="108">
        <v>1</v>
      </c>
      <c r="N14" s="110" t="s">
        <v>162</v>
      </c>
      <c r="O14" s="16">
        <f>ROUND(IF(N14="m3",I14*J14*K14*L14,IF(N14="m2-LxH",I14*J14*L14,IF(N14="m2-LxW",I14*J14*K14,IF(N14="rm",I14*L14,IF(N14="lm",I14*J14,IF(N14="unit",I14,"NA")))))),2)</f>
        <v>2.5</v>
      </c>
      <c r="P14" s="18">
        <v>44824</v>
      </c>
      <c r="Q14" s="124"/>
      <c r="R14" s="111">
        <v>1</v>
      </c>
      <c r="S14" s="111">
        <v>1</v>
      </c>
      <c r="T14" s="111">
        <v>0</v>
      </c>
      <c r="U14" s="112">
        <f>IF(ISBLANK(Table1[[#This Row],[OHC Date]]),$B$7-Table1[[#This Row],[HOC Date]]+1,Table1[[#This Row],[OHC Date]]-Table1[[#This Row],[HOC Date]]+1)/7</f>
        <v>9.5714285714285712</v>
      </c>
      <c r="V14" s="113">
        <v>32.75</v>
      </c>
      <c r="W14" s="113">
        <v>1.05</v>
      </c>
      <c r="X14" s="113">
        <f>ROUND(0.7*Table1[[#This Row],[E&amp;D Rate per unit]]*R14*Table1[[#This Row],[Quantity]],2)</f>
        <v>57.31</v>
      </c>
      <c r="Y14" s="113">
        <f>ROUND(O14*U14*W14*S14,2)</f>
        <v>25.13</v>
      </c>
      <c r="Z14" s="113">
        <f>ROUND(0.3*T14*Table1[[#This Row],[E&amp;D Rate per unit]]*Table1[[#This Row],[Quantity]],2)</f>
        <v>0</v>
      </c>
      <c r="AA14" s="113">
        <v>82.44</v>
      </c>
      <c r="AB14" s="135">
        <v>70.81</v>
      </c>
      <c r="AC14" s="135">
        <v>11.629999999999995</v>
      </c>
      <c r="AD14" s="114"/>
      <c r="AE14" s="153">
        <v>70.81</v>
      </c>
      <c r="AF14" s="161">
        <f>Table1[[#This Row],[Certified Amount (Cum)]]-Table1[[#This Row],[Certified Amount (Previous)]]</f>
        <v>11.629999999999995</v>
      </c>
      <c r="AG14" s="160">
        <f t="shared" si="0"/>
        <v>82.44</v>
      </c>
      <c r="AH14" s="158">
        <f>Table1[[#This Row],[Certified Amount (Cum)]]-Table1[[#This Row],[Total Amount]]</f>
        <v>0</v>
      </c>
    </row>
    <row r="15" spans="1:38" ht="30" customHeight="1" x14ac:dyDescent="0.3">
      <c r="A15" s="107" t="s">
        <v>91</v>
      </c>
      <c r="B15" s="90" t="s">
        <v>99</v>
      </c>
      <c r="C15" s="108" t="s">
        <v>166</v>
      </c>
      <c r="D15" s="108">
        <v>74655</v>
      </c>
      <c r="E15" s="108">
        <v>76752</v>
      </c>
      <c r="F15" s="109" t="s">
        <v>164</v>
      </c>
      <c r="G15" s="17" t="s">
        <v>161</v>
      </c>
      <c r="H15" s="108" t="s">
        <v>128</v>
      </c>
      <c r="I15" s="108">
        <v>1</v>
      </c>
      <c r="J15" s="108">
        <v>16.2</v>
      </c>
      <c r="K15" s="108">
        <v>0.5</v>
      </c>
      <c r="L15" s="108">
        <v>1</v>
      </c>
      <c r="M15" s="108">
        <v>1</v>
      </c>
      <c r="N15" s="110" t="s">
        <v>162</v>
      </c>
      <c r="O15" s="110">
        <f t="shared" ref="O15:O16" si="1">ROUND(IF(N15="m3",I15*J15*K15*L15,IF(N15="m2-LxH",I15*J15*L15,IF(N15="m2-LxW",I15*J15*K15,IF(N15="rm",I15*L15,IF(N15="lm",I15*J15,IF(N15="unit",I15,"NA")))))),2)</f>
        <v>8.1</v>
      </c>
      <c r="P15" s="18">
        <v>44825</v>
      </c>
      <c r="Q15" s="124">
        <v>44831</v>
      </c>
      <c r="R15" s="111">
        <v>1</v>
      </c>
      <c r="S15" s="111">
        <v>1</v>
      </c>
      <c r="T15" s="111">
        <v>1</v>
      </c>
      <c r="U15" s="112">
        <f>IF(ISBLANK(Table1[[#This Row],[OHC Date]]),$B$7-Table1[[#This Row],[HOC Date]]+1,Table1[[#This Row],[OHC Date]]-Table1[[#This Row],[HOC Date]]+1)/7</f>
        <v>1</v>
      </c>
      <c r="V15" s="113">
        <v>32.75</v>
      </c>
      <c r="W15" s="113">
        <v>1.05</v>
      </c>
      <c r="X15" s="113">
        <f>ROUND(0.7*Table1[[#This Row],[E&amp;D Rate per unit]]*R15*Table1[[#This Row],[Quantity]],2)</f>
        <v>185.69</v>
      </c>
      <c r="Y15" s="113">
        <f t="shared" ref="Y15:Y16" si="2">ROUND(O15*U15*W15*S15,2)</f>
        <v>8.51</v>
      </c>
      <c r="Z15" s="113">
        <f>ROUND(0.3*T15*Table1[[#This Row],[E&amp;D Rate per unit]]*Table1[[#This Row],[Quantity]],2)</f>
        <v>79.58</v>
      </c>
      <c r="AA15" s="113">
        <v>273.77999999999997</v>
      </c>
      <c r="AB15" s="135">
        <v>273.77999999999997</v>
      </c>
      <c r="AC15" s="135">
        <v>0</v>
      </c>
      <c r="AD15" s="114"/>
      <c r="AE15" s="153">
        <v>273.77999999999997</v>
      </c>
      <c r="AF15" s="161">
        <f>Table1[[#This Row],[Certified Amount (Cum)]]-Table1[[#This Row],[Certified Amount (Previous)]]</f>
        <v>0</v>
      </c>
      <c r="AG15" s="160">
        <f t="shared" si="0"/>
        <v>273.77999999999997</v>
      </c>
      <c r="AH15" s="158">
        <f>Table1[[#This Row],[Certified Amount (Cum)]]-Table1[[#This Row],[Total Amount]]</f>
        <v>0</v>
      </c>
    </row>
    <row r="16" spans="1:38" ht="30" customHeight="1" x14ac:dyDescent="0.3">
      <c r="A16" s="107" t="s">
        <v>91</v>
      </c>
      <c r="B16" s="90" t="s">
        <v>99</v>
      </c>
      <c r="C16" s="108" t="s">
        <v>167</v>
      </c>
      <c r="D16" s="108">
        <v>74660</v>
      </c>
      <c r="E16" s="108">
        <v>76753</v>
      </c>
      <c r="F16" s="109" t="s">
        <v>164</v>
      </c>
      <c r="G16" s="17" t="s">
        <v>161</v>
      </c>
      <c r="H16" s="108" t="s">
        <v>129</v>
      </c>
      <c r="I16" s="108">
        <v>1</v>
      </c>
      <c r="J16" s="108">
        <v>1.8</v>
      </c>
      <c r="K16" s="108">
        <v>1</v>
      </c>
      <c r="L16" s="108">
        <v>1</v>
      </c>
      <c r="M16" s="108">
        <v>1</v>
      </c>
      <c r="N16" s="110" t="s">
        <v>162</v>
      </c>
      <c r="O16" s="110">
        <f t="shared" si="1"/>
        <v>1.8</v>
      </c>
      <c r="P16" s="18">
        <v>44828</v>
      </c>
      <c r="Q16" s="124">
        <v>44830</v>
      </c>
      <c r="R16" s="111">
        <v>1</v>
      </c>
      <c r="S16" s="111">
        <v>1</v>
      </c>
      <c r="T16" s="111">
        <v>1</v>
      </c>
      <c r="U16" s="112">
        <f>IF(ISBLANK(Table1[[#This Row],[OHC Date]]),$B$7-Table1[[#This Row],[HOC Date]]+1,Table1[[#This Row],[OHC Date]]-Table1[[#This Row],[HOC Date]]+1)/7</f>
        <v>0.42857142857142855</v>
      </c>
      <c r="V16" s="113">
        <v>36.520000000000003</v>
      </c>
      <c r="W16" s="113">
        <f>0.42*7</f>
        <v>2.94</v>
      </c>
      <c r="X16" s="113">
        <f>ROUND(0.7*Table1[[#This Row],[E&amp;D Rate per unit]]*R16*Table1[[#This Row],[Quantity]],2)</f>
        <v>46.02</v>
      </c>
      <c r="Y16" s="113">
        <f t="shared" si="2"/>
        <v>2.27</v>
      </c>
      <c r="Z16" s="113">
        <f>ROUND(0.3*T16*Table1[[#This Row],[E&amp;D Rate per unit]]*Table1[[#This Row],[Quantity]],2)</f>
        <v>19.72</v>
      </c>
      <c r="AA16" s="113">
        <v>68.010000000000005</v>
      </c>
      <c r="AB16" s="135">
        <v>68.010000000000005</v>
      </c>
      <c r="AC16" s="135">
        <v>0</v>
      </c>
      <c r="AD16" s="114"/>
      <c r="AE16" s="153">
        <v>68.010000000000005</v>
      </c>
      <c r="AF16" s="161">
        <f>Table1[[#This Row],[Certified Amount (Cum)]]-Table1[[#This Row],[Certified Amount (Previous)]]</f>
        <v>0</v>
      </c>
      <c r="AG16" s="160">
        <f t="shared" si="0"/>
        <v>68.010000000000005</v>
      </c>
      <c r="AH16" s="158">
        <f>Table1[[#This Row],[Certified Amount (Cum)]]-Table1[[#This Row],[Total Amount]]</f>
        <v>0</v>
      </c>
    </row>
    <row r="17" spans="1:44" ht="30" customHeight="1" x14ac:dyDescent="0.3">
      <c r="A17" s="107" t="s">
        <v>91</v>
      </c>
      <c r="B17" s="90" t="s">
        <v>99</v>
      </c>
      <c r="C17" s="108" t="s">
        <v>168</v>
      </c>
      <c r="D17" s="108">
        <v>74666</v>
      </c>
      <c r="E17" s="108">
        <v>76754</v>
      </c>
      <c r="F17" s="109" t="s">
        <v>164</v>
      </c>
      <c r="G17" s="17" t="s">
        <v>161</v>
      </c>
      <c r="H17" s="108" t="s">
        <v>129</v>
      </c>
      <c r="I17" s="108">
        <v>1</v>
      </c>
      <c r="J17" s="108">
        <v>23.4</v>
      </c>
      <c r="K17" s="108">
        <v>0.75</v>
      </c>
      <c r="L17" s="108">
        <v>1</v>
      </c>
      <c r="M17" s="108">
        <v>1</v>
      </c>
      <c r="N17" s="110" t="s">
        <v>162</v>
      </c>
      <c r="O17" s="16">
        <f t="shared" ref="O17:O29" si="3">ROUND(IF(N17="m3",I17*J17*K17*L17,IF(N17="m2-LxH",I17*J17*L17,IF(N17="m2-LxW",I17*J17*K17,IF(N17="rm",I17*L17,IF(N17="lm",I17*J17,IF(N17="unit",I17,"NA")))))),2)</f>
        <v>17.55</v>
      </c>
      <c r="P17" s="18">
        <v>44830</v>
      </c>
      <c r="Q17" s="124">
        <v>44832</v>
      </c>
      <c r="R17" s="111">
        <v>1</v>
      </c>
      <c r="S17" s="111">
        <v>1</v>
      </c>
      <c r="T17" s="111">
        <v>1</v>
      </c>
      <c r="U17" s="112">
        <f>IF(ISBLANK(Table1[[#This Row],[OHC Date]]),$B$7-Table1[[#This Row],[HOC Date]]+1,Table1[[#This Row],[OHC Date]]-Table1[[#This Row],[HOC Date]]+1)/7</f>
        <v>0.42857142857142855</v>
      </c>
      <c r="V17" s="113">
        <v>36.520000000000003</v>
      </c>
      <c r="W17" s="113">
        <f>0.42*7</f>
        <v>2.94</v>
      </c>
      <c r="X17" s="113">
        <f>ROUND(0.7*Table1[[#This Row],[E&amp;D Rate per unit]]*R17*Table1[[#This Row],[Quantity]],2)</f>
        <v>448.65</v>
      </c>
      <c r="Y17" s="113">
        <f t="shared" ref="Y17:Y29" si="4">ROUND(O17*U17*W17*S17,2)</f>
        <v>22.11</v>
      </c>
      <c r="Z17" s="113">
        <f>ROUND(0.3*T17*Table1[[#This Row],[E&amp;D Rate per unit]]*Table1[[#This Row],[Quantity]],2)</f>
        <v>192.28</v>
      </c>
      <c r="AA17" s="113">
        <v>663.04</v>
      </c>
      <c r="AB17" s="135">
        <v>663.04</v>
      </c>
      <c r="AC17" s="135">
        <v>0</v>
      </c>
      <c r="AD17" s="114"/>
      <c r="AE17" s="153">
        <v>663.04</v>
      </c>
      <c r="AF17" s="161">
        <f>Table1[[#This Row],[Certified Amount (Cum)]]-Table1[[#This Row],[Certified Amount (Previous)]]</f>
        <v>0</v>
      </c>
      <c r="AG17" s="160">
        <f t="shared" si="0"/>
        <v>663.04</v>
      </c>
      <c r="AH17" s="158">
        <f>Table1[[#This Row],[Certified Amount (Cum)]]-Table1[[#This Row],[Total Amount]]</f>
        <v>0</v>
      </c>
    </row>
    <row r="18" spans="1:44" ht="30" customHeight="1" x14ac:dyDescent="0.3">
      <c r="A18" s="107" t="s">
        <v>91</v>
      </c>
      <c r="B18" s="90" t="s">
        <v>99</v>
      </c>
      <c r="C18" s="108" t="s">
        <v>169</v>
      </c>
      <c r="D18" s="108">
        <v>74670</v>
      </c>
      <c r="E18" s="108"/>
      <c r="F18" s="109" t="s">
        <v>164</v>
      </c>
      <c r="G18" s="17" t="s">
        <v>161</v>
      </c>
      <c r="H18" s="108" t="s">
        <v>128</v>
      </c>
      <c r="I18" s="108">
        <v>2</v>
      </c>
      <c r="J18" s="108">
        <v>9.8000000000000007</v>
      </c>
      <c r="K18" s="108">
        <v>0.5</v>
      </c>
      <c r="L18" s="108">
        <v>1</v>
      </c>
      <c r="M18" s="108">
        <v>1</v>
      </c>
      <c r="N18" s="110" t="s">
        <v>162</v>
      </c>
      <c r="O18" s="16">
        <f t="shared" si="3"/>
        <v>9.8000000000000007</v>
      </c>
      <c r="P18" s="18">
        <v>44832</v>
      </c>
      <c r="Q18" s="124"/>
      <c r="R18" s="111">
        <v>1</v>
      </c>
      <c r="S18" s="111">
        <v>1</v>
      </c>
      <c r="T18" s="111">
        <v>0</v>
      </c>
      <c r="U18" s="112">
        <f>IF(ISBLANK(Table1[[#This Row],[OHC Date]]),$B$7-Table1[[#This Row],[HOC Date]]+1,Table1[[#This Row],[OHC Date]]-Table1[[#This Row],[HOC Date]]+1)/7</f>
        <v>8.4285714285714288</v>
      </c>
      <c r="V18" s="113">
        <v>32.75</v>
      </c>
      <c r="W18" s="113">
        <v>1.05</v>
      </c>
      <c r="X18" s="113">
        <f>ROUND(0.7*Table1[[#This Row],[E&amp;D Rate per unit]]*R18*Table1[[#This Row],[Quantity]],2)</f>
        <v>224.67</v>
      </c>
      <c r="Y18" s="113">
        <f t="shared" si="4"/>
        <v>86.73</v>
      </c>
      <c r="Z18" s="113">
        <f>ROUND(0.3*T18*Table1[[#This Row],[E&amp;D Rate per unit]]*Table1[[#This Row],[Quantity]],2)</f>
        <v>0</v>
      </c>
      <c r="AA18" s="113">
        <v>311.39999999999998</v>
      </c>
      <c r="AB18" s="135">
        <v>291.69</v>
      </c>
      <c r="AC18" s="135">
        <v>19.70999999999998</v>
      </c>
      <c r="AD18" s="114"/>
      <c r="AE18" s="153">
        <v>291.69</v>
      </c>
      <c r="AF18" s="161">
        <f>Table1[[#This Row],[Certified Amount (Cum)]]-Table1[[#This Row],[Certified Amount (Previous)]]</f>
        <v>19.70999999999998</v>
      </c>
      <c r="AG18" s="160">
        <f t="shared" si="0"/>
        <v>311.39999999999998</v>
      </c>
      <c r="AH18" s="158">
        <f>Table1[[#This Row],[Certified Amount (Cum)]]-Table1[[#This Row],[Total Amount]]</f>
        <v>0</v>
      </c>
    </row>
    <row r="19" spans="1:44" ht="30" customHeight="1" x14ac:dyDescent="0.3">
      <c r="A19" s="107" t="s">
        <v>91</v>
      </c>
      <c r="B19" s="90" t="s">
        <v>99</v>
      </c>
      <c r="C19" s="108" t="s">
        <v>170</v>
      </c>
      <c r="D19" s="108">
        <v>74671</v>
      </c>
      <c r="E19" s="108"/>
      <c r="F19" s="109" t="s">
        <v>164</v>
      </c>
      <c r="G19" s="17" t="s">
        <v>161</v>
      </c>
      <c r="H19" s="108" t="s">
        <v>128</v>
      </c>
      <c r="I19" s="108">
        <v>1</v>
      </c>
      <c r="J19" s="108">
        <v>13.8</v>
      </c>
      <c r="K19" s="108">
        <v>0.5</v>
      </c>
      <c r="L19" s="108">
        <v>1</v>
      </c>
      <c r="M19" s="108">
        <v>1</v>
      </c>
      <c r="N19" s="110" t="s">
        <v>162</v>
      </c>
      <c r="O19" s="110">
        <f t="shared" si="3"/>
        <v>6.9</v>
      </c>
      <c r="P19" s="124">
        <v>44832</v>
      </c>
      <c r="Q19" s="124"/>
      <c r="R19" s="111">
        <v>1</v>
      </c>
      <c r="S19" s="111">
        <v>1</v>
      </c>
      <c r="T19" s="111">
        <v>0</v>
      </c>
      <c r="U19" s="112">
        <f>IF(ISBLANK(Table1[[#This Row],[OHC Date]]),$B$7-Table1[[#This Row],[HOC Date]]+1,Table1[[#This Row],[OHC Date]]-Table1[[#This Row],[HOC Date]]+1)/7</f>
        <v>8.4285714285714288</v>
      </c>
      <c r="V19" s="113">
        <v>32.75</v>
      </c>
      <c r="W19" s="113">
        <v>1.05</v>
      </c>
      <c r="X19" s="113">
        <f>ROUND(0.7*Table1[[#This Row],[E&amp;D Rate per unit]]*R19*Table1[[#This Row],[Quantity]],2)</f>
        <v>158.18</v>
      </c>
      <c r="Y19" s="113">
        <f t="shared" si="4"/>
        <v>61.07</v>
      </c>
      <c r="Z19" s="113">
        <f>ROUND(0.3*T19*Table1[[#This Row],[E&amp;D Rate per unit]]*Table1[[#This Row],[Quantity]],2)</f>
        <v>0</v>
      </c>
      <c r="AA19" s="113">
        <v>219.25</v>
      </c>
      <c r="AB19" s="135">
        <v>187.16</v>
      </c>
      <c r="AC19" s="135">
        <v>32.090000000000003</v>
      </c>
      <c r="AD19" s="114"/>
      <c r="AE19" s="153">
        <v>187.16</v>
      </c>
      <c r="AF19" s="161">
        <f>Table1[[#This Row],[Certified Amount (Cum)]]-Table1[[#This Row],[Certified Amount (Previous)]]</f>
        <v>32.090000000000003</v>
      </c>
      <c r="AG19" s="160">
        <f t="shared" si="0"/>
        <v>219.25</v>
      </c>
      <c r="AH19" s="158">
        <f>Table1[[#This Row],[Certified Amount (Cum)]]-Table1[[#This Row],[Total Amount]]</f>
        <v>0</v>
      </c>
    </row>
    <row r="20" spans="1:44" ht="30" customHeight="1" x14ac:dyDescent="0.3">
      <c r="A20" s="107" t="s">
        <v>91</v>
      </c>
      <c r="B20" s="90" t="s">
        <v>99</v>
      </c>
      <c r="C20" s="108" t="s">
        <v>177</v>
      </c>
      <c r="D20" s="108">
        <v>74662</v>
      </c>
      <c r="E20" s="108"/>
      <c r="F20" s="109" t="s">
        <v>164</v>
      </c>
      <c r="G20" s="17" t="s">
        <v>161</v>
      </c>
      <c r="H20" s="108" t="s">
        <v>178</v>
      </c>
      <c r="I20" s="108">
        <v>4</v>
      </c>
      <c r="J20" s="108">
        <v>10.8</v>
      </c>
      <c r="K20" s="108">
        <v>1.8</v>
      </c>
      <c r="L20" s="108">
        <v>1</v>
      </c>
      <c r="M20" s="108">
        <v>4</v>
      </c>
      <c r="N20" s="110" t="s">
        <v>162</v>
      </c>
      <c r="O20" s="110">
        <f t="shared" si="3"/>
        <v>77.760000000000005</v>
      </c>
      <c r="P20" s="124">
        <v>44826</v>
      </c>
      <c r="Q20" s="124"/>
      <c r="R20" s="111">
        <v>1</v>
      </c>
      <c r="S20" s="111">
        <v>1</v>
      </c>
      <c r="T20" s="111">
        <v>0</v>
      </c>
      <c r="U20" s="112">
        <f>IF(ISBLANK(Table1[[#This Row],[OHC Date]]),$B$7-Table1[[#This Row],[HOC Date]]+1,Table1[[#This Row],[OHC Date]]-Table1[[#This Row],[HOC Date]]+1)/7</f>
        <v>9.2857142857142865</v>
      </c>
      <c r="V20" s="113">
        <v>6.63</v>
      </c>
      <c r="W20" s="113">
        <v>0.7</v>
      </c>
      <c r="X20" s="113">
        <f>ROUND(0.7*Table1[[#This Row],[E&amp;D Rate per unit]]*R20*Table1[[#This Row],[Quantity]],2)</f>
        <v>360.88</v>
      </c>
      <c r="Y20" s="113">
        <f t="shared" si="4"/>
        <v>505.44</v>
      </c>
      <c r="Z20" s="113">
        <f>ROUND(0.3*T20*Table1[[#This Row],[E&amp;D Rate per unit]]*Table1[[#This Row],[Quantity]],2)</f>
        <v>0</v>
      </c>
      <c r="AA20" s="113">
        <v>866.32</v>
      </c>
      <c r="AB20" s="135">
        <v>625.26</v>
      </c>
      <c r="AC20" s="135">
        <v>241.06000000000006</v>
      </c>
      <c r="AD20" s="114"/>
      <c r="AE20" s="153">
        <v>625.26</v>
      </c>
      <c r="AF20" s="161">
        <f>Table1[[#This Row],[Certified Amount (Cum)]]-Table1[[#This Row],[Certified Amount (Previous)]]</f>
        <v>241.05999999999995</v>
      </c>
      <c r="AG20" s="160">
        <f t="shared" si="0"/>
        <v>866.31999999999994</v>
      </c>
      <c r="AH20" s="158">
        <f>Table1[[#This Row],[Certified Amount (Cum)]]-Table1[[#This Row],[Total Amount]]</f>
        <v>0</v>
      </c>
    </row>
    <row r="21" spans="1:44" ht="30" customHeight="1" x14ac:dyDescent="0.3">
      <c r="A21" s="107" t="s">
        <v>91</v>
      </c>
      <c r="B21" s="90" t="s">
        <v>99</v>
      </c>
      <c r="C21" s="108" t="s">
        <v>179</v>
      </c>
      <c r="D21" s="108">
        <v>74663</v>
      </c>
      <c r="E21" s="108">
        <v>76758</v>
      </c>
      <c r="F21" s="109" t="s">
        <v>180</v>
      </c>
      <c r="G21" s="17" t="s">
        <v>161</v>
      </c>
      <c r="H21" s="108" t="s">
        <v>178</v>
      </c>
      <c r="I21" s="108">
        <v>4</v>
      </c>
      <c r="J21" s="108">
        <v>3.6</v>
      </c>
      <c r="K21" s="108">
        <v>3.6</v>
      </c>
      <c r="L21" s="108">
        <v>1</v>
      </c>
      <c r="M21" s="108">
        <v>4</v>
      </c>
      <c r="N21" s="110" t="s">
        <v>162</v>
      </c>
      <c r="O21" s="110">
        <f t="shared" si="3"/>
        <v>51.84</v>
      </c>
      <c r="P21" s="124">
        <v>44826</v>
      </c>
      <c r="Q21" s="124">
        <v>44849</v>
      </c>
      <c r="R21" s="111">
        <v>1</v>
      </c>
      <c r="S21" s="111">
        <v>1</v>
      </c>
      <c r="T21" s="111">
        <v>1</v>
      </c>
      <c r="U21" s="112">
        <f>IF(ISBLANK(Table1[[#This Row],[OHC Date]]),$B$7-Table1[[#This Row],[HOC Date]]+1,Table1[[#This Row],[OHC Date]]-Table1[[#This Row],[HOC Date]]+1)/7</f>
        <v>3.4285714285714284</v>
      </c>
      <c r="V21" s="113">
        <v>6.63</v>
      </c>
      <c r="W21" s="113">
        <v>0.7</v>
      </c>
      <c r="X21" s="113">
        <f>ROUND(0.7*Table1[[#This Row],[E&amp;D Rate per unit]]*R21*Table1[[#This Row],[Quantity]],2)</f>
        <v>240.59</v>
      </c>
      <c r="Y21" s="113">
        <f t="shared" si="4"/>
        <v>124.42</v>
      </c>
      <c r="Z21" s="113">
        <f>ROUND(0.3*T21*Table1[[#This Row],[E&amp;D Rate per unit]]*Table1[[#This Row],[Quantity]],2)</f>
        <v>103.11</v>
      </c>
      <c r="AA21" s="113">
        <v>468.12</v>
      </c>
      <c r="AB21" s="135">
        <v>468.12</v>
      </c>
      <c r="AC21" s="135">
        <v>0</v>
      </c>
      <c r="AD21" s="114"/>
      <c r="AE21" s="153">
        <v>468.12</v>
      </c>
      <c r="AF21" s="161">
        <f>Table1[[#This Row],[Certified Amount (Cum)]]-Table1[[#This Row],[Certified Amount (Previous)]]</f>
        <v>0</v>
      </c>
      <c r="AG21" s="160">
        <f t="shared" si="0"/>
        <v>468.12</v>
      </c>
      <c r="AH21" s="158">
        <f>Table1[[#This Row],[Certified Amount (Cum)]]-Table1[[#This Row],[Total Amount]]</f>
        <v>0</v>
      </c>
    </row>
    <row r="22" spans="1:44" ht="30" customHeight="1" x14ac:dyDescent="0.3">
      <c r="A22" s="107" t="s">
        <v>91</v>
      </c>
      <c r="B22" s="90" t="s">
        <v>99</v>
      </c>
      <c r="C22" s="108" t="s">
        <v>181</v>
      </c>
      <c r="D22" s="108">
        <v>74664</v>
      </c>
      <c r="E22" s="108">
        <v>76759</v>
      </c>
      <c r="F22" s="109" t="s">
        <v>182</v>
      </c>
      <c r="G22" s="17" t="s">
        <v>161</v>
      </c>
      <c r="H22" s="108" t="s">
        <v>178</v>
      </c>
      <c r="I22" s="108">
        <v>4</v>
      </c>
      <c r="J22" s="108">
        <v>3.6</v>
      </c>
      <c r="K22" s="108">
        <v>3.6</v>
      </c>
      <c r="L22" s="108">
        <v>1</v>
      </c>
      <c r="M22" s="108">
        <v>4</v>
      </c>
      <c r="N22" s="110" t="s">
        <v>162</v>
      </c>
      <c r="O22" s="110">
        <f t="shared" si="3"/>
        <v>51.84</v>
      </c>
      <c r="P22" s="124">
        <v>44826</v>
      </c>
      <c r="Q22" s="124">
        <v>44849</v>
      </c>
      <c r="R22" s="111">
        <v>1</v>
      </c>
      <c r="S22" s="111">
        <v>1</v>
      </c>
      <c r="T22" s="111">
        <v>1</v>
      </c>
      <c r="U22" s="112">
        <f>IF(ISBLANK(Table1[[#This Row],[OHC Date]]),$B$7-Table1[[#This Row],[HOC Date]]+1,Table1[[#This Row],[OHC Date]]-Table1[[#This Row],[HOC Date]]+1)/7</f>
        <v>3.4285714285714284</v>
      </c>
      <c r="V22" s="113">
        <v>6.63</v>
      </c>
      <c r="W22" s="113">
        <v>0.7</v>
      </c>
      <c r="X22" s="113">
        <f>ROUND(0.7*Table1[[#This Row],[E&amp;D Rate per unit]]*R22*Table1[[#This Row],[Quantity]],2)</f>
        <v>240.59</v>
      </c>
      <c r="Y22" s="113">
        <f t="shared" si="4"/>
        <v>124.42</v>
      </c>
      <c r="Z22" s="113">
        <f>ROUND(0.3*T22*Table1[[#This Row],[E&amp;D Rate per unit]]*Table1[[#This Row],[Quantity]],2)</f>
        <v>103.11</v>
      </c>
      <c r="AA22" s="113">
        <v>468.12</v>
      </c>
      <c r="AB22" s="135">
        <v>468.12</v>
      </c>
      <c r="AC22" s="135">
        <v>0</v>
      </c>
      <c r="AD22" s="114"/>
      <c r="AE22" s="153">
        <v>468.12</v>
      </c>
      <c r="AF22" s="161">
        <f>Table1[[#This Row],[Certified Amount (Cum)]]-Table1[[#This Row],[Certified Amount (Previous)]]</f>
        <v>0</v>
      </c>
      <c r="AG22" s="160">
        <f t="shared" si="0"/>
        <v>468.12</v>
      </c>
      <c r="AH22" s="158">
        <f>Table1[[#This Row],[Certified Amount (Cum)]]-Table1[[#This Row],[Total Amount]]</f>
        <v>0</v>
      </c>
    </row>
    <row r="23" spans="1:44" ht="30" customHeight="1" x14ac:dyDescent="0.3">
      <c r="A23" s="107" t="s">
        <v>91</v>
      </c>
      <c r="B23" s="90" t="s">
        <v>99</v>
      </c>
      <c r="C23" s="108" t="s">
        <v>183</v>
      </c>
      <c r="D23" s="108">
        <v>74665</v>
      </c>
      <c r="E23" s="108">
        <v>76760</v>
      </c>
      <c r="F23" s="109" t="s">
        <v>184</v>
      </c>
      <c r="G23" s="17" t="s">
        <v>161</v>
      </c>
      <c r="H23" s="108" t="s">
        <v>178</v>
      </c>
      <c r="I23" s="108">
        <v>4</v>
      </c>
      <c r="J23" s="108">
        <v>3.6</v>
      </c>
      <c r="K23" s="108">
        <v>3.6</v>
      </c>
      <c r="L23" s="108">
        <v>1</v>
      </c>
      <c r="M23" s="108">
        <v>4</v>
      </c>
      <c r="N23" s="110" t="s">
        <v>162</v>
      </c>
      <c r="O23" s="110">
        <f t="shared" si="3"/>
        <v>51.84</v>
      </c>
      <c r="P23" s="124">
        <v>44826</v>
      </c>
      <c r="Q23" s="124">
        <v>44849</v>
      </c>
      <c r="R23" s="111">
        <v>1</v>
      </c>
      <c r="S23" s="111">
        <v>1</v>
      </c>
      <c r="T23" s="111">
        <v>1</v>
      </c>
      <c r="U23" s="112">
        <f>IF(ISBLANK(Table1[[#This Row],[OHC Date]]),$B$7-Table1[[#This Row],[HOC Date]]+1,Table1[[#This Row],[OHC Date]]-Table1[[#This Row],[HOC Date]]+1)/7</f>
        <v>3.4285714285714284</v>
      </c>
      <c r="V23" s="113">
        <v>6.63</v>
      </c>
      <c r="W23" s="113">
        <v>0.7</v>
      </c>
      <c r="X23" s="113">
        <f>ROUND(0.7*Table1[[#This Row],[E&amp;D Rate per unit]]*R23*Table1[[#This Row],[Quantity]],2)</f>
        <v>240.59</v>
      </c>
      <c r="Y23" s="113">
        <f t="shared" si="4"/>
        <v>124.42</v>
      </c>
      <c r="Z23" s="113">
        <f>ROUND(0.3*T23*Table1[[#This Row],[E&amp;D Rate per unit]]*Table1[[#This Row],[Quantity]],2)</f>
        <v>103.11</v>
      </c>
      <c r="AA23" s="113">
        <v>468.12</v>
      </c>
      <c r="AB23" s="135">
        <v>468.12</v>
      </c>
      <c r="AC23" s="135">
        <v>0</v>
      </c>
      <c r="AD23" s="114"/>
      <c r="AE23" s="153">
        <v>468.12</v>
      </c>
      <c r="AF23" s="161">
        <f>Table1[[#This Row],[Certified Amount (Cum)]]-Table1[[#This Row],[Certified Amount (Previous)]]</f>
        <v>0</v>
      </c>
      <c r="AG23" s="160">
        <f t="shared" si="0"/>
        <v>468.12</v>
      </c>
      <c r="AH23" s="158">
        <f>Table1[[#This Row],[Certified Amount (Cum)]]-Table1[[#This Row],[Total Amount]]</f>
        <v>0</v>
      </c>
    </row>
    <row r="24" spans="1:44" ht="30" customHeight="1" x14ac:dyDescent="0.3">
      <c r="A24" s="107" t="s">
        <v>91</v>
      </c>
      <c r="B24" s="90" t="s">
        <v>99</v>
      </c>
      <c r="C24" s="108" t="s">
        <v>185</v>
      </c>
      <c r="D24" s="108">
        <v>74668</v>
      </c>
      <c r="E24" s="108">
        <v>76761</v>
      </c>
      <c r="F24" s="109" t="s">
        <v>186</v>
      </c>
      <c r="G24" s="17" t="s">
        <v>165</v>
      </c>
      <c r="H24" s="108" t="s">
        <v>178</v>
      </c>
      <c r="I24" s="108">
        <v>6</v>
      </c>
      <c r="J24" s="108">
        <v>3.5</v>
      </c>
      <c r="K24" s="108">
        <v>3.5</v>
      </c>
      <c r="L24" s="108">
        <v>1</v>
      </c>
      <c r="M24" s="108">
        <v>6</v>
      </c>
      <c r="N24" s="110" t="s">
        <v>162</v>
      </c>
      <c r="O24" s="110">
        <f t="shared" si="3"/>
        <v>73.5</v>
      </c>
      <c r="P24" s="124">
        <v>44831</v>
      </c>
      <c r="Q24" s="124">
        <v>44849</v>
      </c>
      <c r="R24" s="111">
        <v>1</v>
      </c>
      <c r="S24" s="111">
        <v>1</v>
      </c>
      <c r="T24" s="111">
        <v>1</v>
      </c>
      <c r="U24" s="112">
        <f>IF(ISBLANK(Table1[[#This Row],[OHC Date]]),$B$7-Table1[[#This Row],[HOC Date]]+1,Table1[[#This Row],[OHC Date]]-Table1[[#This Row],[HOC Date]]+1)/7</f>
        <v>2.7142857142857144</v>
      </c>
      <c r="V24" s="113">
        <v>6.63</v>
      </c>
      <c r="W24" s="113">
        <v>0.7</v>
      </c>
      <c r="X24" s="113">
        <f>ROUND(0.7*Table1[[#This Row],[E&amp;D Rate per unit]]*R24*Table1[[#This Row],[Quantity]],2)</f>
        <v>341.11</v>
      </c>
      <c r="Y24" s="113">
        <f t="shared" si="4"/>
        <v>139.65</v>
      </c>
      <c r="Z24" s="113">
        <f>ROUND(0.3*T24*Table1[[#This Row],[E&amp;D Rate per unit]]*Table1[[#This Row],[Quantity]],2)</f>
        <v>146.19</v>
      </c>
      <c r="AA24" s="113">
        <v>626.95000000000005</v>
      </c>
      <c r="AB24" s="135">
        <v>626.95000000000005</v>
      </c>
      <c r="AC24" s="135">
        <v>0</v>
      </c>
      <c r="AD24" s="114"/>
      <c r="AE24" s="153">
        <v>626.95000000000005</v>
      </c>
      <c r="AF24" s="161">
        <f>Table1[[#This Row],[Certified Amount (Cum)]]-Table1[[#This Row],[Certified Amount (Previous)]]</f>
        <v>0</v>
      </c>
      <c r="AG24" s="160">
        <f t="shared" si="0"/>
        <v>626.95000000000005</v>
      </c>
      <c r="AH24" s="158">
        <f>Table1[[#This Row],[Certified Amount (Cum)]]-Table1[[#This Row],[Total Amount]]</f>
        <v>0</v>
      </c>
    </row>
    <row r="25" spans="1:44" ht="30" customHeight="1" x14ac:dyDescent="0.3">
      <c r="A25" s="107" t="s">
        <v>91</v>
      </c>
      <c r="B25" s="90" t="s">
        <v>99</v>
      </c>
      <c r="C25" s="108" t="s">
        <v>187</v>
      </c>
      <c r="D25" s="108">
        <v>74669</v>
      </c>
      <c r="E25" s="108">
        <v>76762</v>
      </c>
      <c r="F25" s="109" t="s">
        <v>188</v>
      </c>
      <c r="G25" s="17" t="s">
        <v>165</v>
      </c>
      <c r="H25" s="108" t="s">
        <v>178</v>
      </c>
      <c r="I25" s="108">
        <v>6</v>
      </c>
      <c r="J25" s="108">
        <v>9</v>
      </c>
      <c r="K25" s="108">
        <v>3.5</v>
      </c>
      <c r="L25" s="108">
        <v>1</v>
      </c>
      <c r="M25" s="108">
        <v>6</v>
      </c>
      <c r="N25" s="110" t="s">
        <v>162</v>
      </c>
      <c r="O25" s="110">
        <f t="shared" si="3"/>
        <v>189</v>
      </c>
      <c r="P25" s="124">
        <v>44831</v>
      </c>
      <c r="Q25" s="124">
        <v>44849</v>
      </c>
      <c r="R25" s="111">
        <v>1</v>
      </c>
      <c r="S25" s="111">
        <v>1</v>
      </c>
      <c r="T25" s="111">
        <v>1</v>
      </c>
      <c r="U25" s="112">
        <f>IF(ISBLANK(Table1[[#This Row],[OHC Date]]),$B$7-Table1[[#This Row],[HOC Date]]+1,Table1[[#This Row],[OHC Date]]-Table1[[#This Row],[HOC Date]]+1)/7</f>
        <v>2.7142857142857144</v>
      </c>
      <c r="V25" s="113">
        <v>6.63</v>
      </c>
      <c r="W25" s="113">
        <v>0.7</v>
      </c>
      <c r="X25" s="113">
        <f>ROUND(0.7*Table1[[#This Row],[E&amp;D Rate per unit]]*R25*Table1[[#This Row],[Quantity]],2)</f>
        <v>877.15</v>
      </c>
      <c r="Y25" s="113">
        <f t="shared" si="4"/>
        <v>359.1</v>
      </c>
      <c r="Z25" s="113">
        <f>ROUND(0.3*T25*Table1[[#This Row],[E&amp;D Rate per unit]]*Table1[[#This Row],[Quantity]],2)</f>
        <v>375.92</v>
      </c>
      <c r="AA25" s="113">
        <v>1612.17</v>
      </c>
      <c r="AB25" s="135">
        <v>1612.17</v>
      </c>
      <c r="AC25" s="135">
        <v>0</v>
      </c>
      <c r="AD25" s="114"/>
      <c r="AE25" s="153">
        <v>1612.17</v>
      </c>
      <c r="AF25" s="161">
        <f>Table1[[#This Row],[Certified Amount (Cum)]]-Table1[[#This Row],[Certified Amount (Previous)]]</f>
        <v>0</v>
      </c>
      <c r="AG25" s="160">
        <f t="shared" si="0"/>
        <v>1612.17</v>
      </c>
      <c r="AH25" s="158">
        <f>Table1[[#This Row],[Certified Amount (Cum)]]-Table1[[#This Row],[Total Amount]]</f>
        <v>0</v>
      </c>
    </row>
    <row r="26" spans="1:44" s="142" customFormat="1" ht="30" customHeight="1" x14ac:dyDescent="0.3">
      <c r="A26" s="107" t="s">
        <v>94</v>
      </c>
      <c r="B26" s="90" t="s">
        <v>99</v>
      </c>
      <c r="C26" s="145">
        <v>4</v>
      </c>
      <c r="D26" s="108">
        <v>74673</v>
      </c>
      <c r="E26" s="108">
        <v>76788</v>
      </c>
      <c r="F26" s="109" t="s">
        <v>189</v>
      </c>
      <c r="G26" s="17" t="s">
        <v>190</v>
      </c>
      <c r="H26" s="108" t="s">
        <v>191</v>
      </c>
      <c r="I26" s="108">
        <v>1</v>
      </c>
      <c r="J26" s="108"/>
      <c r="K26" s="108"/>
      <c r="L26" s="108"/>
      <c r="M26" s="108"/>
      <c r="N26" s="110" t="s">
        <v>56</v>
      </c>
      <c r="O26" s="110">
        <f t="shared" si="3"/>
        <v>1</v>
      </c>
      <c r="P26" s="124">
        <v>44835</v>
      </c>
      <c r="Q26" s="124">
        <v>44870</v>
      </c>
      <c r="R26" s="111">
        <v>1</v>
      </c>
      <c r="S26" s="111">
        <v>1</v>
      </c>
      <c r="T26" s="111">
        <v>1</v>
      </c>
      <c r="U26" s="112">
        <f>IF(ISBLANK(Table1[[#This Row],[OHC Date]]),$B$7-Table1[[#This Row],[HOC Date]]+1,Table1[[#This Row],[OHC Date]]-Table1[[#This Row],[HOC Date]]+1)/7</f>
        <v>5.1428571428571432</v>
      </c>
      <c r="V26" s="113">
        <v>15626.48</v>
      </c>
      <c r="W26" s="113">
        <v>625.97</v>
      </c>
      <c r="X26" s="113">
        <f>ROUND(0.7*Table1[[#This Row],[E&amp;D Rate per unit]]*R26*Table1[[#This Row],[Quantity]],2)</f>
        <v>10938.54</v>
      </c>
      <c r="Y26" s="113">
        <f t="shared" si="4"/>
        <v>3219.27</v>
      </c>
      <c r="Z26" s="113">
        <f>ROUND(0.3*T26*Table1[[#This Row],[E&amp;D Rate per unit]]*Table1[[#This Row],[Quantity]],2)</f>
        <v>4687.9399999999996</v>
      </c>
      <c r="AA26" s="113">
        <v>18845.75</v>
      </c>
      <c r="AB26" s="135">
        <v>13174.15</v>
      </c>
      <c r="AC26" s="135">
        <v>5671.6</v>
      </c>
      <c r="AD26" s="114" t="s">
        <v>196</v>
      </c>
      <c r="AE26" s="153">
        <v>13174.150000000001</v>
      </c>
      <c r="AF26" s="161">
        <f>Table1[[#This Row],[Certified Amount (Cum)]]-Table1[[#This Row],[Certified Amount (Previous)]]</f>
        <v>5671.5999999999985</v>
      </c>
      <c r="AG26" s="160">
        <f t="shared" si="0"/>
        <v>18845.75</v>
      </c>
      <c r="AH26" s="158">
        <f>Table1[[#This Row],[Certified Amount (Cum)]]-Table1[[#This Row],[Total Amount]]</f>
        <v>0</v>
      </c>
      <c r="AR26" s="181"/>
    </row>
    <row r="27" spans="1:44" ht="30" customHeight="1" x14ac:dyDescent="0.3">
      <c r="A27" s="107" t="s">
        <v>93</v>
      </c>
      <c r="B27" s="90" t="s">
        <v>99</v>
      </c>
      <c r="C27" s="108">
        <v>5</v>
      </c>
      <c r="D27" s="108">
        <v>74675</v>
      </c>
      <c r="E27" s="108">
        <v>76768</v>
      </c>
      <c r="F27" s="109" t="s">
        <v>193</v>
      </c>
      <c r="G27" s="17" t="s">
        <v>161</v>
      </c>
      <c r="H27" s="108" t="s">
        <v>194</v>
      </c>
      <c r="I27" s="108">
        <v>1</v>
      </c>
      <c r="J27" s="108"/>
      <c r="K27" s="108"/>
      <c r="L27" s="108"/>
      <c r="M27" s="108"/>
      <c r="N27" s="110" t="s">
        <v>56</v>
      </c>
      <c r="O27" s="110">
        <f t="shared" si="3"/>
        <v>1</v>
      </c>
      <c r="P27" s="124">
        <v>44837</v>
      </c>
      <c r="Q27" s="124">
        <v>44856</v>
      </c>
      <c r="R27" s="111">
        <v>1</v>
      </c>
      <c r="S27" s="111">
        <v>1</v>
      </c>
      <c r="T27" s="111">
        <v>1</v>
      </c>
      <c r="U27" s="112">
        <f>IF(ISBLANK(Table1[[#This Row],[OHC Date]]),$B$7-Table1[[#This Row],[HOC Date]]+1,Table1[[#This Row],[OHC Date]]-Table1[[#This Row],[HOC Date]]+1)/7</f>
        <v>2.8571428571428572</v>
      </c>
      <c r="V27" s="113">
        <v>5727.13</v>
      </c>
      <c r="W27" s="113">
        <v>317.70999999999998</v>
      </c>
      <c r="X27" s="113">
        <f>ROUND(0.7*Table1[[#This Row],[E&amp;D Rate per unit]]*R27*Table1[[#This Row],[Quantity]],2)</f>
        <v>4008.99</v>
      </c>
      <c r="Y27" s="113">
        <f t="shared" si="4"/>
        <v>907.74</v>
      </c>
      <c r="Z27" s="113">
        <f>ROUND(0.3*T27*Table1[[#This Row],[E&amp;D Rate per unit]]*Table1[[#This Row],[Quantity]],2)</f>
        <v>1718.14</v>
      </c>
      <c r="AA27" s="113">
        <v>6634.87</v>
      </c>
      <c r="AB27" s="135">
        <v>6634.87</v>
      </c>
      <c r="AC27" s="135">
        <v>0</v>
      </c>
      <c r="AD27" s="114" t="s">
        <v>195</v>
      </c>
      <c r="AE27" s="153">
        <v>6634.87</v>
      </c>
      <c r="AF27" s="161">
        <f>Table1[[#This Row],[Certified Amount (Cum)]]-Table1[[#This Row],[Certified Amount (Previous)]]</f>
        <v>0</v>
      </c>
      <c r="AG27" s="160">
        <f t="shared" si="0"/>
        <v>6634.87</v>
      </c>
      <c r="AH27" s="158">
        <f>Table1[[#This Row],[Certified Amount (Cum)]]-Table1[[#This Row],[Total Amount]]</f>
        <v>0</v>
      </c>
    </row>
    <row r="28" spans="1:44" ht="30" customHeight="1" x14ac:dyDescent="0.3">
      <c r="A28" s="107" t="s">
        <v>91</v>
      </c>
      <c r="B28" s="90" t="s">
        <v>99</v>
      </c>
      <c r="C28" s="108" t="s">
        <v>197</v>
      </c>
      <c r="D28" s="108">
        <v>74676</v>
      </c>
      <c r="E28" s="108">
        <v>76755</v>
      </c>
      <c r="F28" s="109" t="s">
        <v>198</v>
      </c>
      <c r="G28" s="17" t="s">
        <v>161</v>
      </c>
      <c r="H28" s="108" t="s">
        <v>178</v>
      </c>
      <c r="I28" s="108">
        <v>1</v>
      </c>
      <c r="J28" s="108">
        <v>3.6</v>
      </c>
      <c r="K28" s="108">
        <v>1.8</v>
      </c>
      <c r="L28" s="108">
        <v>1</v>
      </c>
      <c r="M28" s="108">
        <v>1</v>
      </c>
      <c r="N28" s="110" t="s">
        <v>162</v>
      </c>
      <c r="O28" s="110">
        <f t="shared" si="3"/>
        <v>6.48</v>
      </c>
      <c r="P28" s="124">
        <v>44838</v>
      </c>
      <c r="Q28" s="124">
        <v>44841</v>
      </c>
      <c r="R28" s="111">
        <v>1</v>
      </c>
      <c r="S28" s="111">
        <v>1</v>
      </c>
      <c r="T28" s="111">
        <v>1</v>
      </c>
      <c r="U28" s="112">
        <f>IF(ISBLANK(Table1[[#This Row],[OHC Date]]),$B$7-Table1[[#This Row],[HOC Date]]+1,Table1[[#This Row],[OHC Date]]-Table1[[#This Row],[HOC Date]]+1)/7</f>
        <v>0.5714285714285714</v>
      </c>
      <c r="V28" s="113">
        <v>6.63</v>
      </c>
      <c r="W28" s="113">
        <v>0.7</v>
      </c>
      <c r="X28" s="113">
        <f>ROUND(0.7*Table1[[#This Row],[E&amp;D Rate per unit]]*R28*Table1[[#This Row],[Quantity]],2)</f>
        <v>30.07</v>
      </c>
      <c r="Y28" s="113">
        <f t="shared" si="4"/>
        <v>2.59</v>
      </c>
      <c r="Z28" s="113">
        <f>ROUND(0.3*T28*Table1[[#This Row],[E&amp;D Rate per unit]]*Table1[[#This Row],[Quantity]],2)</f>
        <v>12.89</v>
      </c>
      <c r="AA28" s="113">
        <v>45.55</v>
      </c>
      <c r="AB28" s="135">
        <v>45.55</v>
      </c>
      <c r="AC28" s="135">
        <v>0</v>
      </c>
      <c r="AD28" s="114"/>
      <c r="AE28" s="153">
        <v>45.55</v>
      </c>
      <c r="AF28" s="161">
        <f>Table1[[#This Row],[Certified Amount (Cum)]]-Table1[[#This Row],[Certified Amount (Previous)]]</f>
        <v>0</v>
      </c>
      <c r="AG28" s="160">
        <f t="shared" si="0"/>
        <v>45.55</v>
      </c>
      <c r="AH28" s="158">
        <f>Table1[[#This Row],[Certified Amount (Cum)]]-Table1[[#This Row],[Total Amount]]</f>
        <v>0</v>
      </c>
    </row>
    <row r="29" spans="1:44" ht="30" customHeight="1" x14ac:dyDescent="0.3">
      <c r="A29" s="107" t="s">
        <v>199</v>
      </c>
      <c r="B29" s="90" t="s">
        <v>99</v>
      </c>
      <c r="C29" s="108">
        <v>6</v>
      </c>
      <c r="D29" s="108">
        <v>74677</v>
      </c>
      <c r="E29" s="108"/>
      <c r="F29" s="109" t="s">
        <v>201</v>
      </c>
      <c r="G29" s="17" t="s">
        <v>202</v>
      </c>
      <c r="H29" s="108" t="s">
        <v>203</v>
      </c>
      <c r="I29" s="108">
        <v>1</v>
      </c>
      <c r="J29" s="108"/>
      <c r="K29" s="108"/>
      <c r="L29" s="108"/>
      <c r="M29" s="108"/>
      <c r="N29" s="110" t="s">
        <v>56</v>
      </c>
      <c r="O29" s="110">
        <f t="shared" si="3"/>
        <v>1</v>
      </c>
      <c r="P29" s="124">
        <v>44844</v>
      </c>
      <c r="Q29" s="124"/>
      <c r="R29" s="111">
        <v>1</v>
      </c>
      <c r="S29" s="111">
        <v>1</v>
      </c>
      <c r="T29" s="111">
        <v>0</v>
      </c>
      <c r="U29" s="112">
        <f>IF(ISBLANK(Table1[[#This Row],[OHC Date]]),$B$7-Table1[[#This Row],[HOC Date]]+1,Table1[[#This Row],[OHC Date]]-Table1[[#This Row],[HOC Date]]+1)/7</f>
        <v>6.7142857142857144</v>
      </c>
      <c r="V29" s="113">
        <v>4959.7700000000004</v>
      </c>
      <c r="W29" s="113">
        <v>123.48</v>
      </c>
      <c r="X29" s="113">
        <f>ROUND(0.7*Table1[[#This Row],[E&amp;D Rate per unit]]*R29*Table1[[#This Row],[Quantity]],2)</f>
        <v>3471.84</v>
      </c>
      <c r="Y29" s="113">
        <f t="shared" si="4"/>
        <v>829.08</v>
      </c>
      <c r="Z29" s="113">
        <f>ROUND(0.3*T29*Table1[[#This Row],[E&amp;D Rate per unit]]*Table1[[#This Row],[Quantity]],2)</f>
        <v>0</v>
      </c>
      <c r="AA29" s="113">
        <v>4300.92</v>
      </c>
      <c r="AB29" s="135">
        <v>3754.08</v>
      </c>
      <c r="AC29" s="135">
        <v>546.84000000000015</v>
      </c>
      <c r="AD29" s="114" t="s">
        <v>204</v>
      </c>
      <c r="AE29" s="153">
        <v>3754.08</v>
      </c>
      <c r="AF29" s="161">
        <f>Table1[[#This Row],[Certified Amount (Cum)]]-Table1[[#This Row],[Certified Amount (Previous)]]</f>
        <v>546.84000000000015</v>
      </c>
      <c r="AG29" s="160">
        <f t="shared" si="0"/>
        <v>4300.92</v>
      </c>
      <c r="AH29" s="158">
        <f>Table1[[#This Row],[Certified Amount (Cum)]]-Table1[[#This Row],[Total Amount]]</f>
        <v>0</v>
      </c>
    </row>
    <row r="30" spans="1:44" ht="30" customHeight="1" x14ac:dyDescent="0.3">
      <c r="A30" s="107" t="s">
        <v>91</v>
      </c>
      <c r="B30" s="90" t="s">
        <v>99</v>
      </c>
      <c r="C30" s="108">
        <v>7</v>
      </c>
      <c r="D30" s="108">
        <v>74678</v>
      </c>
      <c r="E30" s="108"/>
      <c r="F30" s="109" t="s">
        <v>205</v>
      </c>
      <c r="G30" s="17" t="s">
        <v>206</v>
      </c>
      <c r="H30" s="108" t="s">
        <v>207</v>
      </c>
      <c r="I30" s="108">
        <v>1</v>
      </c>
      <c r="J30" s="108">
        <v>15</v>
      </c>
      <c r="K30" s="108">
        <v>1.5</v>
      </c>
      <c r="L30" s="108">
        <v>0.8</v>
      </c>
      <c r="M30" s="108">
        <v>1</v>
      </c>
      <c r="N30" s="110" t="s">
        <v>208</v>
      </c>
      <c r="O30" s="110">
        <f t="shared" ref="O30:O41" si="5">ROUND(IF(N30="m3",I30*J30*K30*L30,IF(N30="m2-LxH",I30*J30*L30,IF(N30="m2-LxW",I30*J30*K30,IF(N30="rm",I30*L30,IF(N30="lm",I30*J30,IF(N30="unit",I30,"NA")))))),2)</f>
        <v>12</v>
      </c>
      <c r="P30" s="124">
        <v>44844</v>
      </c>
      <c r="Q30" s="124"/>
      <c r="R30" s="111">
        <v>1</v>
      </c>
      <c r="S30" s="111">
        <v>1</v>
      </c>
      <c r="T30" s="111">
        <v>0</v>
      </c>
      <c r="U30" s="112">
        <f>IF(ISBLANK(Table1[[#This Row],[OHC Date]]),$B$7-Table1[[#This Row],[HOC Date]]+1,Table1[[#This Row],[OHC Date]]-Table1[[#This Row],[HOC Date]]+1)/7</f>
        <v>6.7142857142857144</v>
      </c>
      <c r="V30" s="113">
        <v>12.01</v>
      </c>
      <c r="W30" s="113">
        <v>0.49</v>
      </c>
      <c r="X30" s="113">
        <f>ROUND(0.7*Table1[[#This Row],[E&amp;D Rate per unit]]*R30*Table1[[#This Row],[Quantity]],2)</f>
        <v>100.88</v>
      </c>
      <c r="Y30" s="113">
        <f t="shared" ref="Y30:Y41" si="6">ROUND(O30*U30*W30*S30,2)</f>
        <v>39.479999999999997</v>
      </c>
      <c r="Z30" s="113">
        <f>ROUND(0.3*T30*Table1[[#This Row],[E&amp;D Rate per unit]]*Table1[[#This Row],[Quantity]],2)</f>
        <v>0</v>
      </c>
      <c r="AA30" s="113">
        <v>140.36000000000001</v>
      </c>
      <c r="AB30" s="138">
        <v>114.32</v>
      </c>
      <c r="AC30" s="135">
        <v>26.04000000000002</v>
      </c>
      <c r="AD30" s="114"/>
      <c r="AE30" s="153">
        <v>114.32</v>
      </c>
      <c r="AF30" s="161">
        <f>Table1[[#This Row],[Certified Amount (Cum)]]-Table1[[#This Row],[Certified Amount (Previous)]]</f>
        <v>26.039999999999992</v>
      </c>
      <c r="AG30" s="160">
        <f t="shared" si="0"/>
        <v>140.35999999999999</v>
      </c>
      <c r="AH30" s="158">
        <f>Table1[[#This Row],[Certified Amount (Cum)]]-Table1[[#This Row],[Total Amount]]</f>
        <v>0</v>
      </c>
    </row>
    <row r="31" spans="1:44" ht="30" customHeight="1" x14ac:dyDescent="0.3">
      <c r="A31" s="107" t="s">
        <v>91</v>
      </c>
      <c r="B31" s="90" t="s">
        <v>99</v>
      </c>
      <c r="C31" s="108" t="s">
        <v>209</v>
      </c>
      <c r="D31" s="108">
        <v>74679</v>
      </c>
      <c r="E31" s="108">
        <v>76756</v>
      </c>
      <c r="F31" s="109" t="s">
        <v>210</v>
      </c>
      <c r="G31" s="17" t="s">
        <v>211</v>
      </c>
      <c r="H31" s="108" t="s">
        <v>178</v>
      </c>
      <c r="I31" s="108">
        <v>1</v>
      </c>
      <c r="J31" s="108">
        <v>4</v>
      </c>
      <c r="K31" s="108">
        <v>1</v>
      </c>
      <c r="L31" s="108">
        <v>1</v>
      </c>
      <c r="M31" s="108">
        <v>1</v>
      </c>
      <c r="N31" s="110" t="s">
        <v>162</v>
      </c>
      <c r="O31" s="110">
        <f t="shared" si="5"/>
        <v>4</v>
      </c>
      <c r="P31" s="124">
        <v>44844</v>
      </c>
      <c r="Q31" s="124">
        <v>44845</v>
      </c>
      <c r="R31" s="111">
        <v>1</v>
      </c>
      <c r="S31" s="111">
        <v>1</v>
      </c>
      <c r="T31" s="111">
        <v>1</v>
      </c>
      <c r="U31" s="112">
        <f>IF(ISBLANK(Table1[[#This Row],[OHC Date]]),$B$7-Table1[[#This Row],[HOC Date]]+1,Table1[[#This Row],[OHC Date]]-Table1[[#This Row],[HOC Date]]+1)/7</f>
        <v>0.2857142857142857</v>
      </c>
      <c r="V31" s="113">
        <v>6.63</v>
      </c>
      <c r="W31" s="113">
        <v>0.7</v>
      </c>
      <c r="X31" s="113">
        <f>ROUND(0.7*Table1[[#This Row],[E&amp;D Rate per unit]]*R31*Table1[[#This Row],[Quantity]],2)</f>
        <v>18.559999999999999</v>
      </c>
      <c r="Y31" s="113">
        <f t="shared" si="6"/>
        <v>0.8</v>
      </c>
      <c r="Z31" s="113">
        <f>ROUND(0.3*T31*Table1[[#This Row],[E&amp;D Rate per unit]]*Table1[[#This Row],[Quantity]],2)</f>
        <v>7.96</v>
      </c>
      <c r="AA31" s="113">
        <v>27.32</v>
      </c>
      <c r="AB31" s="138">
        <v>27.32</v>
      </c>
      <c r="AC31" s="135">
        <v>0</v>
      </c>
      <c r="AD31" s="114"/>
      <c r="AE31" s="153">
        <v>27.32</v>
      </c>
      <c r="AF31" s="161">
        <f>Table1[[#This Row],[Certified Amount (Cum)]]-Table1[[#This Row],[Certified Amount (Previous)]]</f>
        <v>0</v>
      </c>
      <c r="AG31" s="160">
        <f t="shared" si="0"/>
        <v>27.32</v>
      </c>
      <c r="AH31" s="158">
        <f>Table1[[#This Row],[Certified Amount (Cum)]]-Table1[[#This Row],[Total Amount]]</f>
        <v>0</v>
      </c>
    </row>
    <row r="32" spans="1:44" ht="30" customHeight="1" x14ac:dyDescent="0.3">
      <c r="A32" s="107" t="s">
        <v>91</v>
      </c>
      <c r="B32" s="90" t="s">
        <v>99</v>
      </c>
      <c r="C32" s="108" t="s">
        <v>212</v>
      </c>
      <c r="D32" s="108">
        <v>74682</v>
      </c>
      <c r="E32" s="108"/>
      <c r="F32" s="109" t="s">
        <v>213</v>
      </c>
      <c r="G32" s="17" t="s">
        <v>161</v>
      </c>
      <c r="H32" s="108" t="s">
        <v>129</v>
      </c>
      <c r="I32" s="108">
        <v>1</v>
      </c>
      <c r="J32" s="108">
        <v>19</v>
      </c>
      <c r="K32" s="108">
        <v>0.75</v>
      </c>
      <c r="L32" s="108">
        <v>1</v>
      </c>
      <c r="M32" s="108">
        <v>1</v>
      </c>
      <c r="N32" s="110" t="s">
        <v>162</v>
      </c>
      <c r="O32" s="110">
        <f t="shared" si="5"/>
        <v>14.25</v>
      </c>
      <c r="P32" s="124">
        <v>44846</v>
      </c>
      <c r="Q32" s="124"/>
      <c r="R32" s="111">
        <v>1</v>
      </c>
      <c r="S32" s="111">
        <v>1</v>
      </c>
      <c r="T32" s="111">
        <v>0</v>
      </c>
      <c r="U32" s="112">
        <f>IF(ISBLANK(Table1[[#This Row],[OHC Date]]),$B$7-Table1[[#This Row],[HOC Date]]+1,Table1[[#This Row],[OHC Date]]-Table1[[#This Row],[HOC Date]]+1)/7</f>
        <v>6.4285714285714288</v>
      </c>
      <c r="V32" s="113">
        <v>36.520000000000003</v>
      </c>
      <c r="W32" s="113">
        <v>2.94</v>
      </c>
      <c r="X32" s="113">
        <f>ROUND(0.7*Table1[[#This Row],[E&amp;D Rate per unit]]*R32*Table1[[#This Row],[Quantity]],2)</f>
        <v>364.29</v>
      </c>
      <c r="Y32" s="113">
        <f t="shared" si="6"/>
        <v>269.33</v>
      </c>
      <c r="Z32" s="113">
        <f>ROUND(0.3*T32*Table1[[#This Row],[E&amp;D Rate per unit]]*Table1[[#This Row],[Quantity]],2)</f>
        <v>0</v>
      </c>
      <c r="AA32" s="113">
        <v>633.62</v>
      </c>
      <c r="AB32" s="135">
        <v>448.08</v>
      </c>
      <c r="AC32" s="135">
        <v>185.54000000000002</v>
      </c>
      <c r="AD32" s="114"/>
      <c r="AE32" s="153">
        <v>448.08000000000004</v>
      </c>
      <c r="AF32" s="161">
        <f>Table1[[#This Row],[Certified Amount (Cum)]]-Table1[[#This Row],[Certified Amount (Previous)]]</f>
        <v>185.53999999999996</v>
      </c>
      <c r="AG32" s="160">
        <f t="shared" si="0"/>
        <v>633.62</v>
      </c>
      <c r="AH32" s="158">
        <f>Table1[[#This Row],[Certified Amount (Cum)]]-Table1[[#This Row],[Total Amount]]</f>
        <v>0</v>
      </c>
    </row>
    <row r="33" spans="1:34" ht="30" customHeight="1" x14ac:dyDescent="0.3">
      <c r="A33" s="107" t="s">
        <v>91</v>
      </c>
      <c r="B33" s="90" t="s">
        <v>99</v>
      </c>
      <c r="C33" s="108" t="s">
        <v>215</v>
      </c>
      <c r="D33" s="108">
        <v>74683</v>
      </c>
      <c r="E33" s="108">
        <v>76764</v>
      </c>
      <c r="F33" s="109" t="s">
        <v>213</v>
      </c>
      <c r="G33" s="17" t="s">
        <v>161</v>
      </c>
      <c r="H33" s="108" t="s">
        <v>128</v>
      </c>
      <c r="I33" s="108">
        <v>1</v>
      </c>
      <c r="J33" s="108">
        <v>19.8</v>
      </c>
      <c r="K33" s="108">
        <v>0.5</v>
      </c>
      <c r="L33" s="108">
        <v>1</v>
      </c>
      <c r="M33" s="108">
        <v>1</v>
      </c>
      <c r="N33" s="110" t="s">
        <v>162</v>
      </c>
      <c r="O33" s="110">
        <f t="shared" si="5"/>
        <v>9.9</v>
      </c>
      <c r="P33" s="124">
        <v>44846</v>
      </c>
      <c r="Q33" s="124">
        <v>44855</v>
      </c>
      <c r="R33" s="111">
        <v>1</v>
      </c>
      <c r="S33" s="111">
        <v>1</v>
      </c>
      <c r="T33" s="111">
        <v>1</v>
      </c>
      <c r="U33" s="112">
        <f>IF(ISBLANK(Table1[[#This Row],[OHC Date]]),$B$7-Table1[[#This Row],[HOC Date]]+1,Table1[[#This Row],[OHC Date]]-Table1[[#This Row],[HOC Date]]+1)/7</f>
        <v>1.4285714285714286</v>
      </c>
      <c r="V33" s="113">
        <v>32.75</v>
      </c>
      <c r="W33" s="113">
        <v>1.05</v>
      </c>
      <c r="X33" s="113">
        <f>ROUND(0.7*Table1[[#This Row],[E&amp;D Rate per unit]]*R33*Table1[[#This Row],[Quantity]],2)</f>
        <v>226.96</v>
      </c>
      <c r="Y33" s="113">
        <f t="shared" si="6"/>
        <v>14.85</v>
      </c>
      <c r="Z33" s="113">
        <f>ROUND(0.3*T33*Table1[[#This Row],[E&amp;D Rate per unit]]*Table1[[#This Row],[Quantity]],2)</f>
        <v>97.27</v>
      </c>
      <c r="AA33" s="113">
        <v>339.08</v>
      </c>
      <c r="AB33" s="135">
        <v>339.08</v>
      </c>
      <c r="AC33" s="135">
        <v>0</v>
      </c>
      <c r="AD33" s="114"/>
      <c r="AE33" s="153">
        <v>339.08</v>
      </c>
      <c r="AF33" s="161">
        <f>Table1[[#This Row],[Certified Amount (Cum)]]-Table1[[#This Row],[Certified Amount (Previous)]]</f>
        <v>0</v>
      </c>
      <c r="AG33" s="160">
        <f t="shared" si="0"/>
        <v>339.08</v>
      </c>
      <c r="AH33" s="158">
        <f>Table1[[#This Row],[Certified Amount (Cum)]]-Table1[[#This Row],[Total Amount]]</f>
        <v>0</v>
      </c>
    </row>
    <row r="34" spans="1:34" ht="30" customHeight="1" x14ac:dyDescent="0.3">
      <c r="A34" s="107" t="s">
        <v>91</v>
      </c>
      <c r="B34" s="90" t="s">
        <v>99</v>
      </c>
      <c r="C34" s="108">
        <v>11</v>
      </c>
      <c r="D34" s="108">
        <v>74684</v>
      </c>
      <c r="E34" s="108">
        <v>76757</v>
      </c>
      <c r="F34" s="109" t="s">
        <v>216</v>
      </c>
      <c r="G34" s="17" t="s">
        <v>161</v>
      </c>
      <c r="H34" s="108" t="s">
        <v>207</v>
      </c>
      <c r="I34" s="108">
        <v>1</v>
      </c>
      <c r="J34" s="108">
        <v>3.6</v>
      </c>
      <c r="K34" s="108">
        <v>1.2</v>
      </c>
      <c r="L34" s="108">
        <v>2.5</v>
      </c>
      <c r="M34" s="108">
        <v>1</v>
      </c>
      <c r="N34" s="110" t="s">
        <v>208</v>
      </c>
      <c r="O34" s="110">
        <f t="shared" si="5"/>
        <v>9</v>
      </c>
      <c r="P34" s="124">
        <v>44847</v>
      </c>
      <c r="Q34" s="124">
        <v>44849</v>
      </c>
      <c r="R34" s="111">
        <v>1</v>
      </c>
      <c r="S34" s="111">
        <v>1</v>
      </c>
      <c r="T34" s="111">
        <v>1</v>
      </c>
      <c r="U34" s="112">
        <f>IF(ISBLANK(Table1[[#This Row],[OHC Date]]),$B$7-Table1[[#This Row],[HOC Date]]+1,Table1[[#This Row],[OHC Date]]-Table1[[#This Row],[HOC Date]]+1)/7</f>
        <v>0.42857142857142855</v>
      </c>
      <c r="V34" s="113">
        <v>12.01</v>
      </c>
      <c r="W34" s="113">
        <v>0.49</v>
      </c>
      <c r="X34" s="113">
        <f>ROUND(0.7*Table1[[#This Row],[E&amp;D Rate per unit]]*R34*Table1[[#This Row],[Quantity]],2)</f>
        <v>75.66</v>
      </c>
      <c r="Y34" s="113">
        <f t="shared" si="6"/>
        <v>1.89</v>
      </c>
      <c r="Z34" s="113">
        <f>ROUND(0.3*T34*Table1[[#This Row],[E&amp;D Rate per unit]]*Table1[[#This Row],[Quantity]],2)</f>
        <v>32.43</v>
      </c>
      <c r="AA34" s="113">
        <v>109.98</v>
      </c>
      <c r="AB34" s="135">
        <v>109.98</v>
      </c>
      <c r="AC34" s="135">
        <v>0</v>
      </c>
      <c r="AD34" s="114"/>
      <c r="AE34" s="153">
        <v>109.97999999999999</v>
      </c>
      <c r="AF34" s="161">
        <f>Table1[[#This Row],[Certified Amount (Cum)]]-Table1[[#This Row],[Certified Amount (Previous)]]</f>
        <v>0</v>
      </c>
      <c r="AG34" s="160">
        <f t="shared" si="0"/>
        <v>109.97999999999999</v>
      </c>
      <c r="AH34" s="158">
        <f>Table1[[#This Row],[Certified Amount (Cum)]]-Table1[[#This Row],[Total Amount]]</f>
        <v>0</v>
      </c>
    </row>
    <row r="35" spans="1:34" ht="30" customHeight="1" x14ac:dyDescent="0.3">
      <c r="A35" s="137" t="s">
        <v>199</v>
      </c>
      <c r="B35" s="90" t="s">
        <v>99</v>
      </c>
      <c r="C35" s="108">
        <v>12</v>
      </c>
      <c r="D35" s="108">
        <v>74685</v>
      </c>
      <c r="E35" s="108"/>
      <c r="F35" s="17" t="s">
        <v>201</v>
      </c>
      <c r="G35" s="17" t="s">
        <v>202</v>
      </c>
      <c r="H35" s="108" t="s">
        <v>203</v>
      </c>
      <c r="I35" s="108">
        <v>1</v>
      </c>
      <c r="J35" s="108"/>
      <c r="K35" s="108"/>
      <c r="L35" s="108"/>
      <c r="M35" s="108"/>
      <c r="N35" s="110" t="s">
        <v>56</v>
      </c>
      <c r="O35" s="110">
        <f t="shared" si="5"/>
        <v>1</v>
      </c>
      <c r="P35" s="124">
        <v>44848</v>
      </c>
      <c r="Q35" s="124"/>
      <c r="R35" s="111">
        <v>1</v>
      </c>
      <c r="S35" s="111">
        <v>1</v>
      </c>
      <c r="T35" s="111">
        <v>0</v>
      </c>
      <c r="U35" s="112">
        <f>IF(ISBLANK(Table1[[#This Row],[OHC Date]]),$B$7-Table1[[#This Row],[HOC Date]]+1,Table1[[#This Row],[OHC Date]]-Table1[[#This Row],[HOC Date]]+1)/7</f>
        <v>6.1428571428571432</v>
      </c>
      <c r="V35" s="113">
        <v>4959.7700000000004</v>
      </c>
      <c r="W35" s="113">
        <v>123.48</v>
      </c>
      <c r="X35" s="113">
        <f>ROUND(0.7*Table1[[#This Row],[E&amp;D Rate per unit]]*R35*Table1[[#This Row],[Quantity]],2)</f>
        <v>3471.84</v>
      </c>
      <c r="Y35" s="113">
        <f t="shared" si="6"/>
        <v>758.52</v>
      </c>
      <c r="Z35" s="113">
        <f>ROUND(0.3*T35*Table1[[#This Row],[E&amp;D Rate per unit]]*Table1[[#This Row],[Quantity]],2)</f>
        <v>0</v>
      </c>
      <c r="AA35" s="113">
        <v>4230.3599999999997</v>
      </c>
      <c r="AB35" s="135">
        <v>3683.52</v>
      </c>
      <c r="AC35" s="135">
        <v>546.83999999999969</v>
      </c>
      <c r="AD35" s="136" t="s">
        <v>204</v>
      </c>
      <c r="AE35" s="153">
        <v>3683.52</v>
      </c>
      <c r="AF35" s="161">
        <f>Table1[[#This Row],[Certified Amount (Cum)]]-Table1[[#This Row],[Certified Amount (Previous)]]</f>
        <v>546.8400000000006</v>
      </c>
      <c r="AG35" s="160">
        <f t="shared" si="0"/>
        <v>4230.3600000000006</v>
      </c>
      <c r="AH35" s="158">
        <f>Table1[[#This Row],[Certified Amount (Cum)]]-Table1[[#This Row],[Total Amount]]</f>
        <v>0</v>
      </c>
    </row>
    <row r="36" spans="1:34" ht="30" customHeight="1" x14ac:dyDescent="0.3">
      <c r="A36" s="107" t="s">
        <v>91</v>
      </c>
      <c r="B36" s="90" t="s">
        <v>99</v>
      </c>
      <c r="C36" s="145">
        <v>13</v>
      </c>
      <c r="D36" s="108">
        <v>74686</v>
      </c>
      <c r="E36" s="108">
        <v>80503</v>
      </c>
      <c r="F36" s="109" t="s">
        <v>217</v>
      </c>
      <c r="G36" s="17" t="s">
        <v>218</v>
      </c>
      <c r="H36" s="108" t="s">
        <v>207</v>
      </c>
      <c r="I36" s="108">
        <v>1</v>
      </c>
      <c r="J36" s="108">
        <v>7.3</v>
      </c>
      <c r="K36" s="108">
        <v>1.3</v>
      </c>
      <c r="L36" s="108">
        <v>1.7</v>
      </c>
      <c r="M36" s="108">
        <v>1</v>
      </c>
      <c r="N36" s="110" t="s">
        <v>208</v>
      </c>
      <c r="O36" s="110">
        <f t="shared" si="5"/>
        <v>12.41</v>
      </c>
      <c r="P36" s="124">
        <v>44848</v>
      </c>
      <c r="Q36" s="124">
        <v>44875</v>
      </c>
      <c r="R36" s="111">
        <v>1</v>
      </c>
      <c r="S36" s="111">
        <v>1</v>
      </c>
      <c r="T36" s="111">
        <v>1</v>
      </c>
      <c r="U36" s="112">
        <f>IF(ISBLANK(Table1[[#This Row],[OHC Date]]),$B$7-Table1[[#This Row],[HOC Date]]+1,Table1[[#This Row],[OHC Date]]-Table1[[#This Row],[HOC Date]]+1)/7</f>
        <v>4</v>
      </c>
      <c r="V36" s="113">
        <v>12.01</v>
      </c>
      <c r="W36" s="113">
        <v>0.49</v>
      </c>
      <c r="X36" s="113">
        <f>ROUND(0.7*Table1[[#This Row],[E&amp;D Rate per unit]]*R36*Table1[[#This Row],[Quantity]],2)</f>
        <v>104.33</v>
      </c>
      <c r="Y36" s="113">
        <f t="shared" si="6"/>
        <v>24.32</v>
      </c>
      <c r="Z36" s="113">
        <f>ROUND(0.3*T36*Table1[[#This Row],[E&amp;D Rate per unit]]*Table1[[#This Row],[Quantity]],2)</f>
        <v>44.71</v>
      </c>
      <c r="AA36" s="113">
        <v>173.36</v>
      </c>
      <c r="AB36" s="135">
        <v>114.75</v>
      </c>
      <c r="AC36" s="135">
        <v>58.610000000000014</v>
      </c>
      <c r="AD36" s="114" t="s">
        <v>220</v>
      </c>
      <c r="AE36" s="153">
        <v>114.75</v>
      </c>
      <c r="AF36" s="161">
        <f>Table1[[#This Row],[Certified Amount (Cum)]]-Table1[[#This Row],[Certified Amount (Previous)]]</f>
        <v>58.610000000000014</v>
      </c>
      <c r="AG36" s="160">
        <f t="shared" si="0"/>
        <v>173.36</v>
      </c>
      <c r="AH36" s="158">
        <f>Table1[[#This Row],[Certified Amount (Cum)]]-Table1[[#This Row],[Total Amount]]</f>
        <v>0</v>
      </c>
    </row>
    <row r="37" spans="1:34" ht="30" customHeight="1" x14ac:dyDescent="0.3">
      <c r="A37" s="107" t="s">
        <v>91</v>
      </c>
      <c r="B37" s="90" t="s">
        <v>99</v>
      </c>
      <c r="C37" s="108">
        <v>14</v>
      </c>
      <c r="D37" s="108">
        <v>74687</v>
      </c>
      <c r="E37" s="108">
        <v>76763</v>
      </c>
      <c r="F37" s="109" t="s">
        <v>219</v>
      </c>
      <c r="G37" s="17" t="s">
        <v>218</v>
      </c>
      <c r="H37" s="108" t="s">
        <v>207</v>
      </c>
      <c r="I37" s="108">
        <v>1</v>
      </c>
      <c r="J37" s="108">
        <v>5.0999999999999996</v>
      </c>
      <c r="K37" s="108">
        <v>1.3</v>
      </c>
      <c r="L37" s="108">
        <v>1.6</v>
      </c>
      <c r="M37" s="108">
        <v>1</v>
      </c>
      <c r="N37" s="110" t="s">
        <v>208</v>
      </c>
      <c r="O37" s="110">
        <f t="shared" si="5"/>
        <v>8.16</v>
      </c>
      <c r="P37" s="124">
        <v>44849</v>
      </c>
      <c r="Q37" s="124">
        <v>44851</v>
      </c>
      <c r="R37" s="111">
        <v>1</v>
      </c>
      <c r="S37" s="111">
        <v>1</v>
      </c>
      <c r="T37" s="111">
        <v>1</v>
      </c>
      <c r="U37" s="112">
        <f>IF(ISBLANK(Table1[[#This Row],[OHC Date]]),$B$7-Table1[[#This Row],[HOC Date]]+1,Table1[[#This Row],[OHC Date]]-Table1[[#This Row],[HOC Date]]+1)/7</f>
        <v>0.42857142857142855</v>
      </c>
      <c r="V37" s="113">
        <v>12.01</v>
      </c>
      <c r="W37" s="113">
        <v>0.49</v>
      </c>
      <c r="X37" s="113">
        <f>ROUND(0.7*Table1[[#This Row],[E&amp;D Rate per unit]]*R37*Table1[[#This Row],[Quantity]],2)</f>
        <v>68.599999999999994</v>
      </c>
      <c r="Y37" s="113">
        <f t="shared" si="6"/>
        <v>1.71</v>
      </c>
      <c r="Z37" s="113">
        <f>ROUND(0.3*T37*Table1[[#This Row],[E&amp;D Rate per unit]]*Table1[[#This Row],[Quantity]],2)</f>
        <v>29.4</v>
      </c>
      <c r="AA37" s="113">
        <v>99.71</v>
      </c>
      <c r="AB37" s="135">
        <v>99.71</v>
      </c>
      <c r="AC37" s="135">
        <v>0</v>
      </c>
      <c r="AD37" s="114"/>
      <c r="AE37" s="153">
        <v>99.70999999999998</v>
      </c>
      <c r="AF37" s="161">
        <f>Table1[[#This Row],[Certified Amount (Cum)]]-Table1[[#This Row],[Certified Amount (Previous)]]</f>
        <v>0</v>
      </c>
      <c r="AG37" s="160">
        <f t="shared" si="0"/>
        <v>99.70999999999998</v>
      </c>
      <c r="AH37" s="158">
        <f>Table1[[#This Row],[Certified Amount (Cum)]]-Table1[[#This Row],[Total Amount]]</f>
        <v>0</v>
      </c>
    </row>
    <row r="38" spans="1:34" ht="30" customHeight="1" x14ac:dyDescent="0.3">
      <c r="A38" s="107" t="s">
        <v>91</v>
      </c>
      <c r="B38" s="90" t="s">
        <v>99</v>
      </c>
      <c r="C38" s="145">
        <v>15</v>
      </c>
      <c r="D38" s="108">
        <v>74688</v>
      </c>
      <c r="E38" s="108">
        <v>80504</v>
      </c>
      <c r="F38" s="109" t="s">
        <v>217</v>
      </c>
      <c r="G38" s="17" t="s">
        <v>218</v>
      </c>
      <c r="H38" s="108" t="s">
        <v>207</v>
      </c>
      <c r="I38" s="108">
        <v>1</v>
      </c>
      <c r="J38" s="108">
        <v>5</v>
      </c>
      <c r="K38" s="108">
        <v>1.2</v>
      </c>
      <c r="L38" s="108">
        <v>2</v>
      </c>
      <c r="M38" s="108">
        <v>1</v>
      </c>
      <c r="N38" s="110" t="s">
        <v>208</v>
      </c>
      <c r="O38" s="110">
        <f t="shared" si="5"/>
        <v>10</v>
      </c>
      <c r="P38" s="124">
        <v>44851</v>
      </c>
      <c r="Q38" s="124">
        <v>44875</v>
      </c>
      <c r="R38" s="111">
        <v>1</v>
      </c>
      <c r="S38" s="111">
        <v>1</v>
      </c>
      <c r="T38" s="111">
        <v>1</v>
      </c>
      <c r="U38" s="112">
        <f>IF(ISBLANK(Table1[[#This Row],[OHC Date]]),$B$7-Table1[[#This Row],[HOC Date]]+1,Table1[[#This Row],[OHC Date]]-Table1[[#This Row],[HOC Date]]+1)/7</f>
        <v>3.5714285714285716</v>
      </c>
      <c r="V38" s="113">
        <v>12.01</v>
      </c>
      <c r="W38" s="113">
        <v>0.49</v>
      </c>
      <c r="X38" s="113">
        <f>ROUND(0.7*Table1[[#This Row],[E&amp;D Rate per unit]]*R38*Table1[[#This Row],[Quantity]],2)</f>
        <v>84.07</v>
      </c>
      <c r="Y38" s="113">
        <f t="shared" si="6"/>
        <v>17.5</v>
      </c>
      <c r="Z38" s="113">
        <f>ROUND(0.3*T38*Table1[[#This Row],[E&amp;D Rate per unit]]*Table1[[#This Row],[Quantity]],2)</f>
        <v>36.03</v>
      </c>
      <c r="AA38" s="113">
        <v>137.6</v>
      </c>
      <c r="AB38" s="135">
        <v>90.37</v>
      </c>
      <c r="AC38" s="135">
        <v>47.22999999999999</v>
      </c>
      <c r="AD38" s="114" t="s">
        <v>220</v>
      </c>
      <c r="AE38" s="153">
        <v>90.36999999999999</v>
      </c>
      <c r="AF38" s="161">
        <f>Table1[[#This Row],[Certified Amount (Cum)]]-Table1[[#This Row],[Certified Amount (Previous)]]</f>
        <v>47.230000000000004</v>
      </c>
      <c r="AG38" s="160">
        <f t="shared" si="0"/>
        <v>137.6</v>
      </c>
      <c r="AH38" s="158">
        <f>Table1[[#This Row],[Certified Amount (Cum)]]-Table1[[#This Row],[Total Amount]]</f>
        <v>0</v>
      </c>
    </row>
    <row r="39" spans="1:34" ht="30" customHeight="1" x14ac:dyDescent="0.3">
      <c r="A39" s="107" t="s">
        <v>91</v>
      </c>
      <c r="B39" s="90" t="s">
        <v>99</v>
      </c>
      <c r="C39" s="108">
        <v>16</v>
      </c>
      <c r="D39" s="108">
        <v>74689</v>
      </c>
      <c r="E39" s="108">
        <v>76766</v>
      </c>
      <c r="F39" s="109" t="s">
        <v>221</v>
      </c>
      <c r="G39" s="17" t="s">
        <v>192</v>
      </c>
      <c r="H39" s="108" t="s">
        <v>222</v>
      </c>
      <c r="I39" s="108">
        <v>1</v>
      </c>
      <c r="J39" s="108">
        <v>2.5</v>
      </c>
      <c r="K39" s="108">
        <v>1.8</v>
      </c>
      <c r="L39" s="108">
        <v>2.2999999999999998</v>
      </c>
      <c r="M39" s="108">
        <v>1</v>
      </c>
      <c r="N39" s="110" t="s">
        <v>223</v>
      </c>
      <c r="O39" s="110">
        <f t="shared" si="5"/>
        <v>2.2999999999999998</v>
      </c>
      <c r="P39" s="124">
        <v>44851</v>
      </c>
      <c r="Q39" s="124">
        <v>44856</v>
      </c>
      <c r="R39" s="111">
        <v>1</v>
      </c>
      <c r="S39" s="111">
        <v>1</v>
      </c>
      <c r="T39" s="111">
        <v>1</v>
      </c>
      <c r="U39" s="112">
        <f>IF(ISBLANK(Table1[[#This Row],[OHC Date]]),$B$7-Table1[[#This Row],[HOC Date]]+1,Table1[[#This Row],[OHC Date]]-Table1[[#This Row],[HOC Date]]+1)/7</f>
        <v>0.8571428571428571</v>
      </c>
      <c r="V39" s="113">
        <v>63.34</v>
      </c>
      <c r="W39" s="113">
        <v>7.28</v>
      </c>
      <c r="X39" s="113">
        <f>ROUND(0.7*Table1[[#This Row],[E&amp;D Rate per unit]]*R39*Table1[[#This Row],[Quantity]],2)</f>
        <v>101.98</v>
      </c>
      <c r="Y39" s="113">
        <f t="shared" si="6"/>
        <v>14.35</v>
      </c>
      <c r="Z39" s="113">
        <f>ROUND(0.3*T39*Table1[[#This Row],[E&amp;D Rate per unit]]*Table1[[#This Row],[Quantity]],2)</f>
        <v>43.7</v>
      </c>
      <c r="AA39" s="113">
        <v>160.03</v>
      </c>
      <c r="AB39" s="135">
        <v>160.03</v>
      </c>
      <c r="AC39" s="135">
        <v>0</v>
      </c>
      <c r="AD39" s="114" t="s">
        <v>220</v>
      </c>
      <c r="AE39" s="153">
        <v>160.03</v>
      </c>
      <c r="AF39" s="161">
        <f>Table1[[#This Row],[Certified Amount (Cum)]]-Table1[[#This Row],[Certified Amount (Previous)]]</f>
        <v>0</v>
      </c>
      <c r="AG39" s="160">
        <f t="shared" si="0"/>
        <v>160.03</v>
      </c>
      <c r="AH39" s="158">
        <f>Table1[[#This Row],[Certified Amount (Cum)]]-Table1[[#This Row],[Total Amount]]</f>
        <v>0</v>
      </c>
    </row>
    <row r="40" spans="1:34" ht="30" customHeight="1" x14ac:dyDescent="0.3">
      <c r="A40" s="107" t="s">
        <v>91</v>
      </c>
      <c r="B40" s="90" t="s">
        <v>99</v>
      </c>
      <c r="C40" s="108">
        <v>16</v>
      </c>
      <c r="D40" s="108">
        <v>74689</v>
      </c>
      <c r="E40" s="108">
        <v>76766</v>
      </c>
      <c r="F40" s="109" t="s">
        <v>221</v>
      </c>
      <c r="G40" s="17" t="s">
        <v>192</v>
      </c>
      <c r="H40" s="108" t="s">
        <v>178</v>
      </c>
      <c r="I40" s="108">
        <v>1</v>
      </c>
      <c r="J40" s="108">
        <v>2.5</v>
      </c>
      <c r="K40" s="108">
        <v>1.8</v>
      </c>
      <c r="L40" s="108">
        <v>1</v>
      </c>
      <c r="M40" s="108">
        <v>1</v>
      </c>
      <c r="N40" s="110" t="s">
        <v>162</v>
      </c>
      <c r="O40" s="110">
        <f>ROUND(IF(N40="m3",I40*J40*K40*L40,IF(N40="m2-LxH",I40*J40*L40,IF(N40="m2-LxW",I40*J40*K40,IF(N40="rm",I40*L40,IF(N40="lm",I40*J40,IF(N40="unit",I40,"NA")))))),2)</f>
        <v>4.5</v>
      </c>
      <c r="P40" s="124">
        <v>44851</v>
      </c>
      <c r="Q40" s="124">
        <v>44856</v>
      </c>
      <c r="R40" s="111">
        <v>1</v>
      </c>
      <c r="S40" s="111">
        <v>1</v>
      </c>
      <c r="T40" s="111">
        <v>1</v>
      </c>
      <c r="U40" s="112">
        <f>IF(ISBLANK(Table1[[#This Row],[OHC Date]]),$B$7-Table1[[#This Row],[HOC Date]]+1,Table1[[#This Row],[OHC Date]]-Table1[[#This Row],[HOC Date]]+1)/7</f>
        <v>0.8571428571428571</v>
      </c>
      <c r="V40" s="113">
        <v>6.63</v>
      </c>
      <c r="W40" s="113">
        <v>0.7</v>
      </c>
      <c r="X40" s="113">
        <f>ROUND(0.7*Table1[[#This Row],[E&amp;D Rate per unit]]*R40*Table1[[#This Row],[Quantity]],2)</f>
        <v>20.88</v>
      </c>
      <c r="Y40" s="113">
        <f>ROUND(O40*U40*W40*S40,2)</f>
        <v>2.7</v>
      </c>
      <c r="Z40" s="113">
        <f>ROUND(0.3*T40*Table1[[#This Row],[E&amp;D Rate per unit]]*Table1[[#This Row],[Quantity]],2)</f>
        <v>8.9499999999999993</v>
      </c>
      <c r="AA40" s="113">
        <v>32.53</v>
      </c>
      <c r="AB40" s="135">
        <v>32.53</v>
      </c>
      <c r="AC40" s="135">
        <v>0</v>
      </c>
      <c r="AD40" s="114" t="s">
        <v>220</v>
      </c>
      <c r="AE40" s="153">
        <v>32.53</v>
      </c>
      <c r="AF40" s="161">
        <f>Table1[[#This Row],[Certified Amount (Cum)]]-Table1[[#This Row],[Certified Amount (Previous)]]</f>
        <v>0</v>
      </c>
      <c r="AG40" s="160">
        <f t="shared" si="0"/>
        <v>32.53</v>
      </c>
      <c r="AH40" s="158">
        <f>Table1[[#This Row],[Certified Amount (Cum)]]-Table1[[#This Row],[Total Amount]]</f>
        <v>0</v>
      </c>
    </row>
    <row r="41" spans="1:34" ht="30" customHeight="1" x14ac:dyDescent="0.3">
      <c r="A41" s="107" t="s">
        <v>91</v>
      </c>
      <c r="B41" s="90" t="s">
        <v>99</v>
      </c>
      <c r="C41" s="145">
        <v>17</v>
      </c>
      <c r="D41" s="108">
        <v>74690</v>
      </c>
      <c r="E41" s="108">
        <v>76769</v>
      </c>
      <c r="F41" s="109" t="s">
        <v>224</v>
      </c>
      <c r="G41" s="17" t="s">
        <v>225</v>
      </c>
      <c r="H41" s="108" t="s">
        <v>121</v>
      </c>
      <c r="I41" s="108">
        <v>1</v>
      </c>
      <c r="J41" s="108">
        <v>17.5</v>
      </c>
      <c r="K41" s="108">
        <v>10</v>
      </c>
      <c r="L41" s="108">
        <v>6.2</v>
      </c>
      <c r="M41" s="108">
        <v>1</v>
      </c>
      <c r="N41" s="110" t="s">
        <v>226</v>
      </c>
      <c r="O41" s="110">
        <f t="shared" si="5"/>
        <v>1085</v>
      </c>
      <c r="P41" s="124">
        <v>44852</v>
      </c>
      <c r="Q41" s="124">
        <v>44860</v>
      </c>
      <c r="R41" s="111">
        <v>1</v>
      </c>
      <c r="S41" s="111">
        <v>1</v>
      </c>
      <c r="T41" s="111">
        <v>1</v>
      </c>
      <c r="U41" s="112">
        <f>IF(ISBLANK(Table1[[#This Row],[OHC Date]]),$B$7-Table1[[#This Row],[HOC Date]]+1,Table1[[#This Row],[OHC Date]]-Table1[[#This Row],[HOC Date]]+1)/7</f>
        <v>1.2857142857142858</v>
      </c>
      <c r="V41" s="113">
        <v>7.08</v>
      </c>
      <c r="W41" s="113">
        <v>0.49</v>
      </c>
      <c r="X41" s="113">
        <f>ROUND(0.7*Table1[[#This Row],[E&amp;D Rate per unit]]*R41*Table1[[#This Row],[Quantity]],2)</f>
        <v>5377.26</v>
      </c>
      <c r="Y41" s="113">
        <f t="shared" si="6"/>
        <v>683.55</v>
      </c>
      <c r="Z41" s="113">
        <f>ROUND(0.3*T41*Table1[[#This Row],[E&amp;D Rate per unit]]*Table1[[#This Row],[Quantity]],2)</f>
        <v>2304.54</v>
      </c>
      <c r="AA41" s="113">
        <v>8365.35</v>
      </c>
      <c r="AB41" s="135">
        <v>5984.86</v>
      </c>
      <c r="AC41" s="135">
        <v>2380.4900000000007</v>
      </c>
      <c r="AD41" s="114" t="s">
        <v>220</v>
      </c>
      <c r="AE41" s="153">
        <v>5984.8600000000006</v>
      </c>
      <c r="AF41" s="161">
        <f>Table1[[#This Row],[Certified Amount (Cum)]]-Table1[[#This Row],[Certified Amount (Previous)]]</f>
        <v>2380.4899999999998</v>
      </c>
      <c r="AG41" s="160">
        <f t="shared" si="0"/>
        <v>8365.35</v>
      </c>
      <c r="AH41" s="158">
        <f>Table1[[#This Row],[Certified Amount (Cum)]]-Table1[[#This Row],[Total Amount]]</f>
        <v>0</v>
      </c>
    </row>
    <row r="42" spans="1:34" ht="30" customHeight="1" x14ac:dyDescent="0.3">
      <c r="A42" s="107" t="s">
        <v>91</v>
      </c>
      <c r="B42" s="90" t="s">
        <v>99</v>
      </c>
      <c r="C42" s="145">
        <v>18</v>
      </c>
      <c r="D42" s="108">
        <v>74691</v>
      </c>
      <c r="E42" s="108">
        <v>80506</v>
      </c>
      <c r="F42" s="109" t="s">
        <v>227</v>
      </c>
      <c r="G42" s="17" t="s">
        <v>228</v>
      </c>
      <c r="H42" s="108" t="s">
        <v>222</v>
      </c>
      <c r="I42" s="108">
        <v>1</v>
      </c>
      <c r="J42" s="108">
        <v>1.8</v>
      </c>
      <c r="K42" s="108">
        <v>1.3</v>
      </c>
      <c r="L42" s="108">
        <v>2.5</v>
      </c>
      <c r="M42" s="108">
        <v>1</v>
      </c>
      <c r="N42" s="110" t="s">
        <v>223</v>
      </c>
      <c r="O42" s="110">
        <f t="shared" ref="O42:O74" si="7">ROUND(IF(N42="m3",I42*J42*K42*L42,IF(N42="m2-LxH",I42*J42*L42,IF(N42="m2-LxW",I42*J42*K42,IF(N42="rm",I42*L42,IF(N42="lm",I42*J42,IF(N42="unit",I42,"NA")))))),2)</f>
        <v>2.5</v>
      </c>
      <c r="P42" s="124">
        <v>44852</v>
      </c>
      <c r="Q42" s="124">
        <v>44877</v>
      </c>
      <c r="R42" s="111">
        <v>1</v>
      </c>
      <c r="S42" s="111">
        <v>1</v>
      </c>
      <c r="T42" s="111">
        <v>1</v>
      </c>
      <c r="U42" s="112">
        <f>IF(ISBLANK(Table1[[#This Row],[OHC Date]]),$B$7-Table1[[#This Row],[HOC Date]]+1,Table1[[#This Row],[OHC Date]]-Table1[[#This Row],[HOC Date]]+1)/7</f>
        <v>3.7142857142857144</v>
      </c>
      <c r="V42" s="113">
        <v>63.34</v>
      </c>
      <c r="W42" s="113">
        <v>7.28</v>
      </c>
      <c r="X42" s="113">
        <f>ROUND(0.7*Table1[[#This Row],[E&amp;D Rate per unit]]*R42*Table1[[#This Row],[Quantity]],2)</f>
        <v>110.85</v>
      </c>
      <c r="Y42" s="113">
        <f t="shared" ref="Y42:Y74" si="8">ROUND(O42*U42*W42*S42,2)</f>
        <v>67.599999999999994</v>
      </c>
      <c r="Z42" s="113">
        <f>ROUND(0.3*T42*Table1[[#This Row],[E&amp;D Rate per unit]]*Table1[[#This Row],[Quantity]],2)</f>
        <v>47.51</v>
      </c>
      <c r="AA42" s="113">
        <v>225.96</v>
      </c>
      <c r="AB42" s="135">
        <v>131.65</v>
      </c>
      <c r="AC42" s="135">
        <v>94.31</v>
      </c>
      <c r="AD42" s="114" t="s">
        <v>220</v>
      </c>
      <c r="AE42" s="153">
        <v>131.65</v>
      </c>
      <c r="AF42" s="161">
        <f>Table1[[#This Row],[Certified Amount (Cum)]]-Table1[[#This Row],[Certified Amount (Previous)]]</f>
        <v>94.309999999999974</v>
      </c>
      <c r="AG42" s="160">
        <f t="shared" si="0"/>
        <v>225.95999999999998</v>
      </c>
      <c r="AH42" s="158">
        <f>Table1[[#This Row],[Certified Amount (Cum)]]-Table1[[#This Row],[Total Amount]]</f>
        <v>0</v>
      </c>
    </row>
    <row r="43" spans="1:34" ht="30" customHeight="1" x14ac:dyDescent="0.3">
      <c r="A43" s="107" t="s">
        <v>91</v>
      </c>
      <c r="B43" s="90" t="s">
        <v>99</v>
      </c>
      <c r="C43" s="108">
        <v>19</v>
      </c>
      <c r="D43" s="108">
        <v>74692</v>
      </c>
      <c r="E43" s="108"/>
      <c r="F43" s="109" t="s">
        <v>229</v>
      </c>
      <c r="G43" s="17" t="s">
        <v>192</v>
      </c>
      <c r="H43" s="108" t="s">
        <v>207</v>
      </c>
      <c r="I43" s="108">
        <v>1</v>
      </c>
      <c r="J43" s="108">
        <v>4</v>
      </c>
      <c r="K43" s="108">
        <v>1.3</v>
      </c>
      <c r="L43" s="108">
        <v>6.3</v>
      </c>
      <c r="M43" s="108">
        <v>1</v>
      </c>
      <c r="N43" s="110" t="s">
        <v>208</v>
      </c>
      <c r="O43" s="110">
        <f t="shared" si="7"/>
        <v>25.2</v>
      </c>
      <c r="P43" s="124">
        <v>44852</v>
      </c>
      <c r="Q43" s="124"/>
      <c r="R43" s="111">
        <v>1</v>
      </c>
      <c r="S43" s="111">
        <v>1</v>
      </c>
      <c r="T43" s="111">
        <v>0</v>
      </c>
      <c r="U43" s="112">
        <f>IF(ISBLANK(Table1[[#This Row],[OHC Date]]),$B$7-Table1[[#This Row],[HOC Date]]+1,Table1[[#This Row],[OHC Date]]-Table1[[#This Row],[HOC Date]]+1)/7</f>
        <v>5.5714285714285712</v>
      </c>
      <c r="V43" s="113">
        <v>12.01</v>
      </c>
      <c r="W43" s="113">
        <v>0.49</v>
      </c>
      <c r="X43" s="113">
        <f>ROUND(0.7*Table1[[#This Row],[E&amp;D Rate per unit]]*R43*Table1[[#This Row],[Quantity]],2)</f>
        <v>211.86</v>
      </c>
      <c r="Y43" s="113">
        <f t="shared" si="8"/>
        <v>68.8</v>
      </c>
      <c r="Z43" s="113">
        <f>ROUND(0.3*T43*Table1[[#This Row],[E&amp;D Rate per unit]]*Table1[[#This Row],[Quantity]],2)</f>
        <v>0</v>
      </c>
      <c r="AA43" s="113">
        <v>280.66000000000003</v>
      </c>
      <c r="AB43" s="135">
        <v>225.97</v>
      </c>
      <c r="AC43" s="135">
        <v>54.690000000000026</v>
      </c>
      <c r="AD43" s="114"/>
      <c r="AE43" s="153">
        <v>225.97000000000003</v>
      </c>
      <c r="AF43" s="161">
        <f>Table1[[#This Row],[Certified Amount (Cum)]]-Table1[[#This Row],[Certified Amount (Previous)]]</f>
        <v>54.69</v>
      </c>
      <c r="AG43" s="160">
        <f t="shared" si="0"/>
        <v>280.66000000000003</v>
      </c>
      <c r="AH43" s="158">
        <f>Table1[[#This Row],[Certified Amount (Cum)]]-Table1[[#This Row],[Total Amount]]</f>
        <v>0</v>
      </c>
    </row>
    <row r="44" spans="1:34" ht="30" customHeight="1" x14ac:dyDescent="0.3">
      <c r="A44" s="107" t="s">
        <v>91</v>
      </c>
      <c r="B44" s="90" t="s">
        <v>99</v>
      </c>
      <c r="C44" s="145" t="s">
        <v>230</v>
      </c>
      <c r="D44" s="108">
        <v>74700</v>
      </c>
      <c r="E44" s="108">
        <v>76793</v>
      </c>
      <c r="F44" s="109" t="s">
        <v>229</v>
      </c>
      <c r="G44" s="17" t="s">
        <v>192</v>
      </c>
      <c r="H44" s="108" t="s">
        <v>207</v>
      </c>
      <c r="I44" s="108">
        <v>1</v>
      </c>
      <c r="J44" s="108">
        <v>4</v>
      </c>
      <c r="K44" s="108">
        <v>1.3</v>
      </c>
      <c r="L44" s="108">
        <v>2</v>
      </c>
      <c r="M44" s="108">
        <v>1</v>
      </c>
      <c r="N44" s="110" t="s">
        <v>208</v>
      </c>
      <c r="O44" s="110">
        <f t="shared" si="7"/>
        <v>8</v>
      </c>
      <c r="P44" s="124">
        <v>44853</v>
      </c>
      <c r="Q44" s="124">
        <v>44870</v>
      </c>
      <c r="R44" s="111">
        <v>1</v>
      </c>
      <c r="S44" s="111">
        <v>1</v>
      </c>
      <c r="T44" s="111">
        <v>1</v>
      </c>
      <c r="U44" s="112">
        <f>IF(ISBLANK(Table1[[#This Row],[OHC Date]]),$B$7-Table1[[#This Row],[HOC Date]]+1,Table1[[#This Row],[OHC Date]]-Table1[[#This Row],[HOC Date]]+1)/7</f>
        <v>2.5714285714285716</v>
      </c>
      <c r="V44" s="113">
        <v>12.01</v>
      </c>
      <c r="W44" s="113">
        <v>0.49</v>
      </c>
      <c r="X44" s="113">
        <f>ROUND(0.7*Table1[[#This Row],[E&amp;D Rate per unit]]*R44*Table1[[#This Row],[Quantity]],2)</f>
        <v>67.260000000000005</v>
      </c>
      <c r="Y44" s="113">
        <f t="shared" si="8"/>
        <v>10.08</v>
      </c>
      <c r="Z44" s="113">
        <f>ROUND(0.3*T44*Table1[[#This Row],[E&amp;D Rate per unit]]*Table1[[#This Row],[Quantity]],2)</f>
        <v>28.82</v>
      </c>
      <c r="AA44" s="113">
        <v>106.16</v>
      </c>
      <c r="AB44" s="135">
        <v>71.180000000000007</v>
      </c>
      <c r="AC44" s="135">
        <v>34.97999999999999</v>
      </c>
      <c r="AD44" s="114"/>
      <c r="AE44" s="153">
        <v>71.180000000000007</v>
      </c>
      <c r="AF44" s="161">
        <f>Table1[[#This Row],[Certified Amount (Cum)]]-Table1[[#This Row],[Certified Amount (Previous)]]</f>
        <v>34.97999999999999</v>
      </c>
      <c r="AG44" s="160">
        <f t="shared" si="0"/>
        <v>106.16</v>
      </c>
      <c r="AH44" s="158">
        <f>Table1[[#This Row],[Certified Amount (Cum)]]-Table1[[#This Row],[Total Amount]]</f>
        <v>0</v>
      </c>
    </row>
    <row r="45" spans="1:34" ht="30" customHeight="1" x14ac:dyDescent="0.3">
      <c r="A45" s="107" t="s">
        <v>91</v>
      </c>
      <c r="B45" s="90" t="s">
        <v>99</v>
      </c>
      <c r="C45" s="145">
        <v>20</v>
      </c>
      <c r="D45" s="108">
        <v>74693</v>
      </c>
      <c r="E45" s="108">
        <v>80515</v>
      </c>
      <c r="F45" s="109" t="s">
        <v>227</v>
      </c>
      <c r="G45" s="17" t="s">
        <v>228</v>
      </c>
      <c r="H45" s="108" t="s">
        <v>222</v>
      </c>
      <c r="I45" s="108">
        <v>1</v>
      </c>
      <c r="J45" s="108">
        <v>2.5</v>
      </c>
      <c r="K45" s="108">
        <v>2.5</v>
      </c>
      <c r="L45" s="108">
        <v>3</v>
      </c>
      <c r="M45" s="108">
        <v>1</v>
      </c>
      <c r="N45" s="110" t="s">
        <v>223</v>
      </c>
      <c r="O45" s="110">
        <f t="shared" si="7"/>
        <v>3</v>
      </c>
      <c r="P45" s="124">
        <v>44852</v>
      </c>
      <c r="Q45" s="124">
        <v>44880</v>
      </c>
      <c r="R45" s="111">
        <v>1</v>
      </c>
      <c r="S45" s="111">
        <v>1</v>
      </c>
      <c r="T45" s="111">
        <v>1</v>
      </c>
      <c r="U45" s="112">
        <f>IF(ISBLANK(Table1[[#This Row],[OHC Date]]),$B$7-Table1[[#This Row],[HOC Date]]+1,Table1[[#This Row],[OHC Date]]-Table1[[#This Row],[HOC Date]]+1)/7</f>
        <v>4.1428571428571432</v>
      </c>
      <c r="V45" s="113">
        <v>63.34</v>
      </c>
      <c r="W45" s="113">
        <v>7.28</v>
      </c>
      <c r="X45" s="113">
        <f>ROUND(0.7*Table1[[#This Row],[E&amp;D Rate per unit]]*R45*Table1[[#This Row],[Quantity]],2)</f>
        <v>133.01</v>
      </c>
      <c r="Y45" s="113">
        <f t="shared" si="8"/>
        <v>90.48</v>
      </c>
      <c r="Z45" s="113">
        <f>ROUND(0.3*T45*Table1[[#This Row],[E&amp;D Rate per unit]]*Table1[[#This Row],[Quantity]],2)</f>
        <v>57.01</v>
      </c>
      <c r="AA45" s="113">
        <v>280.5</v>
      </c>
      <c r="AB45" s="135">
        <v>157.97</v>
      </c>
      <c r="AC45" s="135">
        <v>122.53</v>
      </c>
      <c r="AD45" s="114"/>
      <c r="AE45" s="153">
        <v>157.97</v>
      </c>
      <c r="AF45" s="161">
        <f>Table1[[#This Row],[Certified Amount (Cum)]]-Table1[[#This Row],[Certified Amount (Previous)]]</f>
        <v>122.53</v>
      </c>
      <c r="AG45" s="160">
        <f t="shared" si="0"/>
        <v>280.5</v>
      </c>
      <c r="AH45" s="158">
        <f>Table1[[#This Row],[Certified Amount (Cum)]]-Table1[[#This Row],[Total Amount]]</f>
        <v>0</v>
      </c>
    </row>
    <row r="46" spans="1:34" ht="30" customHeight="1" x14ac:dyDescent="0.3">
      <c r="A46" s="107" t="s">
        <v>91</v>
      </c>
      <c r="B46" s="90" t="s">
        <v>99</v>
      </c>
      <c r="C46" s="108" t="s">
        <v>231</v>
      </c>
      <c r="D46" s="108">
        <v>74694</v>
      </c>
      <c r="E46" s="108">
        <v>76767</v>
      </c>
      <c r="F46" s="109" t="s">
        <v>232</v>
      </c>
      <c r="G46" s="17" t="s">
        <v>192</v>
      </c>
      <c r="H46" s="108" t="s">
        <v>222</v>
      </c>
      <c r="I46" s="108">
        <v>1</v>
      </c>
      <c r="J46" s="108">
        <v>2.5</v>
      </c>
      <c r="K46" s="108">
        <v>1.8</v>
      </c>
      <c r="L46" s="108">
        <v>2</v>
      </c>
      <c r="M46" s="108">
        <v>1</v>
      </c>
      <c r="N46" s="110" t="s">
        <v>223</v>
      </c>
      <c r="O46" s="110">
        <f t="shared" si="7"/>
        <v>2</v>
      </c>
      <c r="P46" s="124">
        <v>44853</v>
      </c>
      <c r="Q46" s="124">
        <v>44856</v>
      </c>
      <c r="R46" s="111">
        <v>1</v>
      </c>
      <c r="S46" s="111">
        <v>1</v>
      </c>
      <c r="T46" s="111">
        <v>1</v>
      </c>
      <c r="U46" s="112">
        <f>IF(ISBLANK(Table1[[#This Row],[OHC Date]]),$B$7-Table1[[#This Row],[HOC Date]]+1,Table1[[#This Row],[OHC Date]]-Table1[[#This Row],[HOC Date]]+1)/7</f>
        <v>0.5714285714285714</v>
      </c>
      <c r="V46" s="113">
        <v>63.34</v>
      </c>
      <c r="W46" s="113">
        <v>7.28</v>
      </c>
      <c r="X46" s="113">
        <f>ROUND(0.7*Table1[[#This Row],[E&amp;D Rate per unit]]*R46*Table1[[#This Row],[Quantity]],2)</f>
        <v>88.68</v>
      </c>
      <c r="Y46" s="113">
        <f t="shared" si="8"/>
        <v>8.32</v>
      </c>
      <c r="Z46" s="113">
        <f>ROUND(0.3*T46*Table1[[#This Row],[E&amp;D Rate per unit]]*Table1[[#This Row],[Quantity]],2)</f>
        <v>38</v>
      </c>
      <c r="AA46" s="113">
        <v>135</v>
      </c>
      <c r="AB46" s="135">
        <v>135</v>
      </c>
      <c r="AC46" s="135">
        <v>0</v>
      </c>
      <c r="AD46" s="114"/>
      <c r="AE46" s="153">
        <v>135</v>
      </c>
      <c r="AF46" s="161">
        <f>Table1[[#This Row],[Certified Amount (Cum)]]-Table1[[#This Row],[Certified Amount (Previous)]]</f>
        <v>0</v>
      </c>
      <c r="AG46" s="160">
        <f t="shared" si="0"/>
        <v>135</v>
      </c>
      <c r="AH46" s="158">
        <f>Table1[[#This Row],[Certified Amount (Cum)]]-Table1[[#This Row],[Total Amount]]</f>
        <v>0</v>
      </c>
    </row>
    <row r="47" spans="1:34" ht="30" customHeight="1" x14ac:dyDescent="0.3">
      <c r="A47" s="107" t="s">
        <v>91</v>
      </c>
      <c r="B47" s="90" t="s">
        <v>99</v>
      </c>
      <c r="C47" s="145" t="s">
        <v>233</v>
      </c>
      <c r="D47" s="108">
        <v>74695</v>
      </c>
      <c r="E47" s="108">
        <v>76771</v>
      </c>
      <c r="F47" s="109" t="s">
        <v>234</v>
      </c>
      <c r="G47" s="17" t="s">
        <v>192</v>
      </c>
      <c r="H47" s="108" t="s">
        <v>178</v>
      </c>
      <c r="I47" s="108">
        <v>1</v>
      </c>
      <c r="J47" s="108">
        <v>11.5</v>
      </c>
      <c r="K47" s="108">
        <v>1.8</v>
      </c>
      <c r="L47" s="108">
        <v>1</v>
      </c>
      <c r="M47" s="108">
        <v>1</v>
      </c>
      <c r="N47" s="110" t="s">
        <v>162</v>
      </c>
      <c r="O47" s="110">
        <f t="shared" si="7"/>
        <v>20.7</v>
      </c>
      <c r="P47" s="124">
        <v>44853</v>
      </c>
      <c r="Q47" s="124">
        <v>44860</v>
      </c>
      <c r="R47" s="111">
        <v>1</v>
      </c>
      <c r="S47" s="111">
        <v>1</v>
      </c>
      <c r="T47" s="111">
        <v>1</v>
      </c>
      <c r="U47" s="112">
        <f>IF(ISBLANK(Table1[[#This Row],[OHC Date]]),$B$7-Table1[[#This Row],[HOC Date]]+1,Table1[[#This Row],[OHC Date]]-Table1[[#This Row],[HOC Date]]+1)/7</f>
        <v>1.1428571428571428</v>
      </c>
      <c r="V47" s="113">
        <v>6.63</v>
      </c>
      <c r="W47" s="113">
        <v>0.7</v>
      </c>
      <c r="X47" s="113">
        <f>ROUND(0.7*Table1[[#This Row],[E&amp;D Rate per unit]]*R47*Table1[[#This Row],[Quantity]],2)</f>
        <v>96.07</v>
      </c>
      <c r="Y47" s="113">
        <f t="shared" si="8"/>
        <v>16.559999999999999</v>
      </c>
      <c r="Z47" s="113">
        <f>ROUND(0.3*T47*Table1[[#This Row],[E&amp;D Rate per unit]]*Table1[[#This Row],[Quantity]],2)</f>
        <v>41.17</v>
      </c>
      <c r="AA47" s="113">
        <v>153.80000000000001</v>
      </c>
      <c r="AB47" s="135">
        <v>110.56</v>
      </c>
      <c r="AC47" s="135">
        <v>43.240000000000009</v>
      </c>
      <c r="AD47" s="114"/>
      <c r="AE47" s="153">
        <v>110.55999999999999</v>
      </c>
      <c r="AF47" s="161">
        <f>Table1[[#This Row],[Certified Amount (Cum)]]-Table1[[#This Row],[Certified Amount (Previous)]]</f>
        <v>43.240000000000023</v>
      </c>
      <c r="AG47" s="160">
        <f t="shared" si="0"/>
        <v>153.80000000000001</v>
      </c>
      <c r="AH47" s="158">
        <f>Table1[[#This Row],[Certified Amount (Cum)]]-Table1[[#This Row],[Total Amount]]</f>
        <v>0</v>
      </c>
    </row>
    <row r="48" spans="1:34" ht="30" customHeight="1" x14ac:dyDescent="0.3">
      <c r="A48" s="107" t="s">
        <v>91</v>
      </c>
      <c r="B48" s="90" t="s">
        <v>99</v>
      </c>
      <c r="C48" s="145">
        <v>21</v>
      </c>
      <c r="D48" s="108">
        <v>74696</v>
      </c>
      <c r="E48" s="108">
        <v>76792</v>
      </c>
      <c r="F48" s="109" t="s">
        <v>227</v>
      </c>
      <c r="G48" s="17" t="s">
        <v>228</v>
      </c>
      <c r="H48" s="108" t="s">
        <v>222</v>
      </c>
      <c r="I48" s="108">
        <v>1</v>
      </c>
      <c r="J48" s="108">
        <v>2.5</v>
      </c>
      <c r="K48" s="108">
        <v>1.8</v>
      </c>
      <c r="L48" s="108">
        <v>3</v>
      </c>
      <c r="M48" s="108">
        <v>1</v>
      </c>
      <c r="N48" s="110" t="s">
        <v>223</v>
      </c>
      <c r="O48" s="110">
        <f t="shared" si="7"/>
        <v>3</v>
      </c>
      <c r="P48" s="124">
        <v>44853</v>
      </c>
      <c r="Q48" s="124">
        <v>44872</v>
      </c>
      <c r="R48" s="111">
        <v>1</v>
      </c>
      <c r="S48" s="111">
        <v>1</v>
      </c>
      <c r="T48" s="111">
        <v>1</v>
      </c>
      <c r="U48" s="112">
        <f>IF(ISBLANK(Table1[[#This Row],[OHC Date]]),$B$7-Table1[[#This Row],[HOC Date]]+1,Table1[[#This Row],[OHC Date]]-Table1[[#This Row],[HOC Date]]+1)/7</f>
        <v>2.8571428571428572</v>
      </c>
      <c r="V48" s="113">
        <v>63.34</v>
      </c>
      <c r="W48" s="113">
        <v>7.28</v>
      </c>
      <c r="X48" s="113">
        <f>ROUND(0.7*Table1[[#This Row],[E&amp;D Rate per unit]]*R48*Table1[[#This Row],[Quantity]],2)</f>
        <v>133.01</v>
      </c>
      <c r="Y48" s="113">
        <f t="shared" si="8"/>
        <v>62.4</v>
      </c>
      <c r="Z48" s="113">
        <f>ROUND(0.3*T48*Table1[[#This Row],[E&amp;D Rate per unit]]*Table1[[#This Row],[Quantity]],2)</f>
        <v>57.01</v>
      </c>
      <c r="AA48" s="113">
        <v>252.42</v>
      </c>
      <c r="AB48" s="135">
        <v>154.85</v>
      </c>
      <c r="AC48" s="135">
        <v>97.57</v>
      </c>
      <c r="AD48" s="114" t="s">
        <v>220</v>
      </c>
      <c r="AE48" s="153">
        <v>154.85</v>
      </c>
      <c r="AF48" s="161">
        <f>Table1[[#This Row],[Certified Amount (Cum)]]-Table1[[#This Row],[Certified Amount (Previous)]]</f>
        <v>97.57</v>
      </c>
      <c r="AG48" s="160">
        <f t="shared" si="0"/>
        <v>252.42</v>
      </c>
      <c r="AH48" s="158">
        <f>Table1[[#This Row],[Certified Amount (Cum)]]-Table1[[#This Row],[Total Amount]]</f>
        <v>0</v>
      </c>
    </row>
    <row r="49" spans="1:34" ht="30" customHeight="1" x14ac:dyDescent="0.3">
      <c r="A49" s="107" t="s">
        <v>91</v>
      </c>
      <c r="B49" s="90" t="s">
        <v>99</v>
      </c>
      <c r="C49" s="145">
        <v>22</v>
      </c>
      <c r="D49" s="108">
        <v>74697</v>
      </c>
      <c r="E49" s="108">
        <v>76776</v>
      </c>
      <c r="F49" s="109" t="s">
        <v>227</v>
      </c>
      <c r="G49" s="17" t="s">
        <v>228</v>
      </c>
      <c r="H49" s="108" t="s">
        <v>207</v>
      </c>
      <c r="I49" s="108">
        <v>1</v>
      </c>
      <c r="J49" s="108">
        <v>3.1</v>
      </c>
      <c r="K49" s="108">
        <v>1.3</v>
      </c>
      <c r="L49" s="108">
        <v>3</v>
      </c>
      <c r="M49" s="108">
        <v>1</v>
      </c>
      <c r="N49" s="110" t="s">
        <v>208</v>
      </c>
      <c r="O49" s="110">
        <f t="shared" si="7"/>
        <v>9.3000000000000007</v>
      </c>
      <c r="P49" s="124">
        <v>44853</v>
      </c>
      <c r="Q49" s="124">
        <v>44867</v>
      </c>
      <c r="R49" s="111">
        <v>1</v>
      </c>
      <c r="S49" s="111">
        <v>1</v>
      </c>
      <c r="T49" s="111">
        <v>1</v>
      </c>
      <c r="U49" s="112">
        <f>IF(ISBLANK(Table1[[#This Row],[OHC Date]]),$B$7-Table1[[#This Row],[HOC Date]]+1,Table1[[#This Row],[OHC Date]]-Table1[[#This Row],[HOC Date]]+1)/7</f>
        <v>2.1428571428571428</v>
      </c>
      <c r="V49" s="113">
        <v>12.01</v>
      </c>
      <c r="W49" s="113">
        <v>0.49</v>
      </c>
      <c r="X49" s="113">
        <f>ROUND(0.7*Table1[[#This Row],[E&amp;D Rate per unit]]*R49*Table1[[#This Row],[Quantity]],2)</f>
        <v>78.19</v>
      </c>
      <c r="Y49" s="113">
        <f t="shared" si="8"/>
        <v>9.77</v>
      </c>
      <c r="Z49" s="113">
        <f>ROUND(0.3*T49*Table1[[#This Row],[E&amp;D Rate per unit]]*Table1[[#This Row],[Quantity]],2)</f>
        <v>33.51</v>
      </c>
      <c r="AA49" s="113">
        <v>121.47</v>
      </c>
      <c r="AB49" s="135">
        <v>82.75</v>
      </c>
      <c r="AC49" s="135">
        <v>38.72</v>
      </c>
      <c r="AD49" s="114" t="s">
        <v>220</v>
      </c>
      <c r="AE49" s="153">
        <v>82.75</v>
      </c>
      <c r="AF49" s="161">
        <f>Table1[[#This Row],[Certified Amount (Cum)]]-Table1[[#This Row],[Certified Amount (Previous)]]</f>
        <v>38.72</v>
      </c>
      <c r="AG49" s="160">
        <f t="shared" si="0"/>
        <v>121.47</v>
      </c>
      <c r="AH49" s="158">
        <f>Table1[[#This Row],[Certified Amount (Cum)]]-Table1[[#This Row],[Total Amount]]</f>
        <v>0</v>
      </c>
    </row>
    <row r="50" spans="1:34" ht="30" customHeight="1" x14ac:dyDescent="0.3">
      <c r="A50" s="107" t="s">
        <v>91</v>
      </c>
      <c r="B50" s="90" t="s">
        <v>99</v>
      </c>
      <c r="C50" s="108">
        <v>23</v>
      </c>
      <c r="D50" s="108">
        <v>74698</v>
      </c>
      <c r="E50" s="108"/>
      <c r="F50" s="109" t="s">
        <v>227</v>
      </c>
      <c r="G50" s="17" t="s">
        <v>228</v>
      </c>
      <c r="H50" s="108" t="s">
        <v>120</v>
      </c>
      <c r="I50" s="108">
        <v>1</v>
      </c>
      <c r="J50" s="108">
        <v>3.1</v>
      </c>
      <c r="K50" s="108">
        <v>1.8</v>
      </c>
      <c r="L50" s="108">
        <v>4.5</v>
      </c>
      <c r="M50" s="108">
        <v>1</v>
      </c>
      <c r="N50" s="110" t="s">
        <v>208</v>
      </c>
      <c r="O50" s="110">
        <f t="shared" si="7"/>
        <v>13.95</v>
      </c>
      <c r="P50" s="124">
        <v>44853</v>
      </c>
      <c r="Q50" s="124"/>
      <c r="R50" s="111">
        <v>1</v>
      </c>
      <c r="S50" s="111">
        <v>1</v>
      </c>
      <c r="T50" s="111">
        <v>0</v>
      </c>
      <c r="U50" s="112">
        <f>IF(ISBLANK(Table1[[#This Row],[OHC Date]]),$B$7-Table1[[#This Row],[HOC Date]]+1,Table1[[#This Row],[OHC Date]]-Table1[[#This Row],[HOC Date]]+1)/7</f>
        <v>5.4285714285714288</v>
      </c>
      <c r="V50" s="113">
        <v>12.01</v>
      </c>
      <c r="W50" s="113">
        <v>0.77</v>
      </c>
      <c r="X50" s="113">
        <f>ROUND(0.7*Table1[[#This Row],[E&amp;D Rate per unit]]*R50*Table1[[#This Row],[Quantity]],2)</f>
        <v>117.28</v>
      </c>
      <c r="Y50" s="113">
        <f t="shared" si="8"/>
        <v>58.31</v>
      </c>
      <c r="Z50" s="113">
        <f>ROUND(0.3*T50*Table1[[#This Row],[E&amp;D Rate per unit]]*Table1[[#This Row],[Quantity]],2)</f>
        <v>0</v>
      </c>
      <c r="AA50" s="113">
        <v>175.59</v>
      </c>
      <c r="AB50" s="135">
        <v>128.02000000000001</v>
      </c>
      <c r="AC50" s="135">
        <v>47.569999999999993</v>
      </c>
      <c r="AD50" s="114" t="s">
        <v>220</v>
      </c>
      <c r="AE50" s="153">
        <v>128.02000000000001</v>
      </c>
      <c r="AF50" s="161">
        <f>Table1[[#This Row],[Certified Amount (Cum)]]-Table1[[#This Row],[Certified Amount (Previous)]]</f>
        <v>47.569999999999993</v>
      </c>
      <c r="AG50" s="160">
        <f t="shared" si="0"/>
        <v>175.59</v>
      </c>
      <c r="AH50" s="158">
        <f>Table1[[#This Row],[Certified Amount (Cum)]]-Table1[[#This Row],[Total Amount]]</f>
        <v>0</v>
      </c>
    </row>
    <row r="51" spans="1:34" ht="30" customHeight="1" x14ac:dyDescent="0.3">
      <c r="A51" s="107" t="s">
        <v>91</v>
      </c>
      <c r="B51" s="90" t="s">
        <v>99</v>
      </c>
      <c r="C51" s="145">
        <v>24</v>
      </c>
      <c r="D51" s="108">
        <v>74699</v>
      </c>
      <c r="E51" s="108">
        <v>80516</v>
      </c>
      <c r="F51" s="109" t="s">
        <v>227</v>
      </c>
      <c r="G51" s="17" t="s">
        <v>228</v>
      </c>
      <c r="H51" s="108" t="s">
        <v>222</v>
      </c>
      <c r="I51" s="108">
        <v>1</v>
      </c>
      <c r="J51" s="108">
        <v>2.5</v>
      </c>
      <c r="K51" s="108">
        <v>2.5</v>
      </c>
      <c r="L51" s="108">
        <v>4.5</v>
      </c>
      <c r="M51" s="108">
        <v>1</v>
      </c>
      <c r="N51" s="110" t="s">
        <v>223</v>
      </c>
      <c r="O51" s="110">
        <f t="shared" si="7"/>
        <v>4.5</v>
      </c>
      <c r="P51" s="124">
        <v>44853</v>
      </c>
      <c r="Q51" s="124">
        <v>44880</v>
      </c>
      <c r="R51" s="111">
        <v>1</v>
      </c>
      <c r="S51" s="111">
        <v>1</v>
      </c>
      <c r="T51" s="111">
        <v>1</v>
      </c>
      <c r="U51" s="112">
        <f>IF(ISBLANK(Table1[[#This Row],[OHC Date]]),$B$7-Table1[[#This Row],[HOC Date]]+1,Table1[[#This Row],[OHC Date]]-Table1[[#This Row],[HOC Date]]+1)/7</f>
        <v>4</v>
      </c>
      <c r="V51" s="113">
        <v>63.34</v>
      </c>
      <c r="W51" s="113">
        <v>7.28</v>
      </c>
      <c r="X51" s="113">
        <f>ROUND(0.7*Table1[[#This Row],[E&amp;D Rate per unit]]*R51*Table1[[#This Row],[Quantity]],2)</f>
        <v>199.52</v>
      </c>
      <c r="Y51" s="113">
        <f t="shared" si="8"/>
        <v>131.04</v>
      </c>
      <c r="Z51" s="113">
        <f>ROUND(0.3*T51*Table1[[#This Row],[E&amp;D Rate per unit]]*Table1[[#This Row],[Quantity]],2)</f>
        <v>85.51</v>
      </c>
      <c r="AA51" s="113">
        <v>416.07</v>
      </c>
      <c r="AB51" s="135">
        <v>232.28</v>
      </c>
      <c r="AC51" s="135">
        <v>183.79</v>
      </c>
      <c r="AD51" s="114" t="s">
        <v>220</v>
      </c>
      <c r="AE51" s="153">
        <v>232.28</v>
      </c>
      <c r="AF51" s="161">
        <f>Table1[[#This Row],[Certified Amount (Cum)]]-Table1[[#This Row],[Certified Amount (Previous)]]</f>
        <v>183.79</v>
      </c>
      <c r="AG51" s="160">
        <f t="shared" si="0"/>
        <v>416.07</v>
      </c>
      <c r="AH51" s="158">
        <f>Table1[[#This Row],[Certified Amount (Cum)]]-Table1[[#This Row],[Total Amount]]</f>
        <v>0</v>
      </c>
    </row>
    <row r="52" spans="1:34" ht="30" customHeight="1" x14ac:dyDescent="0.3">
      <c r="A52" s="107" t="s">
        <v>91</v>
      </c>
      <c r="B52" s="90" t="s">
        <v>99</v>
      </c>
      <c r="C52" s="145">
        <v>25</v>
      </c>
      <c r="D52" s="108">
        <v>77652</v>
      </c>
      <c r="E52" s="108">
        <v>76777</v>
      </c>
      <c r="F52" s="109" t="s">
        <v>227</v>
      </c>
      <c r="G52" s="17" t="s">
        <v>228</v>
      </c>
      <c r="H52" s="108" t="s">
        <v>120</v>
      </c>
      <c r="I52" s="108">
        <v>1</v>
      </c>
      <c r="J52" s="108">
        <v>3.8</v>
      </c>
      <c r="K52" s="108">
        <v>2.5</v>
      </c>
      <c r="L52" s="108">
        <v>4.5</v>
      </c>
      <c r="M52" s="108">
        <v>1</v>
      </c>
      <c r="N52" s="110" t="s">
        <v>208</v>
      </c>
      <c r="O52" s="110">
        <f t="shared" si="7"/>
        <v>17.100000000000001</v>
      </c>
      <c r="P52" s="124">
        <v>44853</v>
      </c>
      <c r="Q52" s="124">
        <v>44867</v>
      </c>
      <c r="R52" s="111">
        <v>1</v>
      </c>
      <c r="S52" s="111">
        <v>1</v>
      </c>
      <c r="T52" s="111">
        <v>1</v>
      </c>
      <c r="U52" s="112">
        <f>IF(ISBLANK(Table1[[#This Row],[OHC Date]]),$B$7-Table1[[#This Row],[HOC Date]]+1,Table1[[#This Row],[OHC Date]]-Table1[[#This Row],[HOC Date]]+1)/7</f>
        <v>2.1428571428571428</v>
      </c>
      <c r="V52" s="113">
        <v>16.760000000000002</v>
      </c>
      <c r="W52" s="113">
        <v>0.77</v>
      </c>
      <c r="X52" s="113">
        <f>ROUND(0.7*Table1[[#This Row],[E&amp;D Rate per unit]]*R52*Table1[[#This Row],[Quantity]],2)</f>
        <v>200.62</v>
      </c>
      <c r="Y52" s="113">
        <f t="shared" si="8"/>
        <v>28.22</v>
      </c>
      <c r="Z52" s="113">
        <f>ROUND(0.3*T52*Table1[[#This Row],[E&amp;D Rate per unit]]*Table1[[#This Row],[Quantity]],2)</f>
        <v>85.98</v>
      </c>
      <c r="AA52" s="113">
        <v>314.82</v>
      </c>
      <c r="AB52" s="135">
        <v>213.79</v>
      </c>
      <c r="AC52" s="135">
        <v>101.03</v>
      </c>
      <c r="AD52" s="114" t="s">
        <v>220</v>
      </c>
      <c r="AE52" s="153">
        <v>213.79</v>
      </c>
      <c r="AF52" s="161">
        <f>Table1[[#This Row],[Certified Amount (Cum)]]-Table1[[#This Row],[Certified Amount (Previous)]]</f>
        <v>101.03</v>
      </c>
      <c r="AG52" s="160">
        <f t="shared" si="0"/>
        <v>314.82</v>
      </c>
      <c r="AH52" s="158">
        <f>Table1[[#This Row],[Certified Amount (Cum)]]-Table1[[#This Row],[Total Amount]]</f>
        <v>0</v>
      </c>
    </row>
    <row r="53" spans="1:34" ht="30" customHeight="1" x14ac:dyDescent="0.3">
      <c r="A53" s="107" t="s">
        <v>91</v>
      </c>
      <c r="B53" s="90" t="s">
        <v>99</v>
      </c>
      <c r="C53" s="145" t="s">
        <v>235</v>
      </c>
      <c r="D53" s="108">
        <v>77653</v>
      </c>
      <c r="E53" s="108">
        <v>76775</v>
      </c>
      <c r="F53" s="109" t="s">
        <v>164</v>
      </c>
      <c r="G53" s="17" t="s">
        <v>192</v>
      </c>
      <c r="H53" s="108" t="s">
        <v>128</v>
      </c>
      <c r="I53" s="108">
        <v>1</v>
      </c>
      <c r="J53" s="108">
        <v>18</v>
      </c>
      <c r="K53" s="108">
        <v>0.5</v>
      </c>
      <c r="L53" s="108">
        <v>1</v>
      </c>
      <c r="M53" s="108">
        <v>1</v>
      </c>
      <c r="N53" s="110" t="s">
        <v>162</v>
      </c>
      <c r="O53" s="110">
        <f t="shared" si="7"/>
        <v>9</v>
      </c>
      <c r="P53" s="124">
        <v>44853</v>
      </c>
      <c r="Q53" s="124">
        <v>44863</v>
      </c>
      <c r="R53" s="111">
        <v>1</v>
      </c>
      <c r="S53" s="111">
        <v>1</v>
      </c>
      <c r="T53" s="111">
        <v>1</v>
      </c>
      <c r="U53" s="112">
        <f>IF(ISBLANK(Table1[[#This Row],[OHC Date]]),$B$7-Table1[[#This Row],[HOC Date]]+1,Table1[[#This Row],[OHC Date]]-Table1[[#This Row],[HOC Date]]+1)/7</f>
        <v>1.5714285714285714</v>
      </c>
      <c r="V53" s="113">
        <v>32.75</v>
      </c>
      <c r="W53" s="113">
        <v>1.05</v>
      </c>
      <c r="X53" s="113">
        <f>ROUND(0.7*Table1[[#This Row],[E&amp;D Rate per unit]]*R53*Table1[[#This Row],[Quantity]],2)</f>
        <v>206.33</v>
      </c>
      <c r="Y53" s="113">
        <f t="shared" si="8"/>
        <v>14.85</v>
      </c>
      <c r="Z53" s="113">
        <f>ROUND(0.3*T53*Table1[[#This Row],[E&amp;D Rate per unit]]*Table1[[#This Row],[Quantity]],2)</f>
        <v>88.43</v>
      </c>
      <c r="AA53" s="113">
        <v>309.61</v>
      </c>
      <c r="AB53" s="135">
        <v>215.78</v>
      </c>
      <c r="AC53" s="135">
        <v>93.830000000000013</v>
      </c>
      <c r="AD53" s="114"/>
      <c r="AE53" s="153">
        <v>215.78</v>
      </c>
      <c r="AF53" s="161">
        <f>Table1[[#This Row],[Certified Amount (Cum)]]-Table1[[#This Row],[Certified Amount (Previous)]]</f>
        <v>93.830000000000013</v>
      </c>
      <c r="AG53" s="160">
        <f t="shared" si="0"/>
        <v>309.61</v>
      </c>
      <c r="AH53" s="158">
        <f>Table1[[#This Row],[Certified Amount (Cum)]]-Table1[[#This Row],[Total Amount]]</f>
        <v>0</v>
      </c>
    </row>
    <row r="54" spans="1:34" ht="30" customHeight="1" x14ac:dyDescent="0.3">
      <c r="A54" s="107" t="s">
        <v>91</v>
      </c>
      <c r="B54" s="90" t="s">
        <v>99</v>
      </c>
      <c r="C54" s="145">
        <v>26</v>
      </c>
      <c r="D54" s="108">
        <v>77654</v>
      </c>
      <c r="E54" s="108">
        <v>80501</v>
      </c>
      <c r="F54" s="109" t="s">
        <v>236</v>
      </c>
      <c r="G54" s="17" t="s">
        <v>237</v>
      </c>
      <c r="H54" s="108" t="s">
        <v>222</v>
      </c>
      <c r="I54" s="108">
        <v>1</v>
      </c>
      <c r="J54" s="108">
        <v>1.8</v>
      </c>
      <c r="K54" s="108">
        <v>1</v>
      </c>
      <c r="L54" s="108">
        <v>2</v>
      </c>
      <c r="M54" s="108">
        <v>1</v>
      </c>
      <c r="N54" s="110" t="s">
        <v>223</v>
      </c>
      <c r="O54" s="110">
        <f t="shared" si="7"/>
        <v>2</v>
      </c>
      <c r="P54" s="124">
        <v>44853</v>
      </c>
      <c r="Q54" s="124">
        <v>44869</v>
      </c>
      <c r="R54" s="111">
        <v>1</v>
      </c>
      <c r="S54" s="111">
        <v>1</v>
      </c>
      <c r="T54" s="111">
        <v>1</v>
      </c>
      <c r="U54" s="112">
        <f>IF(ISBLANK(Table1[[#This Row],[OHC Date]]),$B$7-Table1[[#This Row],[HOC Date]]+1,Table1[[#This Row],[OHC Date]]-Table1[[#This Row],[HOC Date]]+1)/7</f>
        <v>2.4285714285714284</v>
      </c>
      <c r="V54" s="113">
        <v>63.34</v>
      </c>
      <c r="W54" s="113">
        <v>7.28</v>
      </c>
      <c r="X54" s="113">
        <f>ROUND(0.7*Table1[[#This Row],[E&amp;D Rate per unit]]*R54*Table1[[#This Row],[Quantity]],2)</f>
        <v>88.68</v>
      </c>
      <c r="Y54" s="113">
        <f t="shared" si="8"/>
        <v>35.36</v>
      </c>
      <c r="Z54" s="113">
        <f>ROUND(0.3*T54*Table1[[#This Row],[E&amp;D Rate per unit]]*Table1[[#This Row],[Quantity]],2)</f>
        <v>38</v>
      </c>
      <c r="AA54" s="113">
        <v>162.04</v>
      </c>
      <c r="AB54" s="135">
        <v>103.24</v>
      </c>
      <c r="AC54" s="135">
        <v>58.8</v>
      </c>
      <c r="AD54" s="114"/>
      <c r="AE54" s="153">
        <v>103.24000000000001</v>
      </c>
      <c r="AF54" s="161">
        <f>Table1[[#This Row],[Certified Amount (Cum)]]-Table1[[#This Row],[Certified Amount (Previous)]]</f>
        <v>58.800000000000011</v>
      </c>
      <c r="AG54" s="160">
        <f t="shared" si="0"/>
        <v>162.04000000000002</v>
      </c>
      <c r="AH54" s="158">
        <f>Table1[[#This Row],[Certified Amount (Cum)]]-Table1[[#This Row],[Total Amount]]</f>
        <v>0</v>
      </c>
    </row>
    <row r="55" spans="1:34" ht="30" customHeight="1" x14ac:dyDescent="0.3">
      <c r="A55" s="107" t="s">
        <v>91</v>
      </c>
      <c r="B55" s="90" t="s">
        <v>99</v>
      </c>
      <c r="C55" s="145">
        <v>27</v>
      </c>
      <c r="D55" s="108">
        <v>77655</v>
      </c>
      <c r="E55" s="108">
        <v>80525</v>
      </c>
      <c r="F55" s="109" t="s">
        <v>227</v>
      </c>
      <c r="G55" s="17" t="s">
        <v>228</v>
      </c>
      <c r="H55" s="108" t="s">
        <v>207</v>
      </c>
      <c r="I55" s="108">
        <v>1</v>
      </c>
      <c r="J55" s="108">
        <v>5</v>
      </c>
      <c r="K55" s="108">
        <v>1.3</v>
      </c>
      <c r="L55" s="108">
        <v>4.5</v>
      </c>
      <c r="M55" s="108">
        <v>1</v>
      </c>
      <c r="N55" s="110" t="s">
        <v>208</v>
      </c>
      <c r="O55" s="110">
        <f t="shared" si="7"/>
        <v>22.5</v>
      </c>
      <c r="P55" s="124">
        <v>44853</v>
      </c>
      <c r="Q55" s="124">
        <v>44881</v>
      </c>
      <c r="R55" s="111">
        <v>1</v>
      </c>
      <c r="S55" s="111">
        <v>1</v>
      </c>
      <c r="T55" s="111">
        <v>1</v>
      </c>
      <c r="U55" s="112">
        <f>IF(ISBLANK(Table1[[#This Row],[OHC Date]]),$B$7-Table1[[#This Row],[HOC Date]]+1,Table1[[#This Row],[OHC Date]]-Table1[[#This Row],[HOC Date]]+1)/7</f>
        <v>4.1428571428571432</v>
      </c>
      <c r="V55" s="113">
        <v>12.01</v>
      </c>
      <c r="W55" s="113">
        <v>0.49</v>
      </c>
      <c r="X55" s="113">
        <f>ROUND(0.7*Table1[[#This Row],[E&amp;D Rate per unit]]*R55*Table1[[#This Row],[Quantity]],2)</f>
        <v>189.16</v>
      </c>
      <c r="Y55" s="113">
        <f t="shared" si="8"/>
        <v>45.68</v>
      </c>
      <c r="Z55" s="113">
        <f>ROUND(0.3*T55*Table1[[#This Row],[E&amp;D Rate per unit]]*Table1[[#This Row],[Quantity]],2)</f>
        <v>81.069999999999993</v>
      </c>
      <c r="AA55" s="113">
        <v>315.91000000000003</v>
      </c>
      <c r="AB55" s="135">
        <v>200.19</v>
      </c>
      <c r="AC55" s="135">
        <v>115.72000000000003</v>
      </c>
      <c r="AD55" s="114" t="s">
        <v>220</v>
      </c>
      <c r="AE55" s="153">
        <v>200.19</v>
      </c>
      <c r="AF55" s="161">
        <f>Table1[[#This Row],[Certified Amount (Cum)]]-Table1[[#This Row],[Certified Amount (Previous)]]</f>
        <v>115.71999999999997</v>
      </c>
      <c r="AG55" s="160">
        <f t="shared" si="0"/>
        <v>315.90999999999997</v>
      </c>
      <c r="AH55" s="158">
        <f>Table1[[#This Row],[Certified Amount (Cum)]]-Table1[[#This Row],[Total Amount]]</f>
        <v>0</v>
      </c>
    </row>
    <row r="56" spans="1:34" ht="30" customHeight="1" x14ac:dyDescent="0.3">
      <c r="A56" s="107" t="s">
        <v>91</v>
      </c>
      <c r="B56" s="90" t="s">
        <v>99</v>
      </c>
      <c r="C56" s="145">
        <v>28</v>
      </c>
      <c r="D56" s="108">
        <v>77656</v>
      </c>
      <c r="E56" s="108">
        <v>80507</v>
      </c>
      <c r="F56" s="109" t="s">
        <v>227</v>
      </c>
      <c r="G56" s="17" t="s">
        <v>228</v>
      </c>
      <c r="H56" s="108" t="s">
        <v>222</v>
      </c>
      <c r="I56" s="108">
        <v>1</v>
      </c>
      <c r="J56" s="108">
        <v>2.5</v>
      </c>
      <c r="K56" s="108">
        <v>1.8</v>
      </c>
      <c r="L56" s="108">
        <v>4.5</v>
      </c>
      <c r="M56" s="108">
        <v>1</v>
      </c>
      <c r="N56" s="110" t="s">
        <v>223</v>
      </c>
      <c r="O56" s="110">
        <f t="shared" si="7"/>
        <v>4.5</v>
      </c>
      <c r="P56" s="124">
        <v>44854</v>
      </c>
      <c r="Q56" s="124">
        <v>44876</v>
      </c>
      <c r="R56" s="111">
        <v>1</v>
      </c>
      <c r="S56" s="111">
        <v>1</v>
      </c>
      <c r="T56" s="111">
        <v>1</v>
      </c>
      <c r="U56" s="112">
        <f>IF(ISBLANK(Table1[[#This Row],[OHC Date]]),$B$7-Table1[[#This Row],[HOC Date]]+1,Table1[[#This Row],[OHC Date]]-Table1[[#This Row],[HOC Date]]+1)/7</f>
        <v>3.2857142857142856</v>
      </c>
      <c r="V56" s="113">
        <v>63.34</v>
      </c>
      <c r="W56" s="113">
        <v>7.28</v>
      </c>
      <c r="X56" s="113">
        <f>ROUND(0.7*Table1[[#This Row],[E&amp;D Rate per unit]]*R56*Table1[[#This Row],[Quantity]],2)</f>
        <v>199.52</v>
      </c>
      <c r="Y56" s="113">
        <f t="shared" si="8"/>
        <v>107.64</v>
      </c>
      <c r="Z56" s="113">
        <f>ROUND(0.3*T56*Table1[[#This Row],[E&amp;D Rate per unit]]*Table1[[#This Row],[Quantity]],2)</f>
        <v>85.51</v>
      </c>
      <c r="AA56" s="113">
        <v>392.67</v>
      </c>
      <c r="AB56" s="135">
        <v>227.6</v>
      </c>
      <c r="AC56" s="135">
        <v>165.07000000000002</v>
      </c>
      <c r="AD56" s="114" t="s">
        <v>220</v>
      </c>
      <c r="AE56" s="153">
        <v>227.60000000000002</v>
      </c>
      <c r="AF56" s="161">
        <f>Table1[[#This Row],[Certified Amount (Cum)]]-Table1[[#This Row],[Certified Amount (Previous)]]</f>
        <v>165.07</v>
      </c>
      <c r="AG56" s="160">
        <f t="shared" si="0"/>
        <v>392.67</v>
      </c>
      <c r="AH56" s="158">
        <f>Table1[[#This Row],[Certified Amount (Cum)]]-Table1[[#This Row],[Total Amount]]</f>
        <v>0</v>
      </c>
    </row>
    <row r="57" spans="1:34" ht="30" customHeight="1" x14ac:dyDescent="0.3">
      <c r="A57" s="107" t="s">
        <v>91</v>
      </c>
      <c r="B57" s="90" t="s">
        <v>99</v>
      </c>
      <c r="C57" s="145">
        <v>28</v>
      </c>
      <c r="D57" s="108">
        <v>77656</v>
      </c>
      <c r="E57" s="108">
        <v>80507</v>
      </c>
      <c r="F57" s="109" t="s">
        <v>227</v>
      </c>
      <c r="G57" s="17" t="s">
        <v>228</v>
      </c>
      <c r="H57" s="108" t="s">
        <v>178</v>
      </c>
      <c r="I57" s="108">
        <v>1</v>
      </c>
      <c r="J57" s="108">
        <v>2.5</v>
      </c>
      <c r="K57" s="108">
        <v>1.8</v>
      </c>
      <c r="L57" s="108"/>
      <c r="M57" s="108">
        <v>1</v>
      </c>
      <c r="N57" s="110" t="s">
        <v>162</v>
      </c>
      <c r="O57" s="110">
        <f t="shared" si="7"/>
        <v>4.5</v>
      </c>
      <c r="P57" s="124">
        <v>44854</v>
      </c>
      <c r="Q57" s="124">
        <v>44876</v>
      </c>
      <c r="R57" s="111">
        <v>1</v>
      </c>
      <c r="S57" s="111">
        <v>1</v>
      </c>
      <c r="T57" s="111">
        <v>1</v>
      </c>
      <c r="U57" s="112">
        <f>IF(ISBLANK(Table1[[#This Row],[OHC Date]]),$B$7-Table1[[#This Row],[HOC Date]]+1,Table1[[#This Row],[OHC Date]]-Table1[[#This Row],[HOC Date]]+1)/7</f>
        <v>3.2857142857142856</v>
      </c>
      <c r="V57" s="113">
        <v>6.63</v>
      </c>
      <c r="W57" s="113">
        <v>0.7</v>
      </c>
      <c r="X57" s="113">
        <f>ROUND(0.7*Table1[[#This Row],[E&amp;D Rate per unit]]*R57*Table1[[#This Row],[Quantity]],2)</f>
        <v>20.88</v>
      </c>
      <c r="Y57" s="113">
        <f t="shared" si="8"/>
        <v>10.35</v>
      </c>
      <c r="Z57" s="113">
        <f>ROUND(0.3*T57*Table1[[#This Row],[E&amp;D Rate per unit]]*Table1[[#This Row],[Quantity]],2)</f>
        <v>8.9499999999999993</v>
      </c>
      <c r="AA57" s="113">
        <v>40.18</v>
      </c>
      <c r="AB57" s="135">
        <v>23.58</v>
      </c>
      <c r="AC57" s="135">
        <v>16.600000000000001</v>
      </c>
      <c r="AD57" s="114" t="s">
        <v>220</v>
      </c>
      <c r="AE57" s="153">
        <v>23.58</v>
      </c>
      <c r="AF57" s="161">
        <f>Table1[[#This Row],[Certified Amount (Cum)]]-Table1[[#This Row],[Certified Amount (Previous)]]</f>
        <v>16.599999999999994</v>
      </c>
      <c r="AG57" s="160">
        <f t="shared" si="0"/>
        <v>40.179999999999993</v>
      </c>
      <c r="AH57" s="158">
        <f>Table1[[#This Row],[Certified Amount (Cum)]]-Table1[[#This Row],[Total Amount]]</f>
        <v>0</v>
      </c>
    </row>
    <row r="58" spans="1:34" ht="30" customHeight="1" x14ac:dyDescent="0.3">
      <c r="A58" s="107" t="s">
        <v>91</v>
      </c>
      <c r="B58" s="90" t="s">
        <v>99</v>
      </c>
      <c r="C58" s="108">
        <v>29</v>
      </c>
      <c r="D58" s="108">
        <v>77657</v>
      </c>
      <c r="E58" s="108"/>
      <c r="F58" s="109" t="s">
        <v>227</v>
      </c>
      <c r="G58" s="17" t="s">
        <v>228</v>
      </c>
      <c r="H58" s="108" t="s">
        <v>222</v>
      </c>
      <c r="I58" s="108">
        <v>1</v>
      </c>
      <c r="J58" s="108">
        <v>2.5</v>
      </c>
      <c r="K58" s="108">
        <v>1.8</v>
      </c>
      <c r="L58" s="108">
        <v>4.5</v>
      </c>
      <c r="M58" s="108">
        <v>1</v>
      </c>
      <c r="N58" s="110" t="s">
        <v>223</v>
      </c>
      <c r="O58" s="110">
        <f t="shared" si="7"/>
        <v>4.5</v>
      </c>
      <c r="P58" s="124">
        <v>44854</v>
      </c>
      <c r="Q58" s="124"/>
      <c r="R58" s="111">
        <v>1</v>
      </c>
      <c r="S58" s="111">
        <v>1</v>
      </c>
      <c r="T58" s="111">
        <v>0</v>
      </c>
      <c r="U58" s="112">
        <f>IF(ISBLANK(Table1[[#This Row],[OHC Date]]),$B$7-Table1[[#This Row],[HOC Date]]+1,Table1[[#This Row],[OHC Date]]-Table1[[#This Row],[HOC Date]]+1)/7</f>
        <v>5.2857142857142856</v>
      </c>
      <c r="V58" s="113">
        <v>63.34</v>
      </c>
      <c r="W58" s="113">
        <v>7.28</v>
      </c>
      <c r="X58" s="113">
        <f>ROUND(0.7*Table1[[#This Row],[E&amp;D Rate per unit]]*R58*Table1[[#This Row],[Quantity]],2)</f>
        <v>199.52</v>
      </c>
      <c r="Y58" s="113">
        <f t="shared" si="8"/>
        <v>173.16</v>
      </c>
      <c r="Z58" s="113">
        <f>ROUND(0.3*T58*Table1[[#This Row],[E&amp;D Rate per unit]]*Table1[[#This Row],[Quantity]],2)</f>
        <v>0</v>
      </c>
      <c r="AA58" s="113">
        <v>372.68</v>
      </c>
      <c r="AB58" s="135">
        <v>227.6</v>
      </c>
      <c r="AC58" s="135">
        <v>145.08000000000001</v>
      </c>
      <c r="AD58" s="114" t="s">
        <v>220</v>
      </c>
      <c r="AE58" s="153">
        <v>227.60000000000002</v>
      </c>
      <c r="AF58" s="161">
        <f>Table1[[#This Row],[Certified Amount (Cum)]]-Table1[[#This Row],[Certified Amount (Previous)]]</f>
        <v>145.07999999999998</v>
      </c>
      <c r="AG58" s="160">
        <f t="shared" si="0"/>
        <v>372.68</v>
      </c>
      <c r="AH58" s="158">
        <f>Table1[[#This Row],[Certified Amount (Cum)]]-Table1[[#This Row],[Total Amount]]</f>
        <v>0</v>
      </c>
    </row>
    <row r="59" spans="1:34" ht="30" customHeight="1" x14ac:dyDescent="0.3">
      <c r="A59" s="107" t="s">
        <v>91</v>
      </c>
      <c r="B59" s="90" t="s">
        <v>99</v>
      </c>
      <c r="C59" s="145" t="s">
        <v>238</v>
      </c>
      <c r="D59" s="108">
        <v>77661</v>
      </c>
      <c r="E59" s="108">
        <v>76774</v>
      </c>
      <c r="F59" s="109" t="s">
        <v>240</v>
      </c>
      <c r="G59" s="17" t="s">
        <v>161</v>
      </c>
      <c r="H59" s="108" t="s">
        <v>128</v>
      </c>
      <c r="I59" s="108">
        <v>1</v>
      </c>
      <c r="J59" s="108">
        <v>10.8</v>
      </c>
      <c r="K59" s="108">
        <v>0.5</v>
      </c>
      <c r="L59" s="108">
        <v>1</v>
      </c>
      <c r="M59" s="108">
        <v>1</v>
      </c>
      <c r="N59" s="110" t="s">
        <v>162</v>
      </c>
      <c r="O59" s="110">
        <f t="shared" si="7"/>
        <v>5.4</v>
      </c>
      <c r="P59" s="124">
        <v>44855</v>
      </c>
      <c r="Q59" s="124">
        <v>44863</v>
      </c>
      <c r="R59" s="111">
        <v>1</v>
      </c>
      <c r="S59" s="111">
        <v>1</v>
      </c>
      <c r="T59" s="111">
        <v>1</v>
      </c>
      <c r="U59" s="112">
        <f>IF(ISBLANK(Table1[[#This Row],[OHC Date]]),$B$7-Table1[[#This Row],[HOC Date]]+1,Table1[[#This Row],[OHC Date]]-Table1[[#This Row],[HOC Date]]+1)/7</f>
        <v>1.2857142857142858</v>
      </c>
      <c r="V59" s="113">
        <v>32.75</v>
      </c>
      <c r="W59" s="113">
        <v>1.05</v>
      </c>
      <c r="X59" s="113">
        <f>ROUND(0.7*Table1[[#This Row],[E&amp;D Rate per unit]]*R59*Table1[[#This Row],[Quantity]],2)</f>
        <v>123.8</v>
      </c>
      <c r="Y59" s="113">
        <f t="shared" si="8"/>
        <v>7.29</v>
      </c>
      <c r="Z59" s="113">
        <f>ROUND(0.3*T59*Table1[[#This Row],[E&amp;D Rate per unit]]*Table1[[#This Row],[Quantity]],2)</f>
        <v>53.06</v>
      </c>
      <c r="AA59" s="113">
        <v>184.15</v>
      </c>
      <c r="AB59" s="135">
        <v>127.85</v>
      </c>
      <c r="AC59" s="135">
        <v>56.300000000000011</v>
      </c>
      <c r="AD59" s="114"/>
      <c r="AE59" s="153">
        <v>127.85</v>
      </c>
      <c r="AF59" s="161">
        <f>Table1[[#This Row],[Certified Amount (Cum)]]-Table1[[#This Row],[Certified Amount (Previous)]]</f>
        <v>56.300000000000011</v>
      </c>
      <c r="AG59" s="160">
        <f t="shared" si="0"/>
        <v>184.15</v>
      </c>
      <c r="AH59" s="158">
        <f>Table1[[#This Row],[Certified Amount (Cum)]]-Table1[[#This Row],[Total Amount]]</f>
        <v>0</v>
      </c>
    </row>
    <row r="60" spans="1:34" ht="30" customHeight="1" x14ac:dyDescent="0.3">
      <c r="A60" s="107" t="s">
        <v>91</v>
      </c>
      <c r="B60" s="90" t="s">
        <v>99</v>
      </c>
      <c r="C60" s="108" t="s">
        <v>239</v>
      </c>
      <c r="D60" s="108">
        <v>77662</v>
      </c>
      <c r="E60" s="108"/>
      <c r="F60" s="109" t="s">
        <v>240</v>
      </c>
      <c r="G60" s="17" t="s">
        <v>192</v>
      </c>
      <c r="H60" s="108" t="s">
        <v>129</v>
      </c>
      <c r="I60" s="108">
        <v>1</v>
      </c>
      <c r="J60" s="108">
        <v>3.6</v>
      </c>
      <c r="K60" s="108">
        <v>0.75</v>
      </c>
      <c r="L60" s="108">
        <v>1</v>
      </c>
      <c r="M60" s="108">
        <v>1</v>
      </c>
      <c r="N60" s="110" t="s">
        <v>162</v>
      </c>
      <c r="O60" s="110">
        <f t="shared" si="7"/>
        <v>2.7</v>
      </c>
      <c r="P60" s="124">
        <v>44855</v>
      </c>
      <c r="Q60" s="124"/>
      <c r="R60" s="111">
        <v>1</v>
      </c>
      <c r="S60" s="111">
        <v>1</v>
      </c>
      <c r="T60" s="111">
        <v>0</v>
      </c>
      <c r="U60" s="112">
        <f>IF(ISBLANK(Table1[[#This Row],[OHC Date]]),$B$7-Table1[[#This Row],[HOC Date]]+1,Table1[[#This Row],[OHC Date]]-Table1[[#This Row],[HOC Date]]+1)/7</f>
        <v>5.1428571428571432</v>
      </c>
      <c r="V60" s="113">
        <v>36.520000000000003</v>
      </c>
      <c r="W60" s="113">
        <v>2.94</v>
      </c>
      <c r="X60" s="113">
        <f>ROUND(0.7*Table1[[#This Row],[E&amp;D Rate per unit]]*R60*Table1[[#This Row],[Quantity]],2)</f>
        <v>69.02</v>
      </c>
      <c r="Y60" s="113">
        <f t="shared" si="8"/>
        <v>40.82</v>
      </c>
      <c r="Z60" s="113">
        <f>ROUND(0.3*T60*Table1[[#This Row],[E&amp;D Rate per unit]]*Table1[[#This Row],[Quantity]],2)</f>
        <v>0</v>
      </c>
      <c r="AA60" s="113">
        <v>109.84</v>
      </c>
      <c r="AB60" s="135">
        <v>74.69</v>
      </c>
      <c r="AC60" s="135">
        <v>35.150000000000006</v>
      </c>
      <c r="AD60" s="114"/>
      <c r="AE60" s="153">
        <v>74.69</v>
      </c>
      <c r="AF60" s="161">
        <f>Table1[[#This Row],[Certified Amount (Cum)]]-Table1[[#This Row],[Certified Amount (Previous)]]</f>
        <v>35.150000000000006</v>
      </c>
      <c r="AG60" s="160">
        <f t="shared" si="0"/>
        <v>109.84</v>
      </c>
      <c r="AH60" s="158">
        <f>Table1[[#This Row],[Certified Amount (Cum)]]-Table1[[#This Row],[Total Amount]]</f>
        <v>0</v>
      </c>
    </row>
    <row r="61" spans="1:34" ht="30" customHeight="1" x14ac:dyDescent="0.3">
      <c r="A61" s="107" t="s">
        <v>241</v>
      </c>
      <c r="B61" s="90" t="s">
        <v>99</v>
      </c>
      <c r="C61" s="108">
        <v>30</v>
      </c>
      <c r="D61" s="108">
        <v>77667</v>
      </c>
      <c r="E61" s="108"/>
      <c r="F61" s="109" t="s">
        <v>242</v>
      </c>
      <c r="G61" s="17" t="s">
        <v>243</v>
      </c>
      <c r="H61" s="108" t="s">
        <v>207</v>
      </c>
      <c r="I61" s="108">
        <v>1</v>
      </c>
      <c r="J61" s="108">
        <v>4</v>
      </c>
      <c r="K61" s="108">
        <v>1.3</v>
      </c>
      <c r="L61" s="108">
        <v>2</v>
      </c>
      <c r="M61" s="108">
        <v>1</v>
      </c>
      <c r="N61" s="110" t="s">
        <v>56</v>
      </c>
      <c r="O61" s="110">
        <f t="shared" si="7"/>
        <v>1</v>
      </c>
      <c r="P61" s="124">
        <v>44855</v>
      </c>
      <c r="Q61" s="124"/>
      <c r="R61" s="111">
        <v>1</v>
      </c>
      <c r="S61" s="111">
        <v>1</v>
      </c>
      <c r="T61" s="111">
        <v>0</v>
      </c>
      <c r="U61" s="112">
        <f>IF(ISBLANK(Table1[[#This Row],[OHC Date]]),$B$7-Table1[[#This Row],[HOC Date]]+1,Table1[[#This Row],[OHC Date]]-Table1[[#This Row],[HOC Date]]+1)/7</f>
        <v>5.1428571428571432</v>
      </c>
      <c r="V61" s="113">
        <v>916.08</v>
      </c>
      <c r="W61" s="113">
        <v>3.92</v>
      </c>
      <c r="X61" s="113">
        <f>ROUND(0.7*Table1[[#This Row],[E&amp;D Rate per unit]]*R61*Table1[[#This Row],[Quantity]],2)</f>
        <v>641.26</v>
      </c>
      <c r="Y61" s="113">
        <f t="shared" si="8"/>
        <v>20.16</v>
      </c>
      <c r="Z61" s="113">
        <f>ROUND(0.3*T61*Table1[[#This Row],[E&amp;D Rate per unit]]*Table1[[#This Row],[Quantity]],2)</f>
        <v>0</v>
      </c>
      <c r="AA61" s="113">
        <v>661.42</v>
      </c>
      <c r="AB61" s="135">
        <v>644.05999999999995</v>
      </c>
      <c r="AC61" s="135">
        <v>17.360000000000014</v>
      </c>
      <c r="AD61" s="139" t="s">
        <v>245</v>
      </c>
      <c r="AE61" s="153">
        <v>644.05999999999995</v>
      </c>
      <c r="AF61" s="161">
        <f>Table1[[#This Row],[Certified Amount (Cum)]]-Table1[[#This Row],[Certified Amount (Previous)]]</f>
        <v>17.360000000000014</v>
      </c>
      <c r="AG61" s="160">
        <f t="shared" si="0"/>
        <v>661.42</v>
      </c>
      <c r="AH61" s="158">
        <f>Table1[[#This Row],[Certified Amount (Cum)]]-Table1[[#This Row],[Total Amount]]</f>
        <v>0</v>
      </c>
    </row>
    <row r="62" spans="1:34" ht="30" customHeight="1" x14ac:dyDescent="0.3">
      <c r="A62" s="107" t="s">
        <v>241</v>
      </c>
      <c r="B62" s="90" t="s">
        <v>99</v>
      </c>
      <c r="C62" s="108" t="s">
        <v>244</v>
      </c>
      <c r="D62" s="108">
        <v>77668</v>
      </c>
      <c r="E62" s="108"/>
      <c r="F62" s="109" t="s">
        <v>242</v>
      </c>
      <c r="G62" s="17" t="s">
        <v>243</v>
      </c>
      <c r="H62" s="108" t="s">
        <v>207</v>
      </c>
      <c r="I62" s="108">
        <v>1</v>
      </c>
      <c r="J62" s="108">
        <v>8</v>
      </c>
      <c r="K62" s="108">
        <v>1.3</v>
      </c>
      <c r="L62" s="108">
        <v>3</v>
      </c>
      <c r="M62" s="108">
        <v>2</v>
      </c>
      <c r="N62" s="110" t="s">
        <v>56</v>
      </c>
      <c r="O62" s="110">
        <f t="shared" si="7"/>
        <v>1</v>
      </c>
      <c r="P62" s="124">
        <v>44855</v>
      </c>
      <c r="Q62" s="124"/>
      <c r="R62" s="111">
        <v>1</v>
      </c>
      <c r="S62" s="111">
        <v>1</v>
      </c>
      <c r="T62" s="111">
        <v>0</v>
      </c>
      <c r="U62" s="112">
        <f>IF(ISBLANK(Table1[[#This Row],[OHC Date]]),$B$7-Table1[[#This Row],[HOC Date]]+1,Table1[[#This Row],[OHC Date]]-Table1[[#This Row],[HOC Date]]+1)/7</f>
        <v>5.1428571428571432</v>
      </c>
      <c r="V62" s="113">
        <v>2093.27</v>
      </c>
      <c r="W62" s="113">
        <v>22.96</v>
      </c>
      <c r="X62" s="113">
        <f>ROUND(0.7*Table1[[#This Row],[E&amp;D Rate per unit]]*R62*Table1[[#This Row],[Quantity]],2)</f>
        <v>1465.29</v>
      </c>
      <c r="Y62" s="113">
        <f t="shared" si="8"/>
        <v>118.08</v>
      </c>
      <c r="Z62" s="113">
        <f>ROUND(0.3*T62*Table1[[#This Row],[E&amp;D Rate per unit]]*Table1[[#This Row],[Quantity]],2)</f>
        <v>0</v>
      </c>
      <c r="AA62" s="113">
        <v>1583.37</v>
      </c>
      <c r="AB62" s="135">
        <v>1481.69</v>
      </c>
      <c r="AC62" s="135">
        <v>101.67999999999984</v>
      </c>
      <c r="AD62" s="139" t="s">
        <v>246</v>
      </c>
      <c r="AE62" s="153">
        <v>1481.69</v>
      </c>
      <c r="AF62" s="161">
        <f>Table1[[#This Row],[Certified Amount (Cum)]]-Table1[[#This Row],[Certified Amount (Previous)]]</f>
        <v>101.67999999999984</v>
      </c>
      <c r="AG62" s="160">
        <f t="shared" si="0"/>
        <v>1583.37</v>
      </c>
      <c r="AH62" s="158">
        <f>Table1[[#This Row],[Certified Amount (Cum)]]-Table1[[#This Row],[Total Amount]]</f>
        <v>0</v>
      </c>
    </row>
    <row r="63" spans="1:34" ht="30" customHeight="1" x14ac:dyDescent="0.3">
      <c r="A63" s="140" t="s">
        <v>247</v>
      </c>
      <c r="B63" s="90" t="s">
        <v>99</v>
      </c>
      <c r="C63" s="108">
        <v>31</v>
      </c>
      <c r="D63" s="108">
        <v>77669</v>
      </c>
      <c r="E63" s="108"/>
      <c r="F63" s="17" t="s">
        <v>249</v>
      </c>
      <c r="G63" s="17" t="s">
        <v>202</v>
      </c>
      <c r="H63" s="108" t="s">
        <v>250</v>
      </c>
      <c r="I63" s="108">
        <v>1</v>
      </c>
      <c r="J63" s="108">
        <v>22.5</v>
      </c>
      <c r="K63" s="108">
        <v>3.6</v>
      </c>
      <c r="L63" s="108"/>
      <c r="M63" s="108">
        <v>1</v>
      </c>
      <c r="N63" s="110" t="s">
        <v>56</v>
      </c>
      <c r="O63" s="110">
        <f t="shared" si="7"/>
        <v>1</v>
      </c>
      <c r="P63" s="124">
        <v>44855</v>
      </c>
      <c r="Q63" s="124"/>
      <c r="R63" s="111">
        <v>1</v>
      </c>
      <c r="S63" s="111">
        <v>1</v>
      </c>
      <c r="T63" s="111">
        <v>0</v>
      </c>
      <c r="U63" s="112">
        <f>IF(ISBLANK(Table1[[#This Row],[OHC Date]]),$B$7-Table1[[#This Row],[HOC Date]]+1,Table1[[#This Row],[OHC Date]]-Table1[[#This Row],[HOC Date]]+1)/7</f>
        <v>5.1428571428571432</v>
      </c>
      <c r="V63" s="113">
        <v>13343.06</v>
      </c>
      <c r="W63" s="113">
        <v>660.1</v>
      </c>
      <c r="X63" s="113">
        <f>ROUND(0.7*Table1[[#This Row],[E&amp;D Rate per unit]]*R63*Table1[[#This Row],[Quantity]],2)</f>
        <v>9340.14</v>
      </c>
      <c r="Y63" s="113">
        <f t="shared" si="8"/>
        <v>3394.8</v>
      </c>
      <c r="Z63" s="113">
        <f>ROUND(0.3*T63*Table1[[#This Row],[E&amp;D Rate per unit]]*Table1[[#This Row],[Quantity]],2)</f>
        <v>0</v>
      </c>
      <c r="AA63" s="113">
        <v>12734.94</v>
      </c>
      <c r="AB63" s="135">
        <v>9811.64</v>
      </c>
      <c r="AC63" s="135">
        <v>2923.3000000000011</v>
      </c>
      <c r="AD63" s="136" t="s">
        <v>251</v>
      </c>
      <c r="AE63" s="153">
        <v>9811.64</v>
      </c>
      <c r="AF63" s="161">
        <f>Table1[[#This Row],[Certified Amount (Cum)]]-Table1[[#This Row],[Certified Amount (Previous)]]</f>
        <v>2923.2999999999993</v>
      </c>
      <c r="AG63" s="160">
        <f t="shared" si="0"/>
        <v>12734.939999999999</v>
      </c>
      <c r="AH63" s="158">
        <f>Table1[[#This Row],[Certified Amount (Cum)]]-Table1[[#This Row],[Total Amount]]</f>
        <v>0</v>
      </c>
    </row>
    <row r="64" spans="1:34" ht="30" customHeight="1" x14ac:dyDescent="0.3">
      <c r="A64" s="107" t="s">
        <v>91</v>
      </c>
      <c r="B64" s="90" t="s">
        <v>99</v>
      </c>
      <c r="C64" s="145">
        <v>32</v>
      </c>
      <c r="D64" s="108">
        <v>77663</v>
      </c>
      <c r="E64" s="108">
        <v>76779</v>
      </c>
      <c r="F64" s="17" t="s">
        <v>252</v>
      </c>
      <c r="G64" s="17" t="s">
        <v>192</v>
      </c>
      <c r="H64" s="108" t="s">
        <v>207</v>
      </c>
      <c r="I64" s="108">
        <v>1</v>
      </c>
      <c r="J64" s="108">
        <v>3.6</v>
      </c>
      <c r="K64" s="108">
        <v>1.3</v>
      </c>
      <c r="L64" s="108">
        <v>4</v>
      </c>
      <c r="M64" s="108">
        <v>1</v>
      </c>
      <c r="N64" s="110" t="s">
        <v>208</v>
      </c>
      <c r="O64" s="110">
        <f t="shared" si="7"/>
        <v>14.4</v>
      </c>
      <c r="P64" s="124">
        <v>44856</v>
      </c>
      <c r="Q64" s="124">
        <v>44868</v>
      </c>
      <c r="R64" s="111">
        <v>1</v>
      </c>
      <c r="S64" s="111">
        <v>1</v>
      </c>
      <c r="T64" s="111">
        <v>1</v>
      </c>
      <c r="U64" s="112">
        <f>IF(ISBLANK(Table1[[#This Row],[OHC Date]]),$B$7-Table1[[#This Row],[HOC Date]]+1,Table1[[#This Row],[OHC Date]]-Table1[[#This Row],[HOC Date]]+1)/7</f>
        <v>1.8571428571428572</v>
      </c>
      <c r="V64" s="113">
        <v>12.01</v>
      </c>
      <c r="W64" s="113">
        <v>0.49</v>
      </c>
      <c r="X64" s="113">
        <f>ROUND(0.7*Table1[[#This Row],[E&amp;D Rate per unit]]*R64*Table1[[#This Row],[Quantity]],2)</f>
        <v>121.06</v>
      </c>
      <c r="Y64" s="113">
        <f t="shared" si="8"/>
        <v>13.1</v>
      </c>
      <c r="Z64" s="113">
        <f>ROUND(0.3*T64*Table1[[#This Row],[E&amp;D Rate per unit]]*Table1[[#This Row],[Quantity]],2)</f>
        <v>51.88</v>
      </c>
      <c r="AA64" s="113">
        <v>186.04</v>
      </c>
      <c r="AB64" s="135">
        <v>125.09</v>
      </c>
      <c r="AC64" s="135">
        <v>60.949999999999989</v>
      </c>
      <c r="AD64" s="114"/>
      <c r="AE64" s="153">
        <v>125.09</v>
      </c>
      <c r="AF64" s="161">
        <f>Table1[[#This Row],[Certified Amount (Cum)]]-Table1[[#This Row],[Certified Amount (Previous)]]</f>
        <v>60.949999999999989</v>
      </c>
      <c r="AG64" s="160">
        <f t="shared" si="0"/>
        <v>186.04</v>
      </c>
      <c r="AH64" s="158">
        <f>Table1[[#This Row],[Certified Amount (Cum)]]-Table1[[#This Row],[Total Amount]]</f>
        <v>0</v>
      </c>
    </row>
    <row r="65" spans="1:34" ht="30" customHeight="1" x14ac:dyDescent="0.3">
      <c r="A65" s="107" t="s">
        <v>91</v>
      </c>
      <c r="B65" s="90" t="s">
        <v>99</v>
      </c>
      <c r="C65" s="145">
        <v>32</v>
      </c>
      <c r="D65" s="108">
        <v>77663</v>
      </c>
      <c r="E65" s="108">
        <v>76779</v>
      </c>
      <c r="F65" s="17" t="s">
        <v>252</v>
      </c>
      <c r="G65" s="17" t="s">
        <v>192</v>
      </c>
      <c r="H65" s="108" t="s">
        <v>178</v>
      </c>
      <c r="I65" s="16">
        <v>1</v>
      </c>
      <c r="J65" s="16">
        <v>3.6</v>
      </c>
      <c r="K65" s="16">
        <v>1.3</v>
      </c>
      <c r="L65" s="16">
        <v>1</v>
      </c>
      <c r="M65" s="16">
        <v>1</v>
      </c>
      <c r="N65" s="91" t="s">
        <v>162</v>
      </c>
      <c r="O65" s="91">
        <f t="shared" si="7"/>
        <v>4.68</v>
      </c>
      <c r="P65" s="18">
        <v>44856</v>
      </c>
      <c r="Q65" s="124">
        <v>44868</v>
      </c>
      <c r="R65" s="19">
        <v>1</v>
      </c>
      <c r="S65" s="19">
        <v>1</v>
      </c>
      <c r="T65" s="111">
        <v>1</v>
      </c>
      <c r="U65" s="20">
        <f>IF(ISBLANK(Table1[[#This Row],[OHC Date]]),$B$7-Table1[[#This Row],[HOC Date]]+1,Table1[[#This Row],[OHC Date]]-Table1[[#This Row],[HOC Date]]+1)/7</f>
        <v>1.8571428571428572</v>
      </c>
      <c r="V65" s="21">
        <v>6.63</v>
      </c>
      <c r="W65" s="21">
        <v>0.7</v>
      </c>
      <c r="X65" s="21">
        <f>ROUND(0.7*Table1[[#This Row],[E&amp;D Rate per unit]]*R65*Table1[[#This Row],[Quantity]],2)</f>
        <v>21.72</v>
      </c>
      <c r="Y65" s="21">
        <f t="shared" si="8"/>
        <v>6.08</v>
      </c>
      <c r="Z65" s="21">
        <f>ROUND(0.3*T65*Table1[[#This Row],[E&amp;D Rate per unit]]*Table1[[#This Row],[Quantity]],2)</f>
        <v>9.31</v>
      </c>
      <c r="AA65" s="21">
        <v>37.11</v>
      </c>
      <c r="AB65" s="135">
        <v>23.59</v>
      </c>
      <c r="AC65" s="138">
        <v>13.52</v>
      </c>
      <c r="AD65" s="136"/>
      <c r="AE65" s="153">
        <v>23.59</v>
      </c>
      <c r="AF65" s="161">
        <f>Table1[[#This Row],[Certified Amount (Cum)]]-Table1[[#This Row],[Certified Amount (Previous)]]</f>
        <v>13.52</v>
      </c>
      <c r="AG65" s="160">
        <f t="shared" si="0"/>
        <v>37.11</v>
      </c>
      <c r="AH65" s="158">
        <f>Table1[[#This Row],[Certified Amount (Cum)]]-Table1[[#This Row],[Total Amount]]</f>
        <v>0</v>
      </c>
    </row>
    <row r="66" spans="1:34" ht="30" customHeight="1" x14ac:dyDescent="0.3">
      <c r="A66" s="107" t="s">
        <v>91</v>
      </c>
      <c r="B66" s="90" t="s">
        <v>99</v>
      </c>
      <c r="C66" s="147">
        <v>33</v>
      </c>
      <c r="D66" s="16">
        <v>77664</v>
      </c>
      <c r="E66" s="16">
        <v>76772</v>
      </c>
      <c r="F66" s="17" t="s">
        <v>254</v>
      </c>
      <c r="G66" s="17" t="s">
        <v>253</v>
      </c>
      <c r="H66" s="108" t="s">
        <v>222</v>
      </c>
      <c r="I66" s="16">
        <v>1</v>
      </c>
      <c r="J66" s="16">
        <v>1.8</v>
      </c>
      <c r="K66" s="16">
        <v>1.3</v>
      </c>
      <c r="L66" s="16">
        <v>1</v>
      </c>
      <c r="M66" s="16">
        <v>1</v>
      </c>
      <c r="N66" s="91" t="s">
        <v>223</v>
      </c>
      <c r="O66" s="91">
        <f t="shared" si="7"/>
        <v>1</v>
      </c>
      <c r="P66" s="18">
        <v>44856</v>
      </c>
      <c r="Q66" s="18">
        <v>44861</v>
      </c>
      <c r="R66" s="19">
        <v>1</v>
      </c>
      <c r="S66" s="19">
        <v>1</v>
      </c>
      <c r="T66" s="19">
        <v>1</v>
      </c>
      <c r="U66" s="20">
        <f>IF(ISBLANK(Table1[[#This Row],[OHC Date]]),$B$7-Table1[[#This Row],[HOC Date]]+1,Table1[[#This Row],[OHC Date]]-Table1[[#This Row],[HOC Date]]+1)/7</f>
        <v>0.8571428571428571</v>
      </c>
      <c r="V66" s="21">
        <v>63.34</v>
      </c>
      <c r="W66" s="21">
        <v>7.28</v>
      </c>
      <c r="X66" s="21">
        <f>ROUND(0.7*Table1[[#This Row],[E&amp;D Rate per unit]]*R66*Table1[[#This Row],[Quantity]],2)</f>
        <v>44.34</v>
      </c>
      <c r="Y66" s="21">
        <f t="shared" si="8"/>
        <v>6.24</v>
      </c>
      <c r="Z66" s="21">
        <f>ROUND(0.3*T66*Table1[[#This Row],[E&amp;D Rate per unit]]*Table1[[#This Row],[Quantity]],2)</f>
        <v>19</v>
      </c>
      <c r="AA66" s="21">
        <v>69.58</v>
      </c>
      <c r="AB66" s="135">
        <v>48.5</v>
      </c>
      <c r="AC66" s="138">
        <v>21.08</v>
      </c>
      <c r="AD66" s="136"/>
      <c r="AE66" s="153">
        <v>48.5</v>
      </c>
      <c r="AF66" s="161">
        <f>Table1[[#This Row],[Certified Amount (Cum)]]-Table1[[#This Row],[Certified Amount (Previous)]]</f>
        <v>21.080000000000013</v>
      </c>
      <c r="AG66" s="160">
        <f t="shared" si="0"/>
        <v>69.580000000000013</v>
      </c>
      <c r="AH66" s="158">
        <f>Table1[[#This Row],[Certified Amount (Cum)]]-Table1[[#This Row],[Total Amount]]</f>
        <v>0</v>
      </c>
    </row>
    <row r="67" spans="1:34" ht="30" customHeight="1" x14ac:dyDescent="0.3">
      <c r="A67" s="107" t="s">
        <v>91</v>
      </c>
      <c r="B67" s="90" t="s">
        <v>99</v>
      </c>
      <c r="C67" s="16">
        <v>34</v>
      </c>
      <c r="D67" s="16">
        <v>77665</v>
      </c>
      <c r="E67" s="16"/>
      <c r="F67" s="17" t="s">
        <v>254</v>
      </c>
      <c r="G67" s="17" t="s">
        <v>253</v>
      </c>
      <c r="H67" s="108" t="s">
        <v>222</v>
      </c>
      <c r="I67" s="16">
        <v>1</v>
      </c>
      <c r="J67" s="16">
        <v>1.8</v>
      </c>
      <c r="K67" s="16">
        <v>1.3</v>
      </c>
      <c r="L67" s="16">
        <v>1</v>
      </c>
      <c r="M67" s="16">
        <v>1</v>
      </c>
      <c r="N67" s="91" t="s">
        <v>223</v>
      </c>
      <c r="O67" s="91">
        <f t="shared" si="7"/>
        <v>1</v>
      </c>
      <c r="P67" s="18">
        <v>44856</v>
      </c>
      <c r="Q67" s="18"/>
      <c r="R67" s="19">
        <v>1</v>
      </c>
      <c r="S67" s="19">
        <v>1</v>
      </c>
      <c r="T67" s="19">
        <v>0</v>
      </c>
      <c r="U67" s="20">
        <f>IF(ISBLANK(Table1[[#This Row],[OHC Date]]),$B$7-Table1[[#This Row],[HOC Date]]+1,Table1[[#This Row],[OHC Date]]-Table1[[#This Row],[HOC Date]]+1)/7</f>
        <v>5</v>
      </c>
      <c r="V67" s="21">
        <v>63.34</v>
      </c>
      <c r="W67" s="21">
        <v>7.28</v>
      </c>
      <c r="X67" s="21">
        <f>ROUND(0.7*Table1[[#This Row],[E&amp;D Rate per unit]]*R67*Table1[[#This Row],[Quantity]],2)</f>
        <v>44.34</v>
      </c>
      <c r="Y67" s="21">
        <f t="shared" si="8"/>
        <v>36.4</v>
      </c>
      <c r="Z67" s="21">
        <f>ROUND(0.3*T67*Table1[[#This Row],[E&amp;D Rate per unit]]*Table1[[#This Row],[Quantity]],2)</f>
        <v>0</v>
      </c>
      <c r="AA67" s="21">
        <v>80.739999999999995</v>
      </c>
      <c r="AB67" s="135">
        <v>48.5</v>
      </c>
      <c r="AC67" s="138">
        <v>32.239999999999995</v>
      </c>
      <c r="AD67" s="136"/>
      <c r="AE67" s="153">
        <v>48.5</v>
      </c>
      <c r="AF67" s="161">
        <f>Table1[[#This Row],[Certified Amount (Cum)]]-Table1[[#This Row],[Certified Amount (Previous)]]</f>
        <v>32.240000000000009</v>
      </c>
      <c r="AG67" s="160">
        <f t="shared" si="0"/>
        <v>80.740000000000009</v>
      </c>
      <c r="AH67" s="158">
        <f>Table1[[#This Row],[Certified Amount (Cum)]]-Table1[[#This Row],[Total Amount]]</f>
        <v>0</v>
      </c>
    </row>
    <row r="68" spans="1:34" ht="30" customHeight="1" x14ac:dyDescent="0.3">
      <c r="A68" s="107" t="s">
        <v>91</v>
      </c>
      <c r="B68" s="90" t="s">
        <v>99</v>
      </c>
      <c r="C68" s="147" t="s">
        <v>295</v>
      </c>
      <c r="D68" s="16">
        <v>77670</v>
      </c>
      <c r="E68" s="16">
        <v>76786</v>
      </c>
      <c r="F68" s="17" t="s">
        <v>296</v>
      </c>
      <c r="G68" s="17" t="s">
        <v>297</v>
      </c>
      <c r="H68" s="108" t="s">
        <v>178</v>
      </c>
      <c r="I68" s="16">
        <v>3</v>
      </c>
      <c r="J68" s="16">
        <v>1.8</v>
      </c>
      <c r="K68" s="16">
        <v>1.8</v>
      </c>
      <c r="L68" s="16">
        <v>1</v>
      </c>
      <c r="M68" s="16">
        <v>3</v>
      </c>
      <c r="N68" s="91" t="s">
        <v>162</v>
      </c>
      <c r="O68" s="91">
        <f>ROUND(IF(N68="m3",I68*J68*K68*L68,IF(N68="m2-LxH",I68*J68*L68,IF(N68="m2-LxW",I68*J68*K68,IF(N68="rm",I68*L68,IF(N68="lm",I68*J68,IF(N68="unit",I68,"NA")))))),2)</f>
        <v>9.7200000000000006</v>
      </c>
      <c r="P68" s="18">
        <v>44859</v>
      </c>
      <c r="Q68" s="18">
        <v>44870</v>
      </c>
      <c r="R68" s="19">
        <v>1</v>
      </c>
      <c r="S68" s="19">
        <v>1</v>
      </c>
      <c r="T68" s="19">
        <v>1</v>
      </c>
      <c r="U68" s="20">
        <f>IF(ISBLANK(Table1[[#This Row],[OHC Date]]),$B$7-Table1[[#This Row],[HOC Date]]+1,Table1[[#This Row],[OHC Date]]-Table1[[#This Row],[HOC Date]]+1)/7</f>
        <v>1.7142857142857142</v>
      </c>
      <c r="V68" s="21">
        <v>6.63</v>
      </c>
      <c r="W68" s="21">
        <v>0.7</v>
      </c>
      <c r="X68" s="21">
        <f>ROUND(0.7*Table1[[#This Row],[E&amp;D Rate per unit]]*R68*Table1[[#This Row],[Quantity]],2)</f>
        <v>45.11</v>
      </c>
      <c r="Y68" s="21">
        <f>ROUND(O68*U68*W68*S68,2)</f>
        <v>11.66</v>
      </c>
      <c r="Z68" s="21">
        <f>ROUND(0.3*T68*Table1[[#This Row],[E&amp;D Rate per unit]]*Table1[[#This Row],[Quantity]],2)</f>
        <v>19.329999999999998</v>
      </c>
      <c r="AA68" s="21">
        <v>76.099999999999994</v>
      </c>
      <c r="AB68" s="135">
        <v>46.08</v>
      </c>
      <c r="AC68" s="138">
        <v>30.019999999999996</v>
      </c>
      <c r="AD68" s="136"/>
      <c r="AE68" s="153">
        <v>46.08</v>
      </c>
      <c r="AF68" s="161">
        <f>Table1[[#This Row],[Certified Amount (Cum)]]-Table1[[#This Row],[Certified Amount (Previous)]]</f>
        <v>30.019999999999996</v>
      </c>
      <c r="AG68" s="160">
        <f t="shared" si="0"/>
        <v>76.099999999999994</v>
      </c>
      <c r="AH68" s="158">
        <f>Table1[[#This Row],[Certified Amount (Cum)]]-Table1[[#This Row],[Total Amount]]</f>
        <v>0</v>
      </c>
    </row>
    <row r="69" spans="1:34" ht="30" customHeight="1" x14ac:dyDescent="0.3">
      <c r="A69" s="107" t="s">
        <v>91</v>
      </c>
      <c r="B69" s="90" t="s">
        <v>98</v>
      </c>
      <c r="C69" s="147">
        <v>2</v>
      </c>
      <c r="D69" s="16">
        <v>74603</v>
      </c>
      <c r="E69" s="16">
        <v>76828</v>
      </c>
      <c r="F69" s="17" t="s">
        <v>255</v>
      </c>
      <c r="G69" s="17" t="s">
        <v>256</v>
      </c>
      <c r="H69" s="108" t="s">
        <v>120</v>
      </c>
      <c r="I69" s="16">
        <v>1</v>
      </c>
      <c r="J69" s="16">
        <v>4.9000000000000004</v>
      </c>
      <c r="K69" s="16">
        <v>1.8</v>
      </c>
      <c r="L69" s="16">
        <v>4.2</v>
      </c>
      <c r="M69" s="16">
        <v>1</v>
      </c>
      <c r="N69" s="91" t="s">
        <v>208</v>
      </c>
      <c r="O69" s="91">
        <f t="shared" si="7"/>
        <v>20.58</v>
      </c>
      <c r="P69" s="18">
        <v>44838</v>
      </c>
      <c r="Q69" s="18">
        <v>44886</v>
      </c>
      <c r="R69" s="19">
        <v>1</v>
      </c>
      <c r="S69" s="19">
        <v>1</v>
      </c>
      <c r="T69" s="19">
        <v>1</v>
      </c>
      <c r="U69" s="20">
        <f>IF(ISBLANK(Table1[[#This Row],[OHC Date]]),$B$7-Table1[[#This Row],[HOC Date]]+1,Table1[[#This Row],[OHC Date]]-Table1[[#This Row],[HOC Date]]+1)/7</f>
        <v>7</v>
      </c>
      <c r="V69" s="21">
        <v>16.760000000000002</v>
      </c>
      <c r="W69" s="21">
        <v>0.77</v>
      </c>
      <c r="X69" s="21">
        <f>ROUND(0.7*Table1[[#This Row],[E&amp;D Rate per unit]]*R69*Table1[[#This Row],[Quantity]],2)</f>
        <v>241.44</v>
      </c>
      <c r="Y69" s="21">
        <f t="shared" si="8"/>
        <v>110.93</v>
      </c>
      <c r="Z69" s="21">
        <f>ROUND(0.3*T69*Table1[[#This Row],[E&amp;D Rate per unit]]*Table1[[#This Row],[Quantity]],2)</f>
        <v>103.48</v>
      </c>
      <c r="AA69" s="21">
        <v>455.85</v>
      </c>
      <c r="AB69" s="135">
        <v>291.24</v>
      </c>
      <c r="AC69" s="138">
        <v>164.61</v>
      </c>
      <c r="AD69" s="136"/>
      <c r="AE69" s="153">
        <v>291.24</v>
      </c>
      <c r="AF69" s="161">
        <f>Table1[[#This Row],[Certified Amount (Cum)]]-Table1[[#This Row],[Certified Amount (Previous)]]</f>
        <v>164.61</v>
      </c>
      <c r="AG69" s="160">
        <f t="shared" si="0"/>
        <v>455.85</v>
      </c>
      <c r="AH69" s="158">
        <f>Table1[[#This Row],[Certified Amount (Cum)]]-Table1[[#This Row],[Total Amount]]</f>
        <v>0</v>
      </c>
    </row>
    <row r="70" spans="1:34" ht="30" customHeight="1" x14ac:dyDescent="0.3">
      <c r="A70" s="107" t="s">
        <v>91</v>
      </c>
      <c r="B70" s="90" t="s">
        <v>98</v>
      </c>
      <c r="C70" s="16" t="s">
        <v>177</v>
      </c>
      <c r="D70" s="16">
        <v>74604</v>
      </c>
      <c r="E70" s="16"/>
      <c r="F70" s="17" t="s">
        <v>255</v>
      </c>
      <c r="G70" s="17" t="s">
        <v>256</v>
      </c>
      <c r="H70" s="108" t="s">
        <v>120</v>
      </c>
      <c r="I70" s="16">
        <v>1</v>
      </c>
      <c r="J70" s="16">
        <v>15.1</v>
      </c>
      <c r="K70" s="16">
        <v>1.8</v>
      </c>
      <c r="L70" s="16">
        <v>4.2</v>
      </c>
      <c r="M70" s="16">
        <v>1</v>
      </c>
      <c r="N70" s="91" t="s">
        <v>208</v>
      </c>
      <c r="O70" s="91">
        <f t="shared" si="7"/>
        <v>63.42</v>
      </c>
      <c r="P70" s="18">
        <v>44839</v>
      </c>
      <c r="Q70" s="18"/>
      <c r="R70" s="19">
        <v>1</v>
      </c>
      <c r="S70" s="19">
        <v>1</v>
      </c>
      <c r="T70" s="19">
        <v>0</v>
      </c>
      <c r="U70" s="20">
        <f>IF(ISBLANK(Table1[[#This Row],[OHC Date]]),$B$7-Table1[[#This Row],[HOC Date]]+1,Table1[[#This Row],[OHC Date]]-Table1[[#This Row],[HOC Date]]+1)/7</f>
        <v>7.4285714285714288</v>
      </c>
      <c r="V70" s="21">
        <v>16.760000000000002</v>
      </c>
      <c r="W70" s="21">
        <v>0.77</v>
      </c>
      <c r="X70" s="21">
        <f>ROUND(0.7*Table1[[#This Row],[E&amp;D Rate per unit]]*R70*Table1[[#This Row],[Quantity]],2)</f>
        <v>744.04</v>
      </c>
      <c r="Y70" s="21">
        <f t="shared" si="8"/>
        <v>362.76</v>
      </c>
      <c r="Z70" s="21">
        <f>ROUND(0.3*T70*Table1[[#This Row],[E&amp;D Rate per unit]]*Table1[[#This Row],[Quantity]],2)</f>
        <v>0</v>
      </c>
      <c r="AA70" s="21">
        <v>1106.8</v>
      </c>
      <c r="AB70" s="135">
        <v>890.54</v>
      </c>
      <c r="AC70" s="138">
        <v>216.26</v>
      </c>
      <c r="AD70" s="136"/>
      <c r="AE70" s="153">
        <v>890.54</v>
      </c>
      <c r="AF70" s="161">
        <f>Table1[[#This Row],[Certified Amount (Cum)]]-Table1[[#This Row],[Certified Amount (Previous)]]</f>
        <v>216.26</v>
      </c>
      <c r="AG70" s="160">
        <f t="shared" si="0"/>
        <v>1106.8</v>
      </c>
      <c r="AH70" s="158">
        <f>Table1[[#This Row],[Certified Amount (Cum)]]-Table1[[#This Row],[Total Amount]]</f>
        <v>0</v>
      </c>
    </row>
    <row r="71" spans="1:34" ht="30" customHeight="1" x14ac:dyDescent="0.3">
      <c r="A71" s="107" t="s">
        <v>91</v>
      </c>
      <c r="B71" s="90" t="s">
        <v>98</v>
      </c>
      <c r="C71" s="16" t="s">
        <v>179</v>
      </c>
      <c r="D71" s="16">
        <v>74605</v>
      </c>
      <c r="E71" s="16"/>
      <c r="F71" s="17" t="s">
        <v>257</v>
      </c>
      <c r="G71" s="17" t="s">
        <v>256</v>
      </c>
      <c r="H71" s="108" t="s">
        <v>178</v>
      </c>
      <c r="I71" s="16">
        <v>1</v>
      </c>
      <c r="J71" s="16">
        <v>6.8</v>
      </c>
      <c r="K71" s="16">
        <v>1.8</v>
      </c>
      <c r="L71" s="16">
        <v>1</v>
      </c>
      <c r="M71" s="16">
        <v>1</v>
      </c>
      <c r="N71" s="91" t="s">
        <v>162</v>
      </c>
      <c r="O71" s="91">
        <f t="shared" si="7"/>
        <v>12.24</v>
      </c>
      <c r="P71" s="18">
        <v>44839</v>
      </c>
      <c r="Q71" s="18"/>
      <c r="R71" s="19">
        <v>1</v>
      </c>
      <c r="S71" s="19">
        <v>1</v>
      </c>
      <c r="T71" s="19">
        <v>0</v>
      </c>
      <c r="U71" s="20">
        <f>IF(ISBLANK(Table1[[#This Row],[OHC Date]]),$B$7-Table1[[#This Row],[HOC Date]]+1,Table1[[#This Row],[OHC Date]]-Table1[[#This Row],[HOC Date]]+1)/7</f>
        <v>7.4285714285714288</v>
      </c>
      <c r="V71" s="21">
        <v>6.63</v>
      </c>
      <c r="W71" s="21">
        <v>0.7</v>
      </c>
      <c r="X71" s="21">
        <f>ROUND(0.7*Table1[[#This Row],[E&amp;D Rate per unit]]*R71*Table1[[#This Row],[Quantity]],2)</f>
        <v>56.81</v>
      </c>
      <c r="Y71" s="21">
        <f t="shared" si="8"/>
        <v>63.65</v>
      </c>
      <c r="Z71" s="21">
        <f>ROUND(0.3*T71*Table1[[#This Row],[E&amp;D Rate per unit]]*Table1[[#This Row],[Quantity]],2)</f>
        <v>0</v>
      </c>
      <c r="AA71" s="21">
        <v>120.46</v>
      </c>
      <c r="AB71" s="135">
        <v>82.51</v>
      </c>
      <c r="AC71" s="138">
        <v>37.949999999999989</v>
      </c>
      <c r="AD71" s="136"/>
      <c r="AE71" s="153">
        <v>82.51</v>
      </c>
      <c r="AF71" s="161">
        <f>Table1[[#This Row],[Certified Amount (Cum)]]-Table1[[#This Row],[Certified Amount (Previous)]]</f>
        <v>37.950000000000003</v>
      </c>
      <c r="AG71" s="160">
        <f t="shared" si="0"/>
        <v>120.46000000000001</v>
      </c>
      <c r="AH71" s="158">
        <f>Table1[[#This Row],[Certified Amount (Cum)]]-Table1[[#This Row],[Total Amount]]</f>
        <v>0</v>
      </c>
    </row>
    <row r="72" spans="1:34" ht="30" customHeight="1" x14ac:dyDescent="0.3">
      <c r="A72" s="107" t="s">
        <v>91</v>
      </c>
      <c r="B72" s="90" t="s">
        <v>98</v>
      </c>
      <c r="C72" s="16" t="s">
        <v>181</v>
      </c>
      <c r="D72" s="16">
        <v>74606</v>
      </c>
      <c r="E72" s="16"/>
      <c r="F72" s="17" t="s">
        <v>255</v>
      </c>
      <c r="G72" s="17" t="s">
        <v>256</v>
      </c>
      <c r="H72" s="108" t="s">
        <v>129</v>
      </c>
      <c r="I72" s="16">
        <v>1</v>
      </c>
      <c r="J72" s="16">
        <v>1</v>
      </c>
      <c r="K72" s="16">
        <v>0.75</v>
      </c>
      <c r="L72" s="16">
        <v>1</v>
      </c>
      <c r="M72" s="16">
        <v>1</v>
      </c>
      <c r="N72" s="91" t="s">
        <v>162</v>
      </c>
      <c r="O72" s="91">
        <f t="shared" si="7"/>
        <v>0.75</v>
      </c>
      <c r="P72" s="18">
        <v>44839</v>
      </c>
      <c r="Q72" s="18"/>
      <c r="R72" s="19">
        <v>1</v>
      </c>
      <c r="S72" s="19">
        <v>1</v>
      </c>
      <c r="T72" s="19">
        <v>0</v>
      </c>
      <c r="U72" s="20">
        <f>IF(ISBLANK(Table1[[#This Row],[OHC Date]]),$B$7-Table1[[#This Row],[HOC Date]]+1,Table1[[#This Row],[OHC Date]]-Table1[[#This Row],[HOC Date]]+1)/7</f>
        <v>7.4285714285714288</v>
      </c>
      <c r="V72" s="21">
        <v>36.520000000000003</v>
      </c>
      <c r="W72" s="21">
        <v>2.94</v>
      </c>
      <c r="X72" s="21">
        <f>ROUND(0.7*Table1[[#This Row],[E&amp;D Rate per unit]]*R72*Table1[[#This Row],[Quantity]],2)</f>
        <v>19.170000000000002</v>
      </c>
      <c r="Y72" s="21">
        <f t="shared" si="8"/>
        <v>16.38</v>
      </c>
      <c r="Z72" s="21">
        <f>ROUND(0.3*T72*Table1[[#This Row],[E&amp;D Rate per unit]]*Table1[[#This Row],[Quantity]],2)</f>
        <v>0</v>
      </c>
      <c r="AA72" s="21">
        <v>35.549999999999997</v>
      </c>
      <c r="AB72" s="135">
        <v>25.79</v>
      </c>
      <c r="AC72" s="138">
        <v>9.759999999999998</v>
      </c>
      <c r="AD72" s="136"/>
      <c r="AE72" s="153">
        <v>25.790000000000003</v>
      </c>
      <c r="AF72" s="161">
        <f>Table1[[#This Row],[Certified Amount (Cum)]]-Table1[[#This Row],[Certified Amount (Previous)]]</f>
        <v>9.7599999999999945</v>
      </c>
      <c r="AG72" s="160">
        <f t="shared" si="0"/>
        <v>35.549999999999997</v>
      </c>
      <c r="AH72" s="158">
        <f>Table1[[#This Row],[Certified Amount (Cum)]]-Table1[[#This Row],[Total Amount]]</f>
        <v>0</v>
      </c>
    </row>
    <row r="73" spans="1:34" ht="30" customHeight="1" x14ac:dyDescent="0.3">
      <c r="A73" s="107" t="s">
        <v>91</v>
      </c>
      <c r="B73" s="90" t="s">
        <v>98</v>
      </c>
      <c r="C73" s="16">
        <v>3</v>
      </c>
      <c r="D73" s="16">
        <v>74607</v>
      </c>
      <c r="E73" s="16"/>
      <c r="F73" s="17" t="s">
        <v>255</v>
      </c>
      <c r="G73" s="17" t="s">
        <v>256</v>
      </c>
      <c r="H73" s="108" t="s">
        <v>120</v>
      </c>
      <c r="I73" s="16">
        <v>1</v>
      </c>
      <c r="J73" s="16">
        <v>7.5</v>
      </c>
      <c r="K73" s="16">
        <v>1.8</v>
      </c>
      <c r="L73" s="16">
        <v>4.2</v>
      </c>
      <c r="M73" s="16">
        <v>1</v>
      </c>
      <c r="N73" s="91" t="s">
        <v>208</v>
      </c>
      <c r="O73" s="91">
        <f t="shared" si="7"/>
        <v>31.5</v>
      </c>
      <c r="P73" s="18">
        <v>44839</v>
      </c>
      <c r="Q73" s="18"/>
      <c r="R73" s="19">
        <v>1</v>
      </c>
      <c r="S73" s="19">
        <v>1</v>
      </c>
      <c r="T73" s="19">
        <v>0</v>
      </c>
      <c r="U73" s="20">
        <f>IF(ISBLANK(Table1[[#This Row],[OHC Date]]),$B$7-Table1[[#This Row],[HOC Date]]+1,Table1[[#This Row],[OHC Date]]-Table1[[#This Row],[HOC Date]]+1)/7</f>
        <v>7.4285714285714288</v>
      </c>
      <c r="V73" s="21">
        <v>16.760000000000002</v>
      </c>
      <c r="W73" s="21">
        <v>0.77</v>
      </c>
      <c r="X73" s="21">
        <f>ROUND(0.7*Table1[[#This Row],[E&amp;D Rate per unit]]*R73*Table1[[#This Row],[Quantity]],2)</f>
        <v>369.56</v>
      </c>
      <c r="Y73" s="21">
        <f t="shared" si="8"/>
        <v>180.18</v>
      </c>
      <c r="Z73" s="21">
        <f>ROUND(0.3*T73*Table1[[#This Row],[E&amp;D Rate per unit]]*Table1[[#This Row],[Quantity]],2)</f>
        <v>0</v>
      </c>
      <c r="AA73" s="21">
        <v>549.74</v>
      </c>
      <c r="AB73" s="135">
        <v>442.33</v>
      </c>
      <c r="AC73" s="138">
        <v>107.41000000000003</v>
      </c>
      <c r="AD73" s="136"/>
      <c r="AE73" s="153">
        <v>442.33</v>
      </c>
      <c r="AF73" s="161">
        <f>Table1[[#This Row],[Certified Amount (Cum)]]-Table1[[#This Row],[Certified Amount (Previous)]]</f>
        <v>107.41000000000003</v>
      </c>
      <c r="AG73" s="160">
        <f t="shared" si="0"/>
        <v>549.74</v>
      </c>
      <c r="AH73" s="158">
        <f>Table1[[#This Row],[Certified Amount (Cum)]]-Table1[[#This Row],[Total Amount]]</f>
        <v>0</v>
      </c>
    </row>
    <row r="74" spans="1:34" ht="30" customHeight="1" x14ac:dyDescent="0.3">
      <c r="A74" s="107" t="s">
        <v>91</v>
      </c>
      <c r="B74" s="90" t="s">
        <v>98</v>
      </c>
      <c r="C74" s="16" t="s">
        <v>185</v>
      </c>
      <c r="D74" s="16">
        <v>74608</v>
      </c>
      <c r="E74" s="16"/>
      <c r="F74" s="17" t="s">
        <v>255</v>
      </c>
      <c r="G74" s="17" t="s">
        <v>256</v>
      </c>
      <c r="H74" s="108" t="s">
        <v>128</v>
      </c>
      <c r="I74" s="16">
        <v>1</v>
      </c>
      <c r="J74" s="16">
        <v>5</v>
      </c>
      <c r="K74" s="16">
        <v>0.25</v>
      </c>
      <c r="L74" s="16">
        <v>1</v>
      </c>
      <c r="M74" s="16">
        <v>1</v>
      </c>
      <c r="N74" s="91" t="s">
        <v>162</v>
      </c>
      <c r="O74" s="91">
        <f t="shared" si="7"/>
        <v>1.25</v>
      </c>
      <c r="P74" s="18">
        <v>44839</v>
      </c>
      <c r="Q74" s="18"/>
      <c r="R74" s="19">
        <v>1</v>
      </c>
      <c r="S74" s="19">
        <v>1</v>
      </c>
      <c r="T74" s="19">
        <v>0</v>
      </c>
      <c r="U74" s="20">
        <f>IF(ISBLANK(Table1[[#This Row],[OHC Date]]),$B$7-Table1[[#This Row],[HOC Date]]+1,Table1[[#This Row],[OHC Date]]-Table1[[#This Row],[HOC Date]]+1)/7</f>
        <v>7.4285714285714288</v>
      </c>
      <c r="V74" s="21">
        <v>32.75</v>
      </c>
      <c r="W74" s="21">
        <v>1.05</v>
      </c>
      <c r="X74" s="21">
        <f>ROUND(0.7*Table1[[#This Row],[E&amp;D Rate per unit]]*R74*Table1[[#This Row],[Quantity]],2)</f>
        <v>28.66</v>
      </c>
      <c r="Y74" s="21">
        <f t="shared" si="8"/>
        <v>9.75</v>
      </c>
      <c r="Z74" s="21">
        <f>ROUND(0.3*T74*Table1[[#This Row],[E&amp;D Rate per unit]]*Table1[[#This Row],[Quantity]],2)</f>
        <v>0</v>
      </c>
      <c r="AA74" s="21">
        <v>38.409999999999997</v>
      </c>
      <c r="AB74" s="135">
        <v>32.6</v>
      </c>
      <c r="AC74" s="138">
        <v>5.8099999999999952</v>
      </c>
      <c r="AD74" s="136"/>
      <c r="AE74" s="153">
        <v>32.6</v>
      </c>
      <c r="AF74" s="161">
        <f>Table1[[#This Row],[Certified Amount (Cum)]]-Table1[[#This Row],[Certified Amount (Previous)]]</f>
        <v>5.8099999999999952</v>
      </c>
      <c r="AG74" s="160">
        <f t="shared" ref="AG74:AG137" si="9">SUM(X74,Y74,Z74)</f>
        <v>38.409999999999997</v>
      </c>
      <c r="AH74" s="158">
        <f>Table1[[#This Row],[Certified Amount (Cum)]]-Table1[[#This Row],[Total Amount]]</f>
        <v>0</v>
      </c>
    </row>
    <row r="75" spans="1:34" ht="30" customHeight="1" x14ac:dyDescent="0.3">
      <c r="A75" s="107" t="s">
        <v>91</v>
      </c>
      <c r="B75" s="90" t="s">
        <v>98</v>
      </c>
      <c r="C75" s="16">
        <v>4</v>
      </c>
      <c r="D75" s="16">
        <v>74609</v>
      </c>
      <c r="E75" s="16">
        <v>76802</v>
      </c>
      <c r="F75" s="17" t="s">
        <v>258</v>
      </c>
      <c r="G75" s="17" t="s">
        <v>228</v>
      </c>
      <c r="H75" s="108" t="s">
        <v>207</v>
      </c>
      <c r="I75" s="16">
        <v>1</v>
      </c>
      <c r="J75" s="16">
        <v>9.3000000000000007</v>
      </c>
      <c r="K75" s="16">
        <v>1.3</v>
      </c>
      <c r="L75" s="16">
        <v>5.9</v>
      </c>
      <c r="M75" s="16">
        <v>1</v>
      </c>
      <c r="N75" s="91" t="s">
        <v>208</v>
      </c>
      <c r="O75" s="91">
        <f t="shared" ref="O75:O93" si="10">ROUND(IF(N75="m3",I75*J75*K75*L75,IF(N75="m2-LxH",I75*J75*L75,IF(N75="m2-LxW",I75*J75*K75,IF(N75="rm",I75*L75,IF(N75="lm",I75*J75,IF(N75="unit",I75,"NA")))))),2)</f>
        <v>54.87</v>
      </c>
      <c r="P75" s="18">
        <v>44841</v>
      </c>
      <c r="Q75" s="18">
        <v>44846</v>
      </c>
      <c r="R75" s="19">
        <v>1</v>
      </c>
      <c r="S75" s="19">
        <v>1</v>
      </c>
      <c r="T75" s="19">
        <v>1</v>
      </c>
      <c r="U75" s="20">
        <f>IF(ISBLANK(Table1[[#This Row],[OHC Date]]),$B$7-Table1[[#This Row],[HOC Date]]+1,Table1[[#This Row],[OHC Date]]-Table1[[#This Row],[HOC Date]]+1)/7</f>
        <v>0.8571428571428571</v>
      </c>
      <c r="V75" s="21">
        <v>12.01</v>
      </c>
      <c r="W75" s="21">
        <v>0.49</v>
      </c>
      <c r="X75" s="21">
        <f>ROUND(0.7*Table1[[#This Row],[E&amp;D Rate per unit]]*R75*Table1[[#This Row],[Quantity]],2)</f>
        <v>461.29</v>
      </c>
      <c r="Y75" s="21">
        <f t="shared" ref="Y75:Y93" si="11">ROUND(O75*U75*W75*S75,2)</f>
        <v>23.05</v>
      </c>
      <c r="Z75" s="21">
        <f>ROUND(0.3*T75*Table1[[#This Row],[E&amp;D Rate per unit]]*Table1[[#This Row],[Quantity]],2)</f>
        <v>197.7</v>
      </c>
      <c r="AA75" s="21">
        <v>682.04</v>
      </c>
      <c r="AB75" s="135">
        <v>682.04</v>
      </c>
      <c r="AC75" s="138">
        <v>0</v>
      </c>
      <c r="AD75" s="136"/>
      <c r="AE75" s="153">
        <v>682.04</v>
      </c>
      <c r="AF75" s="161">
        <f>Table1[[#This Row],[Certified Amount (Cum)]]-Table1[[#This Row],[Certified Amount (Previous)]]</f>
        <v>0</v>
      </c>
      <c r="AG75" s="160">
        <f t="shared" si="9"/>
        <v>682.04</v>
      </c>
      <c r="AH75" s="158">
        <f>Table1[[#This Row],[Certified Amount (Cum)]]-Table1[[#This Row],[Total Amount]]</f>
        <v>0</v>
      </c>
    </row>
    <row r="76" spans="1:34" ht="30" customHeight="1" x14ac:dyDescent="0.3">
      <c r="A76" s="107" t="s">
        <v>91</v>
      </c>
      <c r="B76" s="90" t="s">
        <v>98</v>
      </c>
      <c r="C76" s="16" t="s">
        <v>259</v>
      </c>
      <c r="D76" s="16">
        <v>74610</v>
      </c>
      <c r="E76" s="16">
        <v>76803</v>
      </c>
      <c r="F76" s="17" t="s">
        <v>258</v>
      </c>
      <c r="G76" s="17" t="s">
        <v>228</v>
      </c>
      <c r="H76" s="108" t="s">
        <v>128</v>
      </c>
      <c r="I76" s="16">
        <v>1</v>
      </c>
      <c r="J76" s="16">
        <v>9.8000000000000007</v>
      </c>
      <c r="K76" s="16">
        <v>0.5</v>
      </c>
      <c r="L76" s="16">
        <v>1</v>
      </c>
      <c r="M76" s="16">
        <v>1</v>
      </c>
      <c r="N76" s="91" t="s">
        <v>162</v>
      </c>
      <c r="O76" s="91">
        <f t="shared" si="10"/>
        <v>4.9000000000000004</v>
      </c>
      <c r="P76" s="18">
        <v>44841</v>
      </c>
      <c r="Q76" s="18">
        <v>44846</v>
      </c>
      <c r="R76" s="19">
        <v>1</v>
      </c>
      <c r="S76" s="19">
        <v>1</v>
      </c>
      <c r="T76" s="19">
        <v>1</v>
      </c>
      <c r="U76" s="20">
        <f>IF(ISBLANK(Table1[[#This Row],[OHC Date]]),$B$7-Table1[[#This Row],[HOC Date]]+1,Table1[[#This Row],[OHC Date]]-Table1[[#This Row],[HOC Date]]+1)/7</f>
        <v>0.8571428571428571</v>
      </c>
      <c r="V76" s="21">
        <v>32.75</v>
      </c>
      <c r="W76" s="21">
        <v>1.05</v>
      </c>
      <c r="X76" s="21">
        <f>ROUND(0.7*Table1[[#This Row],[E&amp;D Rate per unit]]*R76*Table1[[#This Row],[Quantity]],2)</f>
        <v>112.33</v>
      </c>
      <c r="Y76" s="21">
        <f t="shared" si="11"/>
        <v>4.41</v>
      </c>
      <c r="Z76" s="21">
        <f>ROUND(0.3*T76*Table1[[#This Row],[E&amp;D Rate per unit]]*Table1[[#This Row],[Quantity]],2)</f>
        <v>48.14</v>
      </c>
      <c r="AA76" s="21">
        <v>164.88</v>
      </c>
      <c r="AB76" s="135">
        <v>164.88</v>
      </c>
      <c r="AC76" s="138">
        <v>0</v>
      </c>
      <c r="AD76" s="136"/>
      <c r="AE76" s="153">
        <v>164.88</v>
      </c>
      <c r="AF76" s="161">
        <f>Table1[[#This Row],[Certified Amount (Cum)]]-Table1[[#This Row],[Certified Amount (Previous)]]</f>
        <v>0</v>
      </c>
      <c r="AG76" s="160">
        <f t="shared" si="9"/>
        <v>164.88</v>
      </c>
      <c r="AH76" s="158">
        <f>Table1[[#This Row],[Certified Amount (Cum)]]-Table1[[#This Row],[Total Amount]]</f>
        <v>0</v>
      </c>
    </row>
    <row r="77" spans="1:34" ht="30" customHeight="1" x14ac:dyDescent="0.3">
      <c r="A77" s="140" t="s">
        <v>260</v>
      </c>
      <c r="B77" s="90" t="s">
        <v>98</v>
      </c>
      <c r="C77" s="16">
        <v>5</v>
      </c>
      <c r="D77" s="16">
        <v>74611</v>
      </c>
      <c r="E77" s="16">
        <v>76801</v>
      </c>
      <c r="F77" s="17" t="s">
        <v>262</v>
      </c>
      <c r="G77" s="17" t="s">
        <v>263</v>
      </c>
      <c r="H77" s="108" t="s">
        <v>264</v>
      </c>
      <c r="I77" s="16">
        <v>1</v>
      </c>
      <c r="J77" s="16">
        <v>4</v>
      </c>
      <c r="K77" s="16">
        <v>2.5</v>
      </c>
      <c r="L77" s="16">
        <v>2</v>
      </c>
      <c r="M77" s="16">
        <v>1</v>
      </c>
      <c r="N77" s="91" t="s">
        <v>56</v>
      </c>
      <c r="O77" s="91">
        <f t="shared" si="10"/>
        <v>1</v>
      </c>
      <c r="P77" s="18">
        <v>44841</v>
      </c>
      <c r="Q77" s="18">
        <v>44844</v>
      </c>
      <c r="R77" s="19">
        <v>1</v>
      </c>
      <c r="S77" s="19">
        <v>1</v>
      </c>
      <c r="T77" s="19">
        <v>1</v>
      </c>
      <c r="U77" s="20">
        <f>IF(ISBLANK(Table1[[#This Row],[OHC Date]]),$B$7-Table1[[#This Row],[HOC Date]]+1,Table1[[#This Row],[OHC Date]]-Table1[[#This Row],[HOC Date]]+1)/7</f>
        <v>0.5714285714285714</v>
      </c>
      <c r="V77" s="21">
        <v>4033.1</v>
      </c>
      <c r="W77" s="21">
        <v>49.28</v>
      </c>
      <c r="X77" s="21">
        <f>ROUND(0.7*Table1[[#This Row],[E&amp;D Rate per unit]]*R77*Table1[[#This Row],[Quantity]],2)</f>
        <v>2823.17</v>
      </c>
      <c r="Y77" s="21">
        <f t="shared" si="11"/>
        <v>28.16</v>
      </c>
      <c r="Z77" s="21">
        <f>ROUND(0.3*T77*Table1[[#This Row],[E&amp;D Rate per unit]]*Table1[[#This Row],[Quantity]],2)</f>
        <v>1209.93</v>
      </c>
      <c r="AA77" s="21">
        <v>4061.26</v>
      </c>
      <c r="AB77" s="138">
        <v>4061.26</v>
      </c>
      <c r="AC77" s="138">
        <v>0</v>
      </c>
      <c r="AD77" s="136" t="s">
        <v>265</v>
      </c>
      <c r="AE77" s="153">
        <v>4061.26</v>
      </c>
      <c r="AF77" s="161">
        <f>Table1[[#This Row],[Certified Amount (Cum)]]-Table1[[#This Row],[Certified Amount (Previous)]]</f>
        <v>0</v>
      </c>
      <c r="AG77" s="160">
        <f t="shared" si="9"/>
        <v>4061.26</v>
      </c>
      <c r="AH77" s="158">
        <f>Table1[[#This Row],[Certified Amount (Cum)]]-Table1[[#This Row],[Total Amount]]</f>
        <v>0</v>
      </c>
    </row>
    <row r="78" spans="1:34" ht="30" customHeight="1" x14ac:dyDescent="0.3">
      <c r="A78" s="140" t="s">
        <v>260</v>
      </c>
      <c r="B78" s="90" t="s">
        <v>98</v>
      </c>
      <c r="C78" s="147">
        <v>6</v>
      </c>
      <c r="D78" s="16">
        <v>74612</v>
      </c>
      <c r="E78" s="16">
        <v>76804</v>
      </c>
      <c r="F78" s="17" t="s">
        <v>266</v>
      </c>
      <c r="G78" s="17" t="s">
        <v>263</v>
      </c>
      <c r="H78" s="108" t="s">
        <v>264</v>
      </c>
      <c r="I78" s="16">
        <v>1</v>
      </c>
      <c r="J78" s="16">
        <v>4</v>
      </c>
      <c r="K78" s="16">
        <v>2.5</v>
      </c>
      <c r="L78" s="16">
        <v>2</v>
      </c>
      <c r="M78" s="16">
        <v>1</v>
      </c>
      <c r="N78" s="91" t="s">
        <v>56</v>
      </c>
      <c r="O78" s="91">
        <f t="shared" si="10"/>
        <v>1</v>
      </c>
      <c r="P78" s="18">
        <v>44844</v>
      </c>
      <c r="Q78" s="18">
        <v>44860</v>
      </c>
      <c r="R78" s="19">
        <v>1</v>
      </c>
      <c r="S78" s="19">
        <v>1</v>
      </c>
      <c r="T78" s="19">
        <v>1</v>
      </c>
      <c r="U78" s="20">
        <f>IF(ISBLANK(Table1[[#This Row],[OHC Date]]),$B$7-Table1[[#This Row],[HOC Date]]+1,Table1[[#This Row],[OHC Date]]-Table1[[#This Row],[HOC Date]]+1)/7</f>
        <v>2.4285714285714284</v>
      </c>
      <c r="V78" s="21">
        <v>4033.1</v>
      </c>
      <c r="W78" s="21">
        <v>49.28</v>
      </c>
      <c r="X78" s="21">
        <f>ROUND(0.7*Table1[[#This Row],[E&amp;D Rate per unit]]*R78*Table1[[#This Row],[Quantity]],2)</f>
        <v>2823.17</v>
      </c>
      <c r="Y78" s="21">
        <f t="shared" si="11"/>
        <v>119.68</v>
      </c>
      <c r="Z78" s="21">
        <f>ROUND(0.3*T78*Table1[[#This Row],[E&amp;D Rate per unit]]*Table1[[#This Row],[Quantity]],2)</f>
        <v>1209.93</v>
      </c>
      <c r="AA78" s="21">
        <v>4152.78</v>
      </c>
      <c r="AB78" s="138">
        <v>2935.81</v>
      </c>
      <c r="AC78" s="138">
        <v>1216.9699999999998</v>
      </c>
      <c r="AD78" s="136" t="s">
        <v>265</v>
      </c>
      <c r="AE78" s="153">
        <v>2935.81</v>
      </c>
      <c r="AF78" s="161">
        <f>Table1[[#This Row],[Certified Amount (Cum)]]-Table1[[#This Row],[Certified Amount (Previous)]]</f>
        <v>1216.9699999999998</v>
      </c>
      <c r="AG78" s="160">
        <f t="shared" si="9"/>
        <v>4152.78</v>
      </c>
      <c r="AH78" s="158">
        <f>Table1[[#This Row],[Certified Amount (Cum)]]-Table1[[#This Row],[Total Amount]]</f>
        <v>0</v>
      </c>
    </row>
    <row r="79" spans="1:34" ht="30" customHeight="1" x14ac:dyDescent="0.3">
      <c r="A79" s="107" t="s">
        <v>91</v>
      </c>
      <c r="B79" s="90" t="s">
        <v>98</v>
      </c>
      <c r="C79" s="147">
        <v>7</v>
      </c>
      <c r="D79" s="16">
        <v>74613</v>
      </c>
      <c r="E79" s="16">
        <v>76807</v>
      </c>
      <c r="F79" s="17" t="s">
        <v>267</v>
      </c>
      <c r="G79" s="17" t="s">
        <v>228</v>
      </c>
      <c r="H79" s="108" t="s">
        <v>222</v>
      </c>
      <c r="I79" s="16">
        <v>1</v>
      </c>
      <c r="J79" s="16">
        <v>1.8</v>
      </c>
      <c r="K79" s="16">
        <v>1.3</v>
      </c>
      <c r="L79" s="16">
        <v>2.5</v>
      </c>
      <c r="M79" s="16">
        <v>1</v>
      </c>
      <c r="N79" s="91" t="s">
        <v>223</v>
      </c>
      <c r="O79" s="91">
        <f t="shared" si="10"/>
        <v>2.5</v>
      </c>
      <c r="P79" s="18">
        <v>44846</v>
      </c>
      <c r="Q79" s="18">
        <v>44868</v>
      </c>
      <c r="R79" s="19">
        <v>1</v>
      </c>
      <c r="S79" s="19">
        <v>1</v>
      </c>
      <c r="T79" s="19">
        <v>1</v>
      </c>
      <c r="U79" s="20">
        <f>IF(ISBLANK(Table1[[#This Row],[OHC Date]]),$B$7-Table1[[#This Row],[HOC Date]]+1,Table1[[#This Row],[OHC Date]]-Table1[[#This Row],[HOC Date]]+1)/7</f>
        <v>3.2857142857142856</v>
      </c>
      <c r="V79" s="21">
        <v>63.34</v>
      </c>
      <c r="W79" s="21">
        <v>7.28</v>
      </c>
      <c r="X79" s="21">
        <f>ROUND(0.7*Table1[[#This Row],[E&amp;D Rate per unit]]*R79*Table1[[#This Row],[Quantity]],2)</f>
        <v>110.85</v>
      </c>
      <c r="Y79" s="21">
        <f t="shared" si="11"/>
        <v>59.8</v>
      </c>
      <c r="Z79" s="21">
        <f>ROUND(0.3*T79*Table1[[#This Row],[E&amp;D Rate per unit]]*Table1[[#This Row],[Quantity]],2)</f>
        <v>47.51</v>
      </c>
      <c r="AA79" s="21">
        <v>218.16</v>
      </c>
      <c r="AB79" s="138">
        <v>147.25</v>
      </c>
      <c r="AC79" s="138">
        <v>70.91</v>
      </c>
      <c r="AD79" s="136"/>
      <c r="AE79" s="153">
        <v>147.25</v>
      </c>
      <c r="AF79" s="161">
        <f>Table1[[#This Row],[Certified Amount (Cum)]]-Table1[[#This Row],[Certified Amount (Previous)]]</f>
        <v>70.909999999999968</v>
      </c>
      <c r="AG79" s="160">
        <f t="shared" si="9"/>
        <v>218.15999999999997</v>
      </c>
      <c r="AH79" s="158">
        <f>Table1[[#This Row],[Certified Amount (Cum)]]-Table1[[#This Row],[Total Amount]]</f>
        <v>0</v>
      </c>
    </row>
    <row r="80" spans="1:34" ht="30" customHeight="1" x14ac:dyDescent="0.3">
      <c r="A80" s="107" t="s">
        <v>91</v>
      </c>
      <c r="B80" s="90" t="s">
        <v>98</v>
      </c>
      <c r="C80" s="16" t="s">
        <v>183</v>
      </c>
      <c r="D80" s="16">
        <v>74614</v>
      </c>
      <c r="E80" s="16"/>
      <c r="F80" s="17" t="s">
        <v>268</v>
      </c>
      <c r="G80" s="17" t="s">
        <v>256</v>
      </c>
      <c r="H80" s="108" t="s">
        <v>178</v>
      </c>
      <c r="I80" s="16">
        <v>1</v>
      </c>
      <c r="J80" s="16">
        <v>4.3</v>
      </c>
      <c r="K80" s="16">
        <v>1.5</v>
      </c>
      <c r="L80" s="16">
        <v>1</v>
      </c>
      <c r="M80" s="16">
        <v>1</v>
      </c>
      <c r="N80" s="91" t="s">
        <v>162</v>
      </c>
      <c r="O80" s="91">
        <f t="shared" si="10"/>
        <v>6.45</v>
      </c>
      <c r="P80" s="18">
        <v>44846</v>
      </c>
      <c r="Q80" s="18"/>
      <c r="R80" s="19">
        <v>1</v>
      </c>
      <c r="S80" s="19">
        <v>1</v>
      </c>
      <c r="T80" s="19">
        <v>0</v>
      </c>
      <c r="U80" s="20">
        <f>IF(ISBLANK(Table1[[#This Row],[OHC Date]]),$B$7-Table1[[#This Row],[HOC Date]]+1,Table1[[#This Row],[OHC Date]]-Table1[[#This Row],[HOC Date]]+1)/7</f>
        <v>6.4285714285714288</v>
      </c>
      <c r="V80" s="21">
        <v>6.63</v>
      </c>
      <c r="W80" s="21">
        <v>0.7</v>
      </c>
      <c r="X80" s="21">
        <f>ROUND(0.7*Table1[[#This Row],[E&amp;D Rate per unit]]*R80*Table1[[#This Row],[Quantity]],2)</f>
        <v>29.93</v>
      </c>
      <c r="Y80" s="21">
        <f t="shared" si="11"/>
        <v>29.03</v>
      </c>
      <c r="Z80" s="21">
        <f>ROUND(0.3*T80*Table1[[#This Row],[E&amp;D Rate per unit]]*Table1[[#This Row],[Quantity]],2)</f>
        <v>0</v>
      </c>
      <c r="AA80" s="21">
        <v>58.96</v>
      </c>
      <c r="AB80" s="138">
        <v>38.96</v>
      </c>
      <c r="AC80" s="138">
        <v>20</v>
      </c>
      <c r="AD80" s="136"/>
      <c r="AE80" s="153">
        <v>38.96</v>
      </c>
      <c r="AF80" s="161">
        <f>Table1[[#This Row],[Certified Amount (Cum)]]-Table1[[#This Row],[Certified Amount (Previous)]]</f>
        <v>20</v>
      </c>
      <c r="AG80" s="160">
        <f t="shared" si="9"/>
        <v>58.96</v>
      </c>
      <c r="AH80" s="158">
        <f>Table1[[#This Row],[Certified Amount (Cum)]]-Table1[[#This Row],[Total Amount]]</f>
        <v>0</v>
      </c>
    </row>
    <row r="81" spans="1:34" ht="30" customHeight="1" x14ac:dyDescent="0.3">
      <c r="A81" s="107" t="s">
        <v>91</v>
      </c>
      <c r="B81" s="90" t="s">
        <v>98</v>
      </c>
      <c r="C81" s="16" t="s">
        <v>187</v>
      </c>
      <c r="D81" s="16">
        <v>74615</v>
      </c>
      <c r="E81" s="16"/>
      <c r="F81" s="17" t="s">
        <v>268</v>
      </c>
      <c r="G81" s="17" t="s">
        <v>256</v>
      </c>
      <c r="H81" s="108" t="s">
        <v>120</v>
      </c>
      <c r="I81" s="16">
        <v>1</v>
      </c>
      <c r="J81" s="16">
        <v>3</v>
      </c>
      <c r="K81" s="16">
        <v>1.8</v>
      </c>
      <c r="L81" s="16">
        <v>4.2</v>
      </c>
      <c r="M81" s="16">
        <v>1</v>
      </c>
      <c r="N81" s="91" t="s">
        <v>208</v>
      </c>
      <c r="O81" s="91">
        <f t="shared" si="10"/>
        <v>12.6</v>
      </c>
      <c r="P81" s="18">
        <v>44846</v>
      </c>
      <c r="Q81" s="18"/>
      <c r="R81" s="19">
        <v>1</v>
      </c>
      <c r="S81" s="19">
        <v>1</v>
      </c>
      <c r="T81" s="19">
        <v>0</v>
      </c>
      <c r="U81" s="20">
        <f>IF(ISBLANK(Table1[[#This Row],[OHC Date]]),$B$7-Table1[[#This Row],[HOC Date]]+1,Table1[[#This Row],[OHC Date]]-Table1[[#This Row],[HOC Date]]+1)/7</f>
        <v>6.4285714285714288</v>
      </c>
      <c r="V81" s="21">
        <v>16.760000000000002</v>
      </c>
      <c r="W81" s="21">
        <v>0.77</v>
      </c>
      <c r="X81" s="21">
        <f>ROUND(0.7*Table1[[#This Row],[E&amp;D Rate per unit]]*R81*Table1[[#This Row],[Quantity]],2)</f>
        <v>147.82</v>
      </c>
      <c r="Y81" s="21">
        <f t="shared" si="11"/>
        <v>62.37</v>
      </c>
      <c r="Z81" s="21">
        <f>ROUND(0.3*T81*Table1[[#This Row],[E&amp;D Rate per unit]]*Table1[[#This Row],[Quantity]],2)</f>
        <v>0</v>
      </c>
      <c r="AA81" s="21">
        <v>210.19</v>
      </c>
      <c r="AB81" s="138">
        <v>167.22</v>
      </c>
      <c r="AC81" s="138">
        <v>42.97</v>
      </c>
      <c r="AD81" s="136"/>
      <c r="AE81" s="153">
        <v>167.22</v>
      </c>
      <c r="AF81" s="161">
        <f>Table1[[#This Row],[Certified Amount (Cum)]]-Table1[[#This Row],[Certified Amount (Previous)]]</f>
        <v>42.97</v>
      </c>
      <c r="AG81" s="160">
        <f t="shared" si="9"/>
        <v>210.19</v>
      </c>
      <c r="AH81" s="158">
        <f>Table1[[#This Row],[Certified Amount (Cum)]]-Table1[[#This Row],[Total Amount]]</f>
        <v>0</v>
      </c>
    </row>
    <row r="82" spans="1:34" ht="30" customHeight="1" x14ac:dyDescent="0.3">
      <c r="A82" s="107" t="s">
        <v>91</v>
      </c>
      <c r="B82" s="90" t="s">
        <v>98</v>
      </c>
      <c r="C82" s="16" t="s">
        <v>269</v>
      </c>
      <c r="D82" s="16">
        <v>74616</v>
      </c>
      <c r="E82" s="16"/>
      <c r="F82" s="17" t="s">
        <v>268</v>
      </c>
      <c r="G82" s="17" t="s">
        <v>256</v>
      </c>
      <c r="H82" s="108" t="s">
        <v>207</v>
      </c>
      <c r="I82" s="16">
        <v>1</v>
      </c>
      <c r="J82" s="16">
        <v>5</v>
      </c>
      <c r="K82" s="16">
        <v>1.3</v>
      </c>
      <c r="L82" s="16">
        <v>4.2</v>
      </c>
      <c r="M82" s="16">
        <v>1</v>
      </c>
      <c r="N82" s="91" t="s">
        <v>208</v>
      </c>
      <c r="O82" s="91">
        <f t="shared" si="10"/>
        <v>21</v>
      </c>
      <c r="P82" s="18">
        <v>44846</v>
      </c>
      <c r="Q82" s="18"/>
      <c r="R82" s="19">
        <v>1</v>
      </c>
      <c r="S82" s="19">
        <v>1</v>
      </c>
      <c r="T82" s="19">
        <v>0</v>
      </c>
      <c r="U82" s="20">
        <f>IF(ISBLANK(Table1[[#This Row],[OHC Date]]),$B$7-Table1[[#This Row],[HOC Date]]+1,Table1[[#This Row],[OHC Date]]-Table1[[#This Row],[HOC Date]]+1)/7</f>
        <v>6.4285714285714288</v>
      </c>
      <c r="V82" s="21">
        <v>12.01</v>
      </c>
      <c r="W82" s="21">
        <v>0.49</v>
      </c>
      <c r="X82" s="21">
        <f>ROUND(0.7*Table1[[#This Row],[E&amp;D Rate per unit]]*R82*Table1[[#This Row],[Quantity]],2)</f>
        <v>176.55</v>
      </c>
      <c r="Y82" s="21">
        <f t="shared" si="11"/>
        <v>66.150000000000006</v>
      </c>
      <c r="Z82" s="21">
        <f>ROUND(0.3*T82*Table1[[#This Row],[E&amp;D Rate per unit]]*Table1[[#This Row],[Quantity]],2)</f>
        <v>0</v>
      </c>
      <c r="AA82" s="21">
        <v>242.7</v>
      </c>
      <c r="AB82" s="138">
        <v>197.13</v>
      </c>
      <c r="AC82" s="138">
        <v>45.569999999999993</v>
      </c>
      <c r="AD82" s="136"/>
      <c r="AE82" s="153">
        <v>197.13</v>
      </c>
      <c r="AF82" s="161">
        <f>Table1[[#This Row],[Certified Amount (Cum)]]-Table1[[#This Row],[Certified Amount (Previous)]]</f>
        <v>45.570000000000022</v>
      </c>
      <c r="AG82" s="160">
        <f t="shared" si="9"/>
        <v>242.70000000000002</v>
      </c>
      <c r="AH82" s="158">
        <f>Table1[[#This Row],[Certified Amount (Cum)]]-Table1[[#This Row],[Total Amount]]</f>
        <v>0</v>
      </c>
    </row>
    <row r="83" spans="1:34" ht="30" customHeight="1" x14ac:dyDescent="0.3">
      <c r="A83" s="107" t="s">
        <v>91</v>
      </c>
      <c r="B83" s="90" t="s">
        <v>98</v>
      </c>
      <c r="C83" s="16">
        <v>8</v>
      </c>
      <c r="D83" s="16">
        <v>74617</v>
      </c>
      <c r="E83" s="16"/>
      <c r="F83" s="17" t="s">
        <v>268</v>
      </c>
      <c r="G83" s="17" t="s">
        <v>256</v>
      </c>
      <c r="H83" s="108" t="s">
        <v>120</v>
      </c>
      <c r="I83" s="16">
        <v>1</v>
      </c>
      <c r="J83" s="16">
        <v>10.8</v>
      </c>
      <c r="K83" s="16">
        <v>1.8</v>
      </c>
      <c r="L83" s="16">
        <v>3.8</v>
      </c>
      <c r="M83" s="16">
        <v>1</v>
      </c>
      <c r="N83" s="91" t="s">
        <v>208</v>
      </c>
      <c r="O83" s="91">
        <f t="shared" si="10"/>
        <v>41.04</v>
      </c>
      <c r="P83" s="18">
        <v>44847</v>
      </c>
      <c r="Q83" s="18"/>
      <c r="R83" s="19">
        <v>1</v>
      </c>
      <c r="S83" s="19">
        <v>1</v>
      </c>
      <c r="T83" s="19">
        <v>0</v>
      </c>
      <c r="U83" s="20">
        <f>IF(ISBLANK(Table1[[#This Row],[OHC Date]]),$B$7-Table1[[#This Row],[HOC Date]]+1,Table1[[#This Row],[OHC Date]]-Table1[[#This Row],[HOC Date]]+1)/7</f>
        <v>6.2857142857142856</v>
      </c>
      <c r="V83" s="21">
        <v>16.760000000000002</v>
      </c>
      <c r="W83" s="21">
        <v>0.77</v>
      </c>
      <c r="X83" s="21">
        <f>ROUND(0.7*Table1[[#This Row],[E&amp;D Rate per unit]]*R83*Table1[[#This Row],[Quantity]],2)</f>
        <v>481.48</v>
      </c>
      <c r="Y83" s="21">
        <f t="shared" si="11"/>
        <v>198.63</v>
      </c>
      <c r="Z83" s="21">
        <f>ROUND(0.3*T83*Table1[[#This Row],[E&amp;D Rate per unit]]*Table1[[#This Row],[Quantity]],2)</f>
        <v>0</v>
      </c>
      <c r="AA83" s="21">
        <v>680.11</v>
      </c>
      <c r="AB83" s="138">
        <v>540.16999999999996</v>
      </c>
      <c r="AC83" s="138">
        <v>139.94000000000005</v>
      </c>
      <c r="AD83" s="136"/>
      <c r="AE83" s="153">
        <v>540.17000000000007</v>
      </c>
      <c r="AF83" s="161">
        <f>Table1[[#This Row],[Certified Amount (Cum)]]-Table1[[#This Row],[Certified Amount (Previous)]]</f>
        <v>139.93999999999994</v>
      </c>
      <c r="AG83" s="160">
        <f t="shared" si="9"/>
        <v>680.11</v>
      </c>
      <c r="AH83" s="158">
        <f>Table1[[#This Row],[Certified Amount (Cum)]]-Table1[[#This Row],[Total Amount]]</f>
        <v>0</v>
      </c>
    </row>
    <row r="84" spans="1:34" ht="30" customHeight="1" x14ac:dyDescent="0.3">
      <c r="A84" s="107" t="s">
        <v>91</v>
      </c>
      <c r="B84" s="90" t="s">
        <v>98</v>
      </c>
      <c r="C84" s="16" t="s">
        <v>270</v>
      </c>
      <c r="D84" s="16">
        <v>74618</v>
      </c>
      <c r="E84" s="16"/>
      <c r="F84" s="17" t="s">
        <v>268</v>
      </c>
      <c r="G84" s="17" t="s">
        <v>256</v>
      </c>
      <c r="H84" s="108" t="s">
        <v>128</v>
      </c>
      <c r="I84" s="16">
        <v>1</v>
      </c>
      <c r="J84" s="16">
        <v>10.8</v>
      </c>
      <c r="K84" s="16">
        <v>0.5</v>
      </c>
      <c r="L84" s="16">
        <v>1</v>
      </c>
      <c r="M84" s="16">
        <v>1</v>
      </c>
      <c r="N84" s="91" t="s">
        <v>162</v>
      </c>
      <c r="O84" s="91">
        <f t="shared" si="10"/>
        <v>5.4</v>
      </c>
      <c r="P84" s="18">
        <v>44847</v>
      </c>
      <c r="Q84" s="18"/>
      <c r="R84" s="19">
        <v>1</v>
      </c>
      <c r="S84" s="19">
        <v>1</v>
      </c>
      <c r="T84" s="19">
        <v>0</v>
      </c>
      <c r="U84" s="20">
        <f>IF(ISBLANK(Table1[[#This Row],[OHC Date]]),$B$7-Table1[[#This Row],[HOC Date]]+1,Table1[[#This Row],[OHC Date]]-Table1[[#This Row],[HOC Date]]+1)/7</f>
        <v>6.2857142857142856</v>
      </c>
      <c r="V84" s="21">
        <v>32.75</v>
      </c>
      <c r="W84" s="21">
        <v>1.05</v>
      </c>
      <c r="X84" s="21">
        <f>ROUND(0.7*Table1[[#This Row],[E&amp;D Rate per unit]]*R84*Table1[[#This Row],[Quantity]],2)</f>
        <v>123.8</v>
      </c>
      <c r="Y84" s="21">
        <f t="shared" si="11"/>
        <v>35.64</v>
      </c>
      <c r="Z84" s="21">
        <f>ROUND(0.3*T84*Table1[[#This Row],[E&amp;D Rate per unit]]*Table1[[#This Row],[Quantity]],2)</f>
        <v>0</v>
      </c>
      <c r="AA84" s="21">
        <v>159.44</v>
      </c>
      <c r="AB84" s="138">
        <v>134.33000000000001</v>
      </c>
      <c r="AC84" s="138">
        <v>25.109999999999985</v>
      </c>
      <c r="AD84" s="136"/>
      <c r="AE84" s="153">
        <v>134.32999999999998</v>
      </c>
      <c r="AF84" s="161">
        <f>Table1[[#This Row],[Certified Amount (Cum)]]-Table1[[#This Row],[Certified Amount (Previous)]]</f>
        <v>25.110000000000014</v>
      </c>
      <c r="AG84" s="160">
        <f t="shared" si="9"/>
        <v>159.44</v>
      </c>
      <c r="AH84" s="158">
        <f>Table1[[#This Row],[Certified Amount (Cum)]]-Table1[[#This Row],[Total Amount]]</f>
        <v>0</v>
      </c>
    </row>
    <row r="85" spans="1:34" ht="30" customHeight="1" x14ac:dyDescent="0.3">
      <c r="A85" s="107" t="s">
        <v>91</v>
      </c>
      <c r="B85" s="90" t="s">
        <v>98</v>
      </c>
      <c r="C85" s="16" t="s">
        <v>271</v>
      </c>
      <c r="D85" s="16">
        <v>74619</v>
      </c>
      <c r="E85" s="16"/>
      <c r="F85" s="17" t="s">
        <v>272</v>
      </c>
      <c r="G85" s="17" t="s">
        <v>256</v>
      </c>
      <c r="H85" s="108" t="s">
        <v>129</v>
      </c>
      <c r="I85" s="16">
        <v>1</v>
      </c>
      <c r="J85" s="16">
        <v>1.5</v>
      </c>
      <c r="K85" s="16">
        <v>1</v>
      </c>
      <c r="L85" s="16">
        <v>1</v>
      </c>
      <c r="M85" s="16">
        <v>1</v>
      </c>
      <c r="N85" s="91" t="s">
        <v>162</v>
      </c>
      <c r="O85" s="91">
        <f t="shared" si="10"/>
        <v>1.5</v>
      </c>
      <c r="P85" s="18">
        <v>44849</v>
      </c>
      <c r="Q85" s="18"/>
      <c r="R85" s="19">
        <v>1</v>
      </c>
      <c r="S85" s="19">
        <v>1</v>
      </c>
      <c r="T85" s="19">
        <v>0</v>
      </c>
      <c r="U85" s="20">
        <f>IF(ISBLANK(Table1[[#This Row],[OHC Date]]),$B$7-Table1[[#This Row],[HOC Date]]+1,Table1[[#This Row],[OHC Date]]-Table1[[#This Row],[HOC Date]]+1)/7</f>
        <v>6</v>
      </c>
      <c r="V85" s="21">
        <v>36.520000000000003</v>
      </c>
      <c r="W85" s="21">
        <v>2.94</v>
      </c>
      <c r="X85" s="21">
        <f>ROUND(0.7*Table1[[#This Row],[E&amp;D Rate per unit]]*R85*Table1[[#This Row],[Quantity]],2)</f>
        <v>38.35</v>
      </c>
      <c r="Y85" s="21">
        <f t="shared" si="11"/>
        <v>26.46</v>
      </c>
      <c r="Z85" s="21">
        <f>ROUND(0.3*T85*Table1[[#This Row],[E&amp;D Rate per unit]]*Table1[[#This Row],[Quantity]],2)</f>
        <v>0</v>
      </c>
      <c r="AA85" s="21">
        <v>64.81</v>
      </c>
      <c r="AB85" s="138">
        <v>45.28</v>
      </c>
      <c r="AC85" s="138">
        <v>19.53</v>
      </c>
      <c r="AD85" s="136" t="s">
        <v>220</v>
      </c>
      <c r="AE85" s="153">
        <v>45.28</v>
      </c>
      <c r="AF85" s="161">
        <f>Table1[[#This Row],[Certified Amount (Cum)]]-Table1[[#This Row],[Certified Amount (Previous)]]</f>
        <v>19.53</v>
      </c>
      <c r="AG85" s="160">
        <f t="shared" si="9"/>
        <v>64.81</v>
      </c>
      <c r="AH85" s="158">
        <f>Table1[[#This Row],[Certified Amount (Cum)]]-Table1[[#This Row],[Total Amount]]</f>
        <v>0</v>
      </c>
    </row>
    <row r="86" spans="1:34" ht="30" customHeight="1" x14ac:dyDescent="0.3">
      <c r="A86" s="107" t="s">
        <v>91</v>
      </c>
      <c r="B86" s="90" t="s">
        <v>98</v>
      </c>
      <c r="C86" s="16" t="s">
        <v>273</v>
      </c>
      <c r="D86" s="16">
        <v>74620</v>
      </c>
      <c r="E86" s="16"/>
      <c r="F86" s="17" t="s">
        <v>272</v>
      </c>
      <c r="G86" s="17" t="s">
        <v>256</v>
      </c>
      <c r="H86" s="108" t="s">
        <v>222</v>
      </c>
      <c r="I86" s="16">
        <v>1</v>
      </c>
      <c r="J86" s="16">
        <v>2.5</v>
      </c>
      <c r="K86" s="16">
        <v>1.8</v>
      </c>
      <c r="L86" s="16">
        <v>3.5</v>
      </c>
      <c r="M86" s="16">
        <v>1</v>
      </c>
      <c r="N86" s="91" t="s">
        <v>223</v>
      </c>
      <c r="O86" s="91">
        <f t="shared" si="10"/>
        <v>3.5</v>
      </c>
      <c r="P86" s="18">
        <v>44849</v>
      </c>
      <c r="Q86" s="18"/>
      <c r="R86" s="19">
        <v>1</v>
      </c>
      <c r="S86" s="19">
        <v>1</v>
      </c>
      <c r="T86" s="19">
        <v>0</v>
      </c>
      <c r="U86" s="20">
        <f>IF(ISBLANK(Table1[[#This Row],[OHC Date]]),$B$7-Table1[[#This Row],[HOC Date]]+1,Table1[[#This Row],[OHC Date]]-Table1[[#This Row],[HOC Date]]+1)/7</f>
        <v>6</v>
      </c>
      <c r="V86" s="21">
        <v>63.34</v>
      </c>
      <c r="W86" s="21">
        <v>7.28</v>
      </c>
      <c r="X86" s="21">
        <f>ROUND(0.7*Table1[[#This Row],[E&amp;D Rate per unit]]*R86*Table1[[#This Row],[Quantity]],2)</f>
        <v>155.18</v>
      </c>
      <c r="Y86" s="21">
        <f t="shared" si="11"/>
        <v>152.88</v>
      </c>
      <c r="Z86" s="21">
        <f>ROUND(0.3*T86*Table1[[#This Row],[E&amp;D Rate per unit]]*Table1[[#This Row],[Quantity]],2)</f>
        <v>0</v>
      </c>
      <c r="AA86" s="21">
        <v>308.06</v>
      </c>
      <c r="AB86" s="138">
        <v>195.22</v>
      </c>
      <c r="AC86" s="138">
        <v>112.84</v>
      </c>
      <c r="AD86" s="136" t="s">
        <v>220</v>
      </c>
      <c r="AE86" s="153">
        <v>195.22</v>
      </c>
      <c r="AF86" s="161">
        <f>Table1[[#This Row],[Certified Amount (Cum)]]-Table1[[#This Row],[Certified Amount (Previous)]]</f>
        <v>112.84</v>
      </c>
      <c r="AG86" s="160">
        <f t="shared" si="9"/>
        <v>308.06</v>
      </c>
      <c r="AH86" s="158">
        <f>Table1[[#This Row],[Certified Amount (Cum)]]-Table1[[#This Row],[Total Amount]]</f>
        <v>0</v>
      </c>
    </row>
    <row r="87" spans="1:34" ht="30" customHeight="1" x14ac:dyDescent="0.3">
      <c r="A87" s="107" t="s">
        <v>91</v>
      </c>
      <c r="B87" s="90" t="s">
        <v>98</v>
      </c>
      <c r="C87" s="16" t="s">
        <v>274</v>
      </c>
      <c r="D87" s="16">
        <v>74621</v>
      </c>
      <c r="E87" s="16"/>
      <c r="F87" s="17" t="s">
        <v>272</v>
      </c>
      <c r="G87" s="17" t="s">
        <v>256</v>
      </c>
      <c r="H87" s="108" t="s">
        <v>128</v>
      </c>
      <c r="I87" s="16">
        <v>1</v>
      </c>
      <c r="J87" s="16">
        <v>4.8</v>
      </c>
      <c r="K87" s="16">
        <v>0.5</v>
      </c>
      <c r="L87" s="16">
        <v>1</v>
      </c>
      <c r="M87" s="16">
        <v>1</v>
      </c>
      <c r="N87" s="91" t="s">
        <v>162</v>
      </c>
      <c r="O87" s="91">
        <f t="shared" si="10"/>
        <v>2.4</v>
      </c>
      <c r="P87" s="18">
        <v>44849</v>
      </c>
      <c r="Q87" s="18"/>
      <c r="R87" s="19">
        <v>1</v>
      </c>
      <c r="S87" s="19">
        <v>1</v>
      </c>
      <c r="T87" s="19">
        <v>0</v>
      </c>
      <c r="U87" s="20">
        <f>IF(ISBLANK(Table1[[#This Row],[OHC Date]]),$B$7-Table1[[#This Row],[HOC Date]]+1,Table1[[#This Row],[OHC Date]]-Table1[[#This Row],[HOC Date]]+1)/7</f>
        <v>6</v>
      </c>
      <c r="V87" s="21">
        <v>32.75</v>
      </c>
      <c r="W87" s="21">
        <v>1.05</v>
      </c>
      <c r="X87" s="21">
        <f>ROUND(0.7*Table1[[#This Row],[E&amp;D Rate per unit]]*R87*Table1[[#This Row],[Quantity]],2)</f>
        <v>55.02</v>
      </c>
      <c r="Y87" s="21">
        <f t="shared" si="11"/>
        <v>15.12</v>
      </c>
      <c r="Z87" s="21">
        <f>ROUND(0.3*T87*Table1[[#This Row],[E&amp;D Rate per unit]]*Table1[[#This Row],[Quantity]],2)</f>
        <v>0</v>
      </c>
      <c r="AA87" s="21">
        <v>70.14</v>
      </c>
      <c r="AB87" s="138">
        <v>58.98</v>
      </c>
      <c r="AC87" s="138">
        <v>11.160000000000004</v>
      </c>
      <c r="AD87" s="136" t="s">
        <v>220</v>
      </c>
      <c r="AE87" s="153">
        <v>58.980000000000004</v>
      </c>
      <c r="AF87" s="161">
        <f>Table1[[#This Row],[Certified Amount (Cum)]]-Table1[[#This Row],[Certified Amount (Previous)]]</f>
        <v>11.159999999999997</v>
      </c>
      <c r="AG87" s="160">
        <f t="shared" si="9"/>
        <v>70.14</v>
      </c>
      <c r="AH87" s="158">
        <f>Table1[[#This Row],[Certified Amount (Cum)]]-Table1[[#This Row],[Total Amount]]</f>
        <v>0</v>
      </c>
    </row>
    <row r="88" spans="1:34" ht="30" customHeight="1" x14ac:dyDescent="0.3">
      <c r="A88" s="107" t="s">
        <v>91</v>
      </c>
      <c r="B88" s="90" t="s">
        <v>98</v>
      </c>
      <c r="C88" s="16">
        <v>9</v>
      </c>
      <c r="D88" s="16">
        <v>74622</v>
      </c>
      <c r="E88" s="16"/>
      <c r="F88" s="17" t="s">
        <v>272</v>
      </c>
      <c r="G88" s="17" t="s">
        <v>256</v>
      </c>
      <c r="H88" s="108" t="s">
        <v>207</v>
      </c>
      <c r="I88" s="16">
        <v>1</v>
      </c>
      <c r="J88" s="16">
        <v>4.5</v>
      </c>
      <c r="K88" s="16">
        <v>1.5</v>
      </c>
      <c r="L88" s="16">
        <v>2.2999999999999998</v>
      </c>
      <c r="M88" s="16">
        <v>1</v>
      </c>
      <c r="N88" s="91" t="s">
        <v>208</v>
      </c>
      <c r="O88" s="91">
        <f t="shared" si="10"/>
        <v>10.35</v>
      </c>
      <c r="P88" s="18">
        <v>44849</v>
      </c>
      <c r="Q88" s="18"/>
      <c r="R88" s="19">
        <v>1</v>
      </c>
      <c r="S88" s="19">
        <v>1</v>
      </c>
      <c r="T88" s="19">
        <v>0</v>
      </c>
      <c r="U88" s="20">
        <f>IF(ISBLANK(Table1[[#This Row],[OHC Date]]),$B$7-Table1[[#This Row],[HOC Date]]+1,Table1[[#This Row],[OHC Date]]-Table1[[#This Row],[HOC Date]]+1)/7</f>
        <v>6</v>
      </c>
      <c r="V88" s="21">
        <v>12.01</v>
      </c>
      <c r="W88" s="21">
        <v>0.49</v>
      </c>
      <c r="X88" s="21">
        <f>ROUND(0.7*Table1[[#This Row],[E&amp;D Rate per unit]]*R88*Table1[[#This Row],[Quantity]],2)</f>
        <v>87.01</v>
      </c>
      <c r="Y88" s="21">
        <f t="shared" si="11"/>
        <v>30.43</v>
      </c>
      <c r="Z88" s="21">
        <f>ROUND(0.3*T88*Table1[[#This Row],[E&amp;D Rate per unit]]*Table1[[#This Row],[Quantity]],2)</f>
        <v>0</v>
      </c>
      <c r="AA88" s="21">
        <v>117.44</v>
      </c>
      <c r="AB88" s="138">
        <v>94.98</v>
      </c>
      <c r="AC88" s="138">
        <v>22.459999999999994</v>
      </c>
      <c r="AD88" s="136" t="s">
        <v>220</v>
      </c>
      <c r="AE88" s="153">
        <v>94.98</v>
      </c>
      <c r="AF88" s="161">
        <f>Table1[[#This Row],[Certified Amount (Cum)]]-Table1[[#This Row],[Certified Amount (Previous)]]</f>
        <v>22.459999999999994</v>
      </c>
      <c r="AG88" s="160">
        <f t="shared" si="9"/>
        <v>117.44</v>
      </c>
      <c r="AH88" s="158">
        <f>Table1[[#This Row],[Certified Amount (Cum)]]-Table1[[#This Row],[Total Amount]]</f>
        <v>0</v>
      </c>
    </row>
    <row r="89" spans="1:34" ht="30" customHeight="1" x14ac:dyDescent="0.3">
      <c r="A89" s="107" t="s">
        <v>97</v>
      </c>
      <c r="B89" s="90" t="s">
        <v>98</v>
      </c>
      <c r="C89" s="108">
        <v>10</v>
      </c>
      <c r="D89" s="108">
        <v>74633</v>
      </c>
      <c r="E89" s="108"/>
      <c r="F89" s="109" t="s">
        <v>283</v>
      </c>
      <c r="G89" s="17" t="s">
        <v>165</v>
      </c>
      <c r="H89" s="108" t="s">
        <v>301</v>
      </c>
      <c r="I89" s="108">
        <v>1</v>
      </c>
      <c r="J89" s="108">
        <v>50</v>
      </c>
      <c r="K89" s="108">
        <v>1.8</v>
      </c>
      <c r="L89" s="108">
        <v>4</v>
      </c>
      <c r="M89" s="108">
        <v>1</v>
      </c>
      <c r="N89" s="110" t="s">
        <v>285</v>
      </c>
      <c r="O89" s="110">
        <f>ROUND(IF(N89="m3",I89*J89*K89*L89,IF(N89="m2-LxH",I89*J89*L89,IF(N89="m2-LxW",I89*J89*K89,IF(N89="rm",I89*L89,IF(N89="lm",I89*J89,IF(N89="unit",I89,"NA")))))),2)</f>
        <v>50</v>
      </c>
      <c r="P89" s="124">
        <v>44854</v>
      </c>
      <c r="Q89" s="124"/>
      <c r="R89" s="111">
        <v>1</v>
      </c>
      <c r="S89" s="111">
        <v>1</v>
      </c>
      <c r="T89" s="111">
        <v>0</v>
      </c>
      <c r="U89" s="112">
        <f>IF(ISBLANK(Table1[[#This Row],[OHC Date]]),$B$7-Table1[[#This Row],[HOC Date]]+1,Table1[[#This Row],[OHC Date]]-Table1[[#This Row],[HOC Date]]+1)/7</f>
        <v>5.2857142857142856</v>
      </c>
      <c r="V89" s="113">
        <v>1002.22</v>
      </c>
      <c r="W89" s="113">
        <v>98.12</v>
      </c>
      <c r="X89" s="113">
        <f>ROUND(0.7*Table1[[#This Row],[E&amp;D Rate per unit]]*R89*Table1[[#This Row],[Quantity]],2)</f>
        <v>35077.699999999997</v>
      </c>
      <c r="Y89" s="113">
        <f>ROUND(O89*U89*W89*S89,2)</f>
        <v>25931.71</v>
      </c>
      <c r="Z89" s="113">
        <f>ROUND(0.3*T89*Table1[[#This Row],[E&amp;D Rate per unit]]*Table1[[#This Row],[Quantity]],2)</f>
        <v>0</v>
      </c>
      <c r="AA89" s="113">
        <v>61009.41</v>
      </c>
      <c r="AB89" s="138">
        <v>39282.839999999997</v>
      </c>
      <c r="AC89" s="135">
        <v>21726.570000000007</v>
      </c>
      <c r="AD89" s="114" t="s">
        <v>284</v>
      </c>
      <c r="AE89" s="153">
        <v>39282.409999999996</v>
      </c>
      <c r="AF89" s="161">
        <f>Table1[[#This Row],[Certified Amount (Cum)]]-Table1[[#This Row],[Certified Amount (Previous)]]</f>
        <v>21727</v>
      </c>
      <c r="AG89" s="160">
        <f t="shared" si="9"/>
        <v>61009.409999999996</v>
      </c>
      <c r="AH89" s="158">
        <f>Table1[[#This Row],[Certified Amount (Cum)]]-Table1[[#This Row],[Total Amount]]</f>
        <v>0</v>
      </c>
    </row>
    <row r="90" spans="1:34" ht="30" customHeight="1" x14ac:dyDescent="0.3">
      <c r="A90" s="140" t="s">
        <v>275</v>
      </c>
      <c r="B90" s="90" t="s">
        <v>98</v>
      </c>
      <c r="C90" s="16">
        <v>11</v>
      </c>
      <c r="D90" s="16">
        <v>74623</v>
      </c>
      <c r="E90" s="16"/>
      <c r="F90" s="17" t="s">
        <v>277</v>
      </c>
      <c r="G90" s="17" t="s">
        <v>276</v>
      </c>
      <c r="H90" s="108" t="s">
        <v>207</v>
      </c>
      <c r="I90" s="16">
        <v>1</v>
      </c>
      <c r="J90" s="16">
        <v>5.7</v>
      </c>
      <c r="K90" s="16">
        <v>1.3</v>
      </c>
      <c r="L90" s="16">
        <v>1.5</v>
      </c>
      <c r="M90" s="16">
        <v>1</v>
      </c>
      <c r="N90" s="91" t="s">
        <v>56</v>
      </c>
      <c r="O90" s="91">
        <f t="shared" si="10"/>
        <v>1</v>
      </c>
      <c r="P90" s="18">
        <v>44854</v>
      </c>
      <c r="Q90" s="18"/>
      <c r="R90" s="19">
        <v>1</v>
      </c>
      <c r="S90" s="19">
        <v>1</v>
      </c>
      <c r="T90" s="19">
        <v>0</v>
      </c>
      <c r="U90" s="20">
        <f>IF(ISBLANK(Table1[[#This Row],[OHC Date]]),$B$7-Table1[[#This Row],[HOC Date]]+1,Table1[[#This Row],[OHC Date]]-Table1[[#This Row],[HOC Date]]+1)/7</f>
        <v>5.2857142857142856</v>
      </c>
      <c r="V90" s="21">
        <v>1368.99</v>
      </c>
      <c r="W90" s="21">
        <v>6.17</v>
      </c>
      <c r="X90" s="21">
        <f>ROUND(0.7*Table1[[#This Row],[E&amp;D Rate per unit]]*R90*Table1[[#This Row],[Quantity]],2)</f>
        <v>958.29</v>
      </c>
      <c r="Y90" s="21">
        <f t="shared" si="11"/>
        <v>32.61</v>
      </c>
      <c r="Z90" s="21">
        <f>ROUND(0.3*T90*Table1[[#This Row],[E&amp;D Rate per unit]]*Table1[[#This Row],[Quantity]],2)</f>
        <v>0</v>
      </c>
      <c r="AA90" s="21">
        <v>990.9</v>
      </c>
      <c r="AB90" s="138">
        <v>963.58</v>
      </c>
      <c r="AC90" s="138">
        <v>27.319999999999936</v>
      </c>
      <c r="AD90" s="141" t="s">
        <v>279</v>
      </c>
      <c r="AE90" s="153">
        <v>963.57999999999993</v>
      </c>
      <c r="AF90" s="161">
        <f>Table1[[#This Row],[Certified Amount (Cum)]]-Table1[[#This Row],[Certified Amount (Previous)]]</f>
        <v>27.32000000000005</v>
      </c>
      <c r="AG90" s="160">
        <f t="shared" si="9"/>
        <v>990.9</v>
      </c>
      <c r="AH90" s="158">
        <f>Table1[[#This Row],[Certified Amount (Cum)]]-Table1[[#This Row],[Total Amount]]</f>
        <v>0</v>
      </c>
    </row>
    <row r="91" spans="1:34" ht="30" customHeight="1" x14ac:dyDescent="0.3">
      <c r="A91" s="140" t="s">
        <v>275</v>
      </c>
      <c r="B91" s="90" t="s">
        <v>98</v>
      </c>
      <c r="C91" s="16">
        <v>12</v>
      </c>
      <c r="D91" s="16">
        <v>74625</v>
      </c>
      <c r="E91" s="16"/>
      <c r="F91" s="17" t="s">
        <v>277</v>
      </c>
      <c r="G91" s="17" t="s">
        <v>278</v>
      </c>
      <c r="H91" s="108" t="s">
        <v>207</v>
      </c>
      <c r="I91" s="16">
        <v>1</v>
      </c>
      <c r="J91" s="16">
        <v>5.7</v>
      </c>
      <c r="K91" s="16">
        <v>1.3</v>
      </c>
      <c r="L91" s="16">
        <v>1.5</v>
      </c>
      <c r="M91" s="16">
        <v>1</v>
      </c>
      <c r="N91" s="91" t="s">
        <v>56</v>
      </c>
      <c r="O91" s="91">
        <f t="shared" si="10"/>
        <v>1</v>
      </c>
      <c r="P91" s="18">
        <v>44854</v>
      </c>
      <c r="Q91" s="18"/>
      <c r="R91" s="19">
        <v>1</v>
      </c>
      <c r="S91" s="19">
        <v>1</v>
      </c>
      <c r="T91" s="19">
        <v>0</v>
      </c>
      <c r="U91" s="20">
        <f>IF(ISBLANK(Table1[[#This Row],[OHC Date]]),$B$7-Table1[[#This Row],[HOC Date]]+1,Table1[[#This Row],[OHC Date]]-Table1[[#This Row],[HOC Date]]+1)/7</f>
        <v>5.2857142857142856</v>
      </c>
      <c r="V91" s="21">
        <v>1368.99</v>
      </c>
      <c r="W91" s="21">
        <v>6.17</v>
      </c>
      <c r="X91" s="21">
        <f>ROUND(0.7*Table1[[#This Row],[E&amp;D Rate per unit]]*R91*Table1[[#This Row],[Quantity]],2)</f>
        <v>958.29</v>
      </c>
      <c r="Y91" s="21">
        <f t="shared" si="11"/>
        <v>32.61</v>
      </c>
      <c r="Z91" s="21">
        <f>ROUND(0.3*T91*Table1[[#This Row],[E&amp;D Rate per unit]]*Table1[[#This Row],[Quantity]],2)</f>
        <v>0</v>
      </c>
      <c r="AA91" s="21">
        <v>990.9</v>
      </c>
      <c r="AB91" s="138">
        <v>963.58</v>
      </c>
      <c r="AC91" s="138">
        <v>27.319999999999936</v>
      </c>
      <c r="AD91" s="141" t="s">
        <v>279</v>
      </c>
      <c r="AE91" s="153">
        <v>963.57999999999993</v>
      </c>
      <c r="AF91" s="161">
        <f>Table1[[#This Row],[Certified Amount (Cum)]]-Table1[[#This Row],[Certified Amount (Previous)]]</f>
        <v>27.32000000000005</v>
      </c>
      <c r="AG91" s="160">
        <f t="shared" si="9"/>
        <v>990.9</v>
      </c>
      <c r="AH91" s="158">
        <f>Table1[[#This Row],[Certified Amount (Cum)]]-Table1[[#This Row],[Total Amount]]</f>
        <v>0</v>
      </c>
    </row>
    <row r="92" spans="1:34" ht="30" customHeight="1" x14ac:dyDescent="0.3">
      <c r="A92" s="140" t="s">
        <v>275</v>
      </c>
      <c r="B92" s="90" t="s">
        <v>98</v>
      </c>
      <c r="C92" s="16">
        <v>13</v>
      </c>
      <c r="D92" s="16">
        <v>74624</v>
      </c>
      <c r="E92" s="16"/>
      <c r="F92" s="17" t="s">
        <v>277</v>
      </c>
      <c r="G92" s="17" t="s">
        <v>253</v>
      </c>
      <c r="H92" s="108" t="s">
        <v>207</v>
      </c>
      <c r="I92" s="16">
        <v>1</v>
      </c>
      <c r="J92" s="16">
        <v>5.7</v>
      </c>
      <c r="K92" s="16">
        <v>1.3</v>
      </c>
      <c r="L92" s="16">
        <v>1.5</v>
      </c>
      <c r="M92" s="16">
        <v>1</v>
      </c>
      <c r="N92" s="91" t="s">
        <v>56</v>
      </c>
      <c r="O92" s="91">
        <f t="shared" si="10"/>
        <v>1</v>
      </c>
      <c r="P92" s="18">
        <v>44855</v>
      </c>
      <c r="Q92" s="18"/>
      <c r="R92" s="19">
        <v>1</v>
      </c>
      <c r="S92" s="19">
        <v>1</v>
      </c>
      <c r="T92" s="19">
        <v>0</v>
      </c>
      <c r="U92" s="20">
        <f>IF(ISBLANK(Table1[[#This Row],[OHC Date]]),$B$7-Table1[[#This Row],[HOC Date]]+1,Table1[[#This Row],[OHC Date]]-Table1[[#This Row],[HOC Date]]+1)/7</f>
        <v>5.1428571428571432</v>
      </c>
      <c r="V92" s="21">
        <v>1368.99</v>
      </c>
      <c r="W92" s="21">
        <v>6.17</v>
      </c>
      <c r="X92" s="21">
        <f>ROUND(0.7*Table1[[#This Row],[E&amp;D Rate per unit]]*R92*Table1[[#This Row],[Quantity]],2)</f>
        <v>958.29</v>
      </c>
      <c r="Y92" s="21">
        <f t="shared" si="11"/>
        <v>31.73</v>
      </c>
      <c r="Z92" s="21">
        <f>ROUND(0.3*T92*Table1[[#This Row],[E&amp;D Rate per unit]]*Table1[[#This Row],[Quantity]],2)</f>
        <v>0</v>
      </c>
      <c r="AA92" s="21">
        <v>990.02</v>
      </c>
      <c r="AB92" s="138">
        <v>962.7</v>
      </c>
      <c r="AC92" s="138">
        <v>27.319999999999936</v>
      </c>
      <c r="AD92" s="141" t="s">
        <v>279</v>
      </c>
      <c r="AE92" s="153">
        <v>962.69999999999993</v>
      </c>
      <c r="AF92" s="161">
        <f>Table1[[#This Row],[Certified Amount (Cum)]]-Table1[[#This Row],[Certified Amount (Previous)]]</f>
        <v>27.32000000000005</v>
      </c>
      <c r="AG92" s="160">
        <f t="shared" si="9"/>
        <v>990.02</v>
      </c>
      <c r="AH92" s="158">
        <f>Table1[[#This Row],[Certified Amount (Cum)]]-Table1[[#This Row],[Total Amount]]</f>
        <v>0</v>
      </c>
    </row>
    <row r="93" spans="1:34" ht="30" customHeight="1" x14ac:dyDescent="0.3">
      <c r="A93" s="140" t="s">
        <v>275</v>
      </c>
      <c r="B93" s="90" t="s">
        <v>98</v>
      </c>
      <c r="C93" s="16">
        <v>14</v>
      </c>
      <c r="D93" s="16">
        <v>74626</v>
      </c>
      <c r="E93" s="16"/>
      <c r="F93" s="17" t="s">
        <v>277</v>
      </c>
      <c r="G93" s="17" t="s">
        <v>280</v>
      </c>
      <c r="H93" s="108" t="s">
        <v>207</v>
      </c>
      <c r="I93" s="16">
        <v>1</v>
      </c>
      <c r="J93" s="16">
        <v>5.7</v>
      </c>
      <c r="K93" s="16">
        <v>1.3</v>
      </c>
      <c r="L93" s="16">
        <v>1.5</v>
      </c>
      <c r="M93" s="16">
        <v>1</v>
      </c>
      <c r="N93" s="91" t="s">
        <v>56</v>
      </c>
      <c r="O93" s="91">
        <f t="shared" si="10"/>
        <v>1</v>
      </c>
      <c r="P93" s="18">
        <v>44855</v>
      </c>
      <c r="Q93" s="18"/>
      <c r="R93" s="19">
        <v>1</v>
      </c>
      <c r="S93" s="19">
        <v>1</v>
      </c>
      <c r="T93" s="19">
        <v>0</v>
      </c>
      <c r="U93" s="20">
        <f>IF(ISBLANK(Table1[[#This Row],[OHC Date]]),$B$7-Table1[[#This Row],[HOC Date]]+1,Table1[[#This Row],[OHC Date]]-Table1[[#This Row],[HOC Date]]+1)/7</f>
        <v>5.1428571428571432</v>
      </c>
      <c r="V93" s="21">
        <v>1368.99</v>
      </c>
      <c r="W93" s="21">
        <v>6.17</v>
      </c>
      <c r="X93" s="21">
        <f>ROUND(0.7*Table1[[#This Row],[E&amp;D Rate per unit]]*R93*Table1[[#This Row],[Quantity]],2)</f>
        <v>958.29</v>
      </c>
      <c r="Y93" s="21">
        <f t="shared" si="11"/>
        <v>31.73</v>
      </c>
      <c r="Z93" s="21">
        <f>ROUND(0.3*T93*Table1[[#This Row],[E&amp;D Rate per unit]]*Table1[[#This Row],[Quantity]],2)</f>
        <v>0</v>
      </c>
      <c r="AA93" s="21">
        <v>990.02</v>
      </c>
      <c r="AB93" s="138">
        <v>962.7</v>
      </c>
      <c r="AC93" s="138">
        <v>27.319999999999936</v>
      </c>
      <c r="AD93" s="141" t="s">
        <v>279</v>
      </c>
      <c r="AE93" s="153">
        <v>962.69999999999993</v>
      </c>
      <c r="AF93" s="161">
        <f>Table1[[#This Row],[Certified Amount (Cum)]]-Table1[[#This Row],[Certified Amount (Previous)]]</f>
        <v>27.32000000000005</v>
      </c>
      <c r="AG93" s="160">
        <f t="shared" si="9"/>
        <v>990.02</v>
      </c>
      <c r="AH93" s="158">
        <f>Table1[[#This Row],[Certified Amount (Cum)]]-Table1[[#This Row],[Total Amount]]</f>
        <v>0</v>
      </c>
    </row>
    <row r="94" spans="1:34" ht="30" customHeight="1" x14ac:dyDescent="0.3">
      <c r="A94" s="107" t="s">
        <v>91</v>
      </c>
      <c r="B94" s="90" t="s">
        <v>98</v>
      </c>
      <c r="C94" s="145" t="s">
        <v>281</v>
      </c>
      <c r="D94" s="108">
        <v>74635</v>
      </c>
      <c r="E94" s="108">
        <v>76805</v>
      </c>
      <c r="F94" s="109" t="s">
        <v>282</v>
      </c>
      <c r="G94" s="17" t="s">
        <v>165</v>
      </c>
      <c r="H94" s="108" t="s">
        <v>178</v>
      </c>
      <c r="I94" s="108">
        <v>1</v>
      </c>
      <c r="J94" s="108">
        <v>50</v>
      </c>
      <c r="K94" s="108">
        <v>1</v>
      </c>
      <c r="L94" s="108">
        <v>1</v>
      </c>
      <c r="M94" s="108">
        <v>1</v>
      </c>
      <c r="N94" s="110" t="s">
        <v>162</v>
      </c>
      <c r="O94" s="110">
        <f t="shared" ref="O94:O100" si="12">ROUND(IF(N94="m3",I94*J94*K94*L94,IF(N94="m2-LxH",I94*J94*L94,IF(N94="m2-LxW",I94*J94*K94,IF(N94="rm",I94*L94,IF(N94="lm",I94*J94,IF(N94="unit",I94,"NA")))))),2)</f>
        <v>50</v>
      </c>
      <c r="P94" s="124">
        <v>44854</v>
      </c>
      <c r="Q94" s="124">
        <v>44865</v>
      </c>
      <c r="R94" s="111">
        <v>1</v>
      </c>
      <c r="S94" s="111">
        <v>1</v>
      </c>
      <c r="T94" s="111">
        <v>1</v>
      </c>
      <c r="U94" s="112">
        <f>IF(ISBLANK(Table1[[#This Row],[OHC Date]]),$B$7-Table1[[#This Row],[HOC Date]]+1,Table1[[#This Row],[OHC Date]]-Table1[[#This Row],[HOC Date]]+1)/7</f>
        <v>1.7142857142857142</v>
      </c>
      <c r="V94" s="113">
        <v>6.63</v>
      </c>
      <c r="W94" s="113">
        <v>0.7</v>
      </c>
      <c r="X94" s="113">
        <f>ROUND(0.7*Table1[[#This Row],[E&amp;D Rate per unit]]*R94*Table1[[#This Row],[Quantity]],2)</f>
        <v>232.05</v>
      </c>
      <c r="Y94" s="113">
        <f t="shared" ref="Y94:Y100" si="13">ROUND(O94*U94*W94*S94,2)</f>
        <v>60</v>
      </c>
      <c r="Z94" s="113">
        <f>ROUND(0.3*T94*Table1[[#This Row],[E&amp;D Rate per unit]]*Table1[[#This Row],[Quantity]],2)</f>
        <v>99.45</v>
      </c>
      <c r="AA94" s="113">
        <v>391.5</v>
      </c>
      <c r="AB94" s="138">
        <v>262.05</v>
      </c>
      <c r="AC94" s="135">
        <v>129.44999999999999</v>
      </c>
      <c r="AD94" s="114"/>
      <c r="AE94" s="153">
        <v>262.05</v>
      </c>
      <c r="AF94" s="161">
        <f>Table1[[#This Row],[Certified Amount (Cum)]]-Table1[[#This Row],[Certified Amount (Previous)]]</f>
        <v>129.44999999999999</v>
      </c>
      <c r="AG94" s="160">
        <f t="shared" si="9"/>
        <v>391.5</v>
      </c>
      <c r="AH94" s="158">
        <f>Table1[[#This Row],[Certified Amount (Cum)]]-Table1[[#This Row],[Total Amount]]</f>
        <v>0</v>
      </c>
    </row>
    <row r="95" spans="1:34" ht="30" customHeight="1" x14ac:dyDescent="0.3">
      <c r="A95" s="107" t="s">
        <v>97</v>
      </c>
      <c r="B95" s="90" t="s">
        <v>98</v>
      </c>
      <c r="C95" s="108">
        <v>15</v>
      </c>
      <c r="D95" s="108">
        <v>74634</v>
      </c>
      <c r="E95" s="108"/>
      <c r="F95" s="109" t="s">
        <v>283</v>
      </c>
      <c r="G95" s="17" t="s">
        <v>165</v>
      </c>
      <c r="H95" s="108" t="s">
        <v>301</v>
      </c>
      <c r="I95" s="108">
        <v>1</v>
      </c>
      <c r="J95" s="108">
        <v>33</v>
      </c>
      <c r="K95" s="108">
        <v>1.8</v>
      </c>
      <c r="L95" s="108">
        <v>4</v>
      </c>
      <c r="M95" s="108">
        <v>1</v>
      </c>
      <c r="N95" s="110" t="s">
        <v>285</v>
      </c>
      <c r="O95" s="110">
        <f t="shared" si="12"/>
        <v>33</v>
      </c>
      <c r="P95" s="124">
        <v>44856</v>
      </c>
      <c r="Q95" s="124"/>
      <c r="R95" s="111">
        <v>1</v>
      </c>
      <c r="S95" s="111">
        <v>1</v>
      </c>
      <c r="T95" s="111">
        <v>0</v>
      </c>
      <c r="U95" s="112">
        <f>IF(ISBLANK(Table1[[#This Row],[OHC Date]]),$B$7-Table1[[#This Row],[HOC Date]]+1,Table1[[#This Row],[OHC Date]]-Table1[[#This Row],[HOC Date]]+1)/7</f>
        <v>5</v>
      </c>
      <c r="V95" s="113">
        <v>1002.22</v>
      </c>
      <c r="W95" s="113">
        <v>98.12</v>
      </c>
      <c r="X95" s="113">
        <f>ROUND(0.7*Table1[[#This Row],[E&amp;D Rate per unit]]*R95*Table1[[#This Row],[Quantity]],2)</f>
        <v>23151.279999999999</v>
      </c>
      <c r="Y95" s="113">
        <f>ROUND(O95*U95*W95*S95,2)</f>
        <v>16189.8</v>
      </c>
      <c r="Z95" s="113">
        <f>ROUND(0.3*T95*Table1[[#This Row],[E&amp;D Rate per unit]]*Table1[[#This Row],[Quantity]],2)</f>
        <v>0</v>
      </c>
      <c r="AA95" s="113">
        <v>39341.08</v>
      </c>
      <c r="AB95" s="138">
        <v>25001.54</v>
      </c>
      <c r="AC95" s="135">
        <v>14339.54</v>
      </c>
      <c r="AD95" s="114" t="s">
        <v>284</v>
      </c>
      <c r="AE95" s="153">
        <v>25001.539999999997</v>
      </c>
      <c r="AF95" s="161">
        <f>Table1[[#This Row],[Certified Amount (Cum)]]-Table1[[#This Row],[Certified Amount (Previous)]]</f>
        <v>14339.540000000005</v>
      </c>
      <c r="AG95" s="160">
        <f t="shared" si="9"/>
        <v>39341.08</v>
      </c>
      <c r="AH95" s="158">
        <f>Table1[[#This Row],[Certified Amount (Cum)]]-Table1[[#This Row],[Total Amount]]</f>
        <v>0</v>
      </c>
    </row>
    <row r="96" spans="1:34" ht="30" customHeight="1" x14ac:dyDescent="0.3">
      <c r="A96" s="107" t="s">
        <v>97</v>
      </c>
      <c r="B96" s="90" t="s">
        <v>98</v>
      </c>
      <c r="C96" s="108">
        <v>15</v>
      </c>
      <c r="D96" s="108">
        <v>74634</v>
      </c>
      <c r="E96" s="108"/>
      <c r="F96" s="109" t="s">
        <v>283</v>
      </c>
      <c r="G96" s="17" t="s">
        <v>165</v>
      </c>
      <c r="H96" s="108" t="s">
        <v>300</v>
      </c>
      <c r="I96" s="108">
        <v>1</v>
      </c>
      <c r="J96" s="108"/>
      <c r="K96" s="108"/>
      <c r="L96" s="108"/>
      <c r="M96" s="108"/>
      <c r="N96" s="110" t="s">
        <v>56</v>
      </c>
      <c r="O96" s="110">
        <f>ROUND(IF(N96="m3",I96*J96*K96*L96,IF(N96="m2-LxH",I96*J96*L96,IF(N96="m2-LxW",I96*J96*K96,IF(N96="rm",I96*L96,IF(N96="lm",I96*J96,IF(N96="unit",I96,"NA")))))),2)</f>
        <v>1</v>
      </c>
      <c r="P96" s="124">
        <v>44856</v>
      </c>
      <c r="Q96" s="124">
        <v>44856</v>
      </c>
      <c r="R96" s="111">
        <v>1</v>
      </c>
      <c r="S96" s="111">
        <v>1</v>
      </c>
      <c r="T96" s="111">
        <v>1</v>
      </c>
      <c r="U96" s="112">
        <f>IF(ISBLANK(Table1[[#This Row],[OHC Date]]),$B$7-Table1[[#This Row],[HOC Date]]+1,Table1[[#This Row],[OHC Date]]-Table1[[#This Row],[HOC Date]]+1)/7</f>
        <v>0.14285714285714285</v>
      </c>
      <c r="V96" s="113">
        <v>1230</v>
      </c>
      <c r="W96" s="113">
        <v>0</v>
      </c>
      <c r="X96" s="113">
        <v>1230</v>
      </c>
      <c r="Y96" s="113">
        <f>ROUND(O96*U96*W96*S96,2)</f>
        <v>0</v>
      </c>
      <c r="Z96" s="113">
        <v>0</v>
      </c>
      <c r="AA96" s="113">
        <v>1230</v>
      </c>
      <c r="AB96" s="135">
        <v>1230</v>
      </c>
      <c r="AC96" s="135">
        <v>0</v>
      </c>
      <c r="AD96" s="114" t="s">
        <v>299</v>
      </c>
      <c r="AE96" s="153">
        <v>1230</v>
      </c>
      <c r="AF96" s="161">
        <f>Table1[[#This Row],[Certified Amount (Cum)]]-Table1[[#This Row],[Certified Amount (Previous)]]</f>
        <v>0</v>
      </c>
      <c r="AG96" s="160">
        <f t="shared" si="9"/>
        <v>1230</v>
      </c>
      <c r="AH96" s="158">
        <f>Table1[[#This Row],[Certified Amount (Cum)]]-Table1[[#This Row],[Total Amount]]</f>
        <v>0</v>
      </c>
    </row>
    <row r="97" spans="1:40" ht="30" customHeight="1" x14ac:dyDescent="0.3">
      <c r="A97" s="107" t="s">
        <v>91</v>
      </c>
      <c r="B97" s="90" t="s">
        <v>98</v>
      </c>
      <c r="C97" s="145" t="s">
        <v>286</v>
      </c>
      <c r="D97" s="108">
        <v>74636</v>
      </c>
      <c r="E97" s="108">
        <v>76806</v>
      </c>
      <c r="F97" s="109" t="s">
        <v>282</v>
      </c>
      <c r="G97" s="17" t="s">
        <v>165</v>
      </c>
      <c r="H97" s="108" t="s">
        <v>178</v>
      </c>
      <c r="I97" s="108">
        <v>1</v>
      </c>
      <c r="J97" s="108">
        <v>33</v>
      </c>
      <c r="K97" s="108">
        <v>1</v>
      </c>
      <c r="L97" s="108">
        <v>1</v>
      </c>
      <c r="M97" s="108">
        <v>1</v>
      </c>
      <c r="N97" s="110" t="s">
        <v>162</v>
      </c>
      <c r="O97" s="110">
        <f t="shared" si="12"/>
        <v>33</v>
      </c>
      <c r="P97" s="124">
        <v>44856</v>
      </c>
      <c r="Q97" s="124">
        <v>44866</v>
      </c>
      <c r="R97" s="111">
        <v>1</v>
      </c>
      <c r="S97" s="111">
        <v>1</v>
      </c>
      <c r="T97" s="111">
        <v>1</v>
      </c>
      <c r="U97" s="112">
        <f>IF(ISBLANK(Table1[[#This Row],[OHC Date]]),$B$7-Table1[[#This Row],[HOC Date]]+1,Table1[[#This Row],[OHC Date]]-Table1[[#This Row],[HOC Date]]+1)/7</f>
        <v>1.5714285714285714</v>
      </c>
      <c r="V97" s="113">
        <v>6.63</v>
      </c>
      <c r="W97" s="113">
        <v>0.7</v>
      </c>
      <c r="X97" s="113">
        <f>ROUND(0.7*Table1[[#This Row],[E&amp;D Rate per unit]]*R97*Table1[[#This Row],[Quantity]],2)</f>
        <v>153.15</v>
      </c>
      <c r="Y97" s="113">
        <f t="shared" si="13"/>
        <v>36.299999999999997</v>
      </c>
      <c r="Z97" s="113">
        <f>ROUND(0.3*T97*Table1[[#This Row],[E&amp;D Rate per unit]]*Table1[[#This Row],[Quantity]],2)</f>
        <v>65.64</v>
      </c>
      <c r="AA97" s="113">
        <v>255.09</v>
      </c>
      <c r="AB97" s="138">
        <v>166.35</v>
      </c>
      <c r="AC97" s="135">
        <v>88.740000000000009</v>
      </c>
      <c r="AD97" s="114"/>
      <c r="AE97" s="153">
        <v>166.35</v>
      </c>
      <c r="AF97" s="161">
        <f>Table1[[#This Row],[Certified Amount (Cum)]]-Table1[[#This Row],[Certified Amount (Previous)]]</f>
        <v>88.739999999999981</v>
      </c>
      <c r="AG97" s="160">
        <f t="shared" si="9"/>
        <v>255.08999999999997</v>
      </c>
      <c r="AH97" s="158">
        <f>Table1[[#This Row],[Certified Amount (Cum)]]-Table1[[#This Row],[Total Amount]]</f>
        <v>0</v>
      </c>
    </row>
    <row r="98" spans="1:40" ht="30" customHeight="1" x14ac:dyDescent="0.3">
      <c r="A98" s="107" t="s">
        <v>91</v>
      </c>
      <c r="B98" s="90" t="s">
        <v>98</v>
      </c>
      <c r="C98" s="145">
        <v>16</v>
      </c>
      <c r="D98" s="108">
        <v>74627</v>
      </c>
      <c r="E98" s="108">
        <v>76810</v>
      </c>
      <c r="F98" s="109" t="s">
        <v>287</v>
      </c>
      <c r="G98" s="17" t="s">
        <v>288</v>
      </c>
      <c r="H98" s="108" t="s">
        <v>120</v>
      </c>
      <c r="I98" s="108">
        <v>1</v>
      </c>
      <c r="J98" s="108">
        <v>6.8</v>
      </c>
      <c r="K98" s="108">
        <v>1.8</v>
      </c>
      <c r="L98" s="108">
        <v>8</v>
      </c>
      <c r="M98" s="108">
        <v>1</v>
      </c>
      <c r="N98" s="110" t="s">
        <v>208</v>
      </c>
      <c r="O98" s="110">
        <f t="shared" si="12"/>
        <v>54.4</v>
      </c>
      <c r="P98" s="124">
        <v>44858</v>
      </c>
      <c r="Q98" s="124">
        <v>44874</v>
      </c>
      <c r="R98" s="111">
        <v>1</v>
      </c>
      <c r="S98" s="111">
        <v>1</v>
      </c>
      <c r="T98" s="111">
        <v>1</v>
      </c>
      <c r="U98" s="112">
        <f>IF(ISBLANK(Table1[[#This Row],[OHC Date]]),$B$7-Table1[[#This Row],[HOC Date]]+1,Table1[[#This Row],[OHC Date]]-Table1[[#This Row],[HOC Date]]+1)/7</f>
        <v>2.4285714285714284</v>
      </c>
      <c r="V98" s="113">
        <v>16.760000000000002</v>
      </c>
      <c r="W98" s="113">
        <v>0.77</v>
      </c>
      <c r="X98" s="113">
        <f>ROUND(0.7*Table1[[#This Row],[E&amp;D Rate per unit]]*R98*Table1[[#This Row],[Quantity]],2)</f>
        <v>638.22</v>
      </c>
      <c r="Y98" s="113">
        <f t="shared" si="13"/>
        <v>101.73</v>
      </c>
      <c r="Z98" s="113">
        <f>ROUND(0.3*T98*Table1[[#This Row],[E&amp;D Rate per unit]]*Table1[[#This Row],[Quantity]],2)</f>
        <v>273.52</v>
      </c>
      <c r="AA98" s="113">
        <v>1013.47</v>
      </c>
      <c r="AB98" s="135">
        <v>650.19000000000005</v>
      </c>
      <c r="AC98" s="135">
        <v>363.28</v>
      </c>
      <c r="AD98" s="114"/>
      <c r="AE98" s="153">
        <v>650.19000000000005</v>
      </c>
      <c r="AF98" s="161">
        <f>Table1[[#This Row],[Certified Amount (Cum)]]-Table1[[#This Row],[Certified Amount (Previous)]]</f>
        <v>363.28</v>
      </c>
      <c r="AG98" s="160">
        <f t="shared" si="9"/>
        <v>1013.47</v>
      </c>
      <c r="AH98" s="158">
        <f>Table1[[#This Row],[Certified Amount (Cum)]]-Table1[[#This Row],[Total Amount]]</f>
        <v>0</v>
      </c>
    </row>
    <row r="99" spans="1:40" ht="30" customHeight="1" x14ac:dyDescent="0.3">
      <c r="A99" s="107" t="s">
        <v>91</v>
      </c>
      <c r="B99" s="90" t="s">
        <v>98</v>
      </c>
      <c r="C99" s="145" t="s">
        <v>231</v>
      </c>
      <c r="D99" s="108">
        <v>74628</v>
      </c>
      <c r="E99" s="108">
        <v>76811</v>
      </c>
      <c r="F99" s="109" t="s">
        <v>287</v>
      </c>
      <c r="G99" s="17" t="s">
        <v>206</v>
      </c>
      <c r="H99" s="108" t="s">
        <v>129</v>
      </c>
      <c r="I99" s="108">
        <v>1</v>
      </c>
      <c r="J99" s="108">
        <v>6.8</v>
      </c>
      <c r="K99" s="108">
        <v>1</v>
      </c>
      <c r="L99" s="108">
        <v>1</v>
      </c>
      <c r="M99" s="108">
        <v>1</v>
      </c>
      <c r="N99" s="110" t="s">
        <v>162</v>
      </c>
      <c r="O99" s="110">
        <f t="shared" si="12"/>
        <v>6.8</v>
      </c>
      <c r="P99" s="124">
        <v>44858</v>
      </c>
      <c r="Q99" s="124">
        <v>44874</v>
      </c>
      <c r="R99" s="111">
        <v>1</v>
      </c>
      <c r="S99" s="111">
        <v>1</v>
      </c>
      <c r="T99" s="111">
        <v>1</v>
      </c>
      <c r="U99" s="112">
        <f>IF(ISBLANK(Table1[[#This Row],[OHC Date]]),$B$7-Table1[[#This Row],[HOC Date]]+1,Table1[[#This Row],[OHC Date]]-Table1[[#This Row],[HOC Date]]+1)/7</f>
        <v>2.4285714285714284</v>
      </c>
      <c r="V99" s="113">
        <v>36.520000000000003</v>
      </c>
      <c r="W99" s="113">
        <v>2.94</v>
      </c>
      <c r="X99" s="113">
        <f>ROUND(0.7*Table1[[#This Row],[E&amp;D Rate per unit]]*R99*Table1[[#This Row],[Quantity]],2)</f>
        <v>173.84</v>
      </c>
      <c r="Y99" s="113">
        <f t="shared" si="13"/>
        <v>48.55</v>
      </c>
      <c r="Z99" s="113">
        <f>ROUND(0.3*T99*Table1[[#This Row],[E&amp;D Rate per unit]]*Table1[[#This Row],[Quantity]],2)</f>
        <v>74.5</v>
      </c>
      <c r="AA99" s="113">
        <v>296.89</v>
      </c>
      <c r="AB99" s="135">
        <v>179.55</v>
      </c>
      <c r="AC99" s="135">
        <v>117.33999999999997</v>
      </c>
      <c r="AD99" s="114"/>
      <c r="AE99" s="153">
        <v>179.55</v>
      </c>
      <c r="AF99" s="161">
        <f>Table1[[#This Row],[Certified Amount (Cum)]]-Table1[[#This Row],[Certified Amount (Previous)]]</f>
        <v>117.33999999999997</v>
      </c>
      <c r="AG99" s="160">
        <f t="shared" si="9"/>
        <v>296.89</v>
      </c>
      <c r="AH99" s="158">
        <f>Table1[[#This Row],[Certified Amount (Cum)]]-Table1[[#This Row],[Total Amount]]</f>
        <v>0</v>
      </c>
    </row>
    <row r="100" spans="1:40" ht="30" customHeight="1" x14ac:dyDescent="0.3">
      <c r="A100" s="107" t="s">
        <v>91</v>
      </c>
      <c r="B100" s="90" t="s">
        <v>98</v>
      </c>
      <c r="C100" s="145" t="s">
        <v>289</v>
      </c>
      <c r="D100" s="108">
        <v>74629</v>
      </c>
      <c r="E100" s="108">
        <v>76812</v>
      </c>
      <c r="F100" s="109" t="s">
        <v>287</v>
      </c>
      <c r="G100" s="17" t="s">
        <v>225</v>
      </c>
      <c r="H100" s="108" t="s">
        <v>290</v>
      </c>
      <c r="I100" s="108">
        <v>1</v>
      </c>
      <c r="J100" s="108">
        <v>2.5</v>
      </c>
      <c r="K100" s="108">
        <v>1.8</v>
      </c>
      <c r="L100" s="108">
        <v>5</v>
      </c>
      <c r="M100" s="108"/>
      <c r="N100" s="110" t="s">
        <v>226</v>
      </c>
      <c r="O100" s="110">
        <f t="shared" si="12"/>
        <v>22.5</v>
      </c>
      <c r="P100" s="124">
        <v>44858</v>
      </c>
      <c r="Q100" s="124">
        <v>44874</v>
      </c>
      <c r="R100" s="111">
        <v>1</v>
      </c>
      <c r="S100" s="111">
        <v>1</v>
      </c>
      <c r="T100" s="111">
        <v>1</v>
      </c>
      <c r="U100" s="112">
        <f>IF(ISBLANK(Table1[[#This Row],[OHC Date]]),$B$7-Table1[[#This Row],[HOC Date]]+1,Table1[[#This Row],[OHC Date]]-Table1[[#This Row],[HOC Date]]+1)/7</f>
        <v>2.4285714285714284</v>
      </c>
      <c r="V100" s="113">
        <v>5.29</v>
      </c>
      <c r="W100" s="113">
        <v>0.35</v>
      </c>
      <c r="X100" s="113">
        <f>ROUND(0.7*Table1[[#This Row],[E&amp;D Rate per unit]]*R100*Table1[[#This Row],[Quantity]],2)</f>
        <v>83.32</v>
      </c>
      <c r="Y100" s="113">
        <f t="shared" si="13"/>
        <v>19.13</v>
      </c>
      <c r="Z100" s="113">
        <f>ROUND(0.3*T100*Table1[[#This Row],[E&amp;D Rate per unit]]*Table1[[#This Row],[Quantity]],2)</f>
        <v>35.71</v>
      </c>
      <c r="AA100" s="113">
        <v>138.16</v>
      </c>
      <c r="AB100" s="135">
        <v>83.64</v>
      </c>
      <c r="AC100" s="135">
        <v>54.519999999999996</v>
      </c>
      <c r="AD100" s="114"/>
      <c r="AE100" s="153">
        <v>83.639999999999986</v>
      </c>
      <c r="AF100" s="161">
        <f>Table1[[#This Row],[Certified Amount (Cum)]]-Table1[[#This Row],[Certified Amount (Previous)]]</f>
        <v>54.52000000000001</v>
      </c>
      <c r="AG100" s="160">
        <f t="shared" si="9"/>
        <v>138.16</v>
      </c>
      <c r="AH100" s="158">
        <f>Table1[[#This Row],[Certified Amount (Cum)]]-Table1[[#This Row],[Total Amount]]</f>
        <v>0</v>
      </c>
    </row>
    <row r="101" spans="1:40" ht="30" customHeight="1" x14ac:dyDescent="0.3">
      <c r="A101" s="107" t="s">
        <v>91</v>
      </c>
      <c r="B101" s="90" t="s">
        <v>98</v>
      </c>
      <c r="C101" s="108" t="s">
        <v>291</v>
      </c>
      <c r="D101" s="108">
        <v>74630</v>
      </c>
      <c r="E101" s="108"/>
      <c r="F101" s="109" t="s">
        <v>292</v>
      </c>
      <c r="G101" s="17" t="s">
        <v>256</v>
      </c>
      <c r="H101" s="108" t="s">
        <v>178</v>
      </c>
      <c r="I101" s="108">
        <v>1</v>
      </c>
      <c r="J101" s="108">
        <v>4.5</v>
      </c>
      <c r="K101" s="108">
        <v>1</v>
      </c>
      <c r="L101" s="108">
        <v>1</v>
      </c>
      <c r="M101" s="108">
        <v>1</v>
      </c>
      <c r="N101" s="110" t="s">
        <v>162</v>
      </c>
      <c r="O101" s="110">
        <f t="shared" ref="O101:O130" si="14">ROUND(IF(N101="m3",I101*J101*K101*L101,IF(N101="m2-LxH",I101*J101*L101,IF(N101="m2-LxW",I101*J101*K101,IF(N101="rm",I101*L101,IF(N101="lm",I101*J101,IF(N101="unit",I101,"NA")))))),2)</f>
        <v>4.5</v>
      </c>
      <c r="P101" s="124">
        <v>44858</v>
      </c>
      <c r="Q101" s="124"/>
      <c r="R101" s="111">
        <v>1</v>
      </c>
      <c r="S101" s="111">
        <v>1</v>
      </c>
      <c r="T101" s="111">
        <v>0</v>
      </c>
      <c r="U101" s="112">
        <f>IF(ISBLANK(Table1[[#This Row],[OHC Date]]),$B$7-Table1[[#This Row],[HOC Date]]+1,Table1[[#This Row],[OHC Date]]-Table1[[#This Row],[HOC Date]]+1)/7</f>
        <v>4.7142857142857144</v>
      </c>
      <c r="V101" s="113">
        <v>6.63</v>
      </c>
      <c r="W101" s="113">
        <v>0.7</v>
      </c>
      <c r="X101" s="113">
        <f>ROUND(0.7*Table1[[#This Row],[E&amp;D Rate per unit]]*R101*Table1[[#This Row],[Quantity]],2)</f>
        <v>20.88</v>
      </c>
      <c r="Y101" s="113">
        <f t="shared" ref="Y101:Y130" si="15">ROUND(O101*U101*W101*S101,2)</f>
        <v>14.85</v>
      </c>
      <c r="Z101" s="113">
        <f>ROUND(0.3*T101*Table1[[#This Row],[E&amp;D Rate per unit]]*Table1[[#This Row],[Quantity]],2)</f>
        <v>0</v>
      </c>
      <c r="AA101" s="113">
        <v>35.729999999999997</v>
      </c>
      <c r="AB101" s="135">
        <v>21.78</v>
      </c>
      <c r="AC101" s="135">
        <v>13.949999999999996</v>
      </c>
      <c r="AD101" s="114" t="s">
        <v>220</v>
      </c>
      <c r="AE101" s="153">
        <v>21.779999999999998</v>
      </c>
      <c r="AF101" s="161">
        <f>Table1[[#This Row],[Certified Amount (Cum)]]-Table1[[#This Row],[Certified Amount (Previous)]]</f>
        <v>13.95</v>
      </c>
      <c r="AG101" s="160">
        <f t="shared" si="9"/>
        <v>35.729999999999997</v>
      </c>
      <c r="AH101" s="158">
        <f>Table1[[#This Row],[Certified Amount (Cum)]]-Table1[[#This Row],[Total Amount]]</f>
        <v>0</v>
      </c>
    </row>
    <row r="102" spans="1:40" ht="30" customHeight="1" x14ac:dyDescent="0.3">
      <c r="A102" s="107" t="s">
        <v>91</v>
      </c>
      <c r="B102" s="90" t="s">
        <v>98</v>
      </c>
      <c r="C102" s="108" t="s">
        <v>293</v>
      </c>
      <c r="D102" s="108">
        <v>74632</v>
      </c>
      <c r="E102" s="108"/>
      <c r="F102" s="109" t="s">
        <v>292</v>
      </c>
      <c r="G102" s="17" t="s">
        <v>256</v>
      </c>
      <c r="H102" s="108" t="s">
        <v>178</v>
      </c>
      <c r="I102" s="108">
        <v>1</v>
      </c>
      <c r="J102" s="108">
        <v>2.5</v>
      </c>
      <c r="K102" s="108">
        <v>0.75</v>
      </c>
      <c r="L102" s="108">
        <v>1</v>
      </c>
      <c r="M102" s="108">
        <v>1</v>
      </c>
      <c r="N102" s="110" t="s">
        <v>162</v>
      </c>
      <c r="O102" s="110">
        <f t="shared" si="14"/>
        <v>1.88</v>
      </c>
      <c r="P102" s="124">
        <v>44858</v>
      </c>
      <c r="Q102" s="124"/>
      <c r="R102" s="111">
        <v>1</v>
      </c>
      <c r="S102" s="111">
        <v>1</v>
      </c>
      <c r="T102" s="111">
        <v>0</v>
      </c>
      <c r="U102" s="112">
        <f>IF(ISBLANK(Table1[[#This Row],[OHC Date]]),$B$7-Table1[[#This Row],[HOC Date]]+1,Table1[[#This Row],[OHC Date]]-Table1[[#This Row],[HOC Date]]+1)/7</f>
        <v>4.7142857142857144</v>
      </c>
      <c r="V102" s="113">
        <v>6.63</v>
      </c>
      <c r="W102" s="113">
        <v>0.7</v>
      </c>
      <c r="X102" s="113">
        <f>ROUND(0.7*Table1[[#This Row],[E&amp;D Rate per unit]]*R102*Table1[[#This Row],[Quantity]],2)</f>
        <v>8.73</v>
      </c>
      <c r="Y102" s="113">
        <f t="shared" si="15"/>
        <v>6.2</v>
      </c>
      <c r="Z102" s="113">
        <f>ROUND(0.3*T102*Table1[[#This Row],[E&amp;D Rate per unit]]*Table1[[#This Row],[Quantity]],2)</f>
        <v>0</v>
      </c>
      <c r="AA102" s="113">
        <v>14.93</v>
      </c>
      <c r="AB102" s="135">
        <v>9.11</v>
      </c>
      <c r="AC102" s="135">
        <v>5.82</v>
      </c>
      <c r="AD102" s="114" t="s">
        <v>220</v>
      </c>
      <c r="AE102" s="153">
        <v>9.1100000000000012</v>
      </c>
      <c r="AF102" s="161">
        <f>Table1[[#This Row],[Certified Amount (Cum)]]-Table1[[#This Row],[Certified Amount (Previous)]]</f>
        <v>5.8199999999999985</v>
      </c>
      <c r="AG102" s="160">
        <f t="shared" si="9"/>
        <v>14.93</v>
      </c>
      <c r="AH102" s="158">
        <f>Table1[[#This Row],[Certified Amount (Cum)]]-Table1[[#This Row],[Total Amount]]</f>
        <v>0</v>
      </c>
    </row>
    <row r="103" spans="1:40" ht="30" customHeight="1" x14ac:dyDescent="0.3">
      <c r="A103" s="107" t="s">
        <v>91</v>
      </c>
      <c r="B103" s="90" t="s">
        <v>98</v>
      </c>
      <c r="C103" s="108">
        <v>17</v>
      </c>
      <c r="D103" s="108">
        <v>74637</v>
      </c>
      <c r="E103" s="108"/>
      <c r="F103" s="109" t="s">
        <v>292</v>
      </c>
      <c r="G103" s="17" t="s">
        <v>256</v>
      </c>
      <c r="H103" s="108" t="s">
        <v>222</v>
      </c>
      <c r="I103" s="108">
        <v>1</v>
      </c>
      <c r="J103" s="108">
        <v>2.5</v>
      </c>
      <c r="K103" s="108">
        <v>1.3</v>
      </c>
      <c r="L103" s="108">
        <v>2.5</v>
      </c>
      <c r="M103" s="108">
        <v>1</v>
      </c>
      <c r="N103" s="110" t="s">
        <v>223</v>
      </c>
      <c r="O103" s="110">
        <f t="shared" si="14"/>
        <v>2.5</v>
      </c>
      <c r="P103" s="124">
        <v>44859</v>
      </c>
      <c r="Q103" s="124"/>
      <c r="R103" s="111">
        <v>1</v>
      </c>
      <c r="S103" s="111">
        <v>1</v>
      </c>
      <c r="T103" s="111">
        <v>0</v>
      </c>
      <c r="U103" s="112">
        <f>IF(ISBLANK(Table1[[#This Row],[OHC Date]]),$B$7-Table1[[#This Row],[HOC Date]]+1,Table1[[#This Row],[OHC Date]]-Table1[[#This Row],[HOC Date]]+1)/7</f>
        <v>4.5714285714285712</v>
      </c>
      <c r="V103" s="113">
        <v>63.34</v>
      </c>
      <c r="W103" s="113">
        <v>7.28</v>
      </c>
      <c r="X103" s="113">
        <f>ROUND(0.7*Table1[[#This Row],[E&amp;D Rate per unit]]*R103*Table1[[#This Row],[Quantity]],2)</f>
        <v>110.85</v>
      </c>
      <c r="Y103" s="113">
        <f t="shared" si="15"/>
        <v>83.2</v>
      </c>
      <c r="Z103" s="113">
        <f>ROUND(0.3*T103*Table1[[#This Row],[E&amp;D Rate per unit]]*Table1[[#This Row],[Quantity]],2)</f>
        <v>0</v>
      </c>
      <c r="AA103" s="113">
        <v>194.05</v>
      </c>
      <c r="AB103" s="135">
        <v>113.45</v>
      </c>
      <c r="AC103" s="135">
        <v>80.600000000000009</v>
      </c>
      <c r="AD103" s="114" t="s">
        <v>220</v>
      </c>
      <c r="AE103" s="153">
        <v>113.44999999999999</v>
      </c>
      <c r="AF103" s="161">
        <f>Table1[[#This Row],[Certified Amount (Cum)]]-Table1[[#This Row],[Certified Amount (Previous)]]</f>
        <v>80.600000000000023</v>
      </c>
      <c r="AG103" s="160">
        <f t="shared" si="9"/>
        <v>194.05</v>
      </c>
      <c r="AH103" s="158">
        <f>Table1[[#This Row],[Certified Amount (Cum)]]-Table1[[#This Row],[Total Amount]]</f>
        <v>0</v>
      </c>
    </row>
    <row r="104" spans="1:40" ht="30" customHeight="1" x14ac:dyDescent="0.3">
      <c r="A104" s="107" t="s">
        <v>91</v>
      </c>
      <c r="B104" s="90" t="s">
        <v>98</v>
      </c>
      <c r="C104" s="108" t="s">
        <v>294</v>
      </c>
      <c r="D104" s="108">
        <v>74638</v>
      </c>
      <c r="E104" s="108"/>
      <c r="F104" s="109" t="s">
        <v>292</v>
      </c>
      <c r="G104" s="17" t="s">
        <v>256</v>
      </c>
      <c r="H104" s="108" t="s">
        <v>128</v>
      </c>
      <c r="I104" s="108">
        <v>1</v>
      </c>
      <c r="J104" s="108">
        <v>1.5</v>
      </c>
      <c r="K104" s="108">
        <v>0.5</v>
      </c>
      <c r="L104" s="108">
        <v>1</v>
      </c>
      <c r="M104" s="108">
        <v>1</v>
      </c>
      <c r="N104" s="110" t="s">
        <v>162</v>
      </c>
      <c r="O104" s="110">
        <f t="shared" si="14"/>
        <v>0.75</v>
      </c>
      <c r="P104" s="124">
        <v>44859</v>
      </c>
      <c r="Q104" s="124"/>
      <c r="R104" s="111">
        <v>1</v>
      </c>
      <c r="S104" s="111">
        <v>1</v>
      </c>
      <c r="T104" s="111">
        <v>0</v>
      </c>
      <c r="U104" s="112">
        <f>IF(ISBLANK(Table1[[#This Row],[OHC Date]]),$B$7-Table1[[#This Row],[HOC Date]]+1,Table1[[#This Row],[OHC Date]]-Table1[[#This Row],[HOC Date]]+1)/7</f>
        <v>4.5714285714285712</v>
      </c>
      <c r="V104" s="113">
        <v>32.75</v>
      </c>
      <c r="W104" s="113">
        <v>1.05</v>
      </c>
      <c r="X104" s="113">
        <f>ROUND(0.7*Table1[[#This Row],[E&amp;D Rate per unit]]*R104*Table1[[#This Row],[Quantity]],2)</f>
        <v>17.190000000000001</v>
      </c>
      <c r="Y104" s="113">
        <f t="shared" si="15"/>
        <v>3.6</v>
      </c>
      <c r="Z104" s="113">
        <f>ROUND(0.3*T104*Table1[[#This Row],[E&amp;D Rate per unit]]*Table1[[#This Row],[Quantity]],2)</f>
        <v>0</v>
      </c>
      <c r="AA104" s="113">
        <v>20.79</v>
      </c>
      <c r="AB104" s="135">
        <v>17.3</v>
      </c>
      <c r="AC104" s="135">
        <v>3.4899999999999984</v>
      </c>
      <c r="AD104" s="114" t="s">
        <v>220</v>
      </c>
      <c r="AE104" s="153">
        <v>17.3</v>
      </c>
      <c r="AF104" s="161">
        <f>Table1[[#This Row],[Certified Amount (Cum)]]-Table1[[#This Row],[Certified Amount (Previous)]]</f>
        <v>3.490000000000002</v>
      </c>
      <c r="AG104" s="160">
        <f t="shared" si="9"/>
        <v>20.790000000000003</v>
      </c>
      <c r="AH104" s="158">
        <f>Table1[[#This Row],[Certified Amount (Cum)]]-Table1[[#This Row],[Total Amount]]</f>
        <v>0</v>
      </c>
    </row>
    <row r="105" spans="1:40" ht="30" customHeight="1" x14ac:dyDescent="0.3">
      <c r="A105" s="140" t="s">
        <v>302</v>
      </c>
      <c r="B105" s="90" t="s">
        <v>99</v>
      </c>
      <c r="C105" s="145">
        <v>35</v>
      </c>
      <c r="D105" s="108">
        <v>77666</v>
      </c>
      <c r="E105" s="108">
        <v>80509</v>
      </c>
      <c r="F105" s="17" t="s">
        <v>303</v>
      </c>
      <c r="G105" s="17" t="s">
        <v>243</v>
      </c>
      <c r="H105" s="16" t="s">
        <v>121</v>
      </c>
      <c r="I105" s="108">
        <v>1</v>
      </c>
      <c r="J105" s="108">
        <v>5</v>
      </c>
      <c r="K105" s="108">
        <v>4.3</v>
      </c>
      <c r="L105" s="108">
        <v>3</v>
      </c>
      <c r="M105" s="108">
        <v>2</v>
      </c>
      <c r="N105" s="110" t="s">
        <v>56</v>
      </c>
      <c r="O105" s="110">
        <f t="shared" si="14"/>
        <v>1</v>
      </c>
      <c r="P105" s="124">
        <v>44858</v>
      </c>
      <c r="Q105" s="124">
        <v>44877</v>
      </c>
      <c r="R105" s="111">
        <v>1</v>
      </c>
      <c r="S105" s="111">
        <v>1</v>
      </c>
      <c r="T105" s="111">
        <v>1</v>
      </c>
      <c r="U105" s="112">
        <f>IF(ISBLANK(Table1[[#This Row],[OHC Date]]),$B$7-Table1[[#This Row],[HOC Date]]+1,Table1[[#This Row],[OHC Date]]-Table1[[#This Row],[HOC Date]]+1)/7</f>
        <v>2.8571428571428572</v>
      </c>
      <c r="V105" s="113">
        <v>2391.4299999999998</v>
      </c>
      <c r="W105" s="113">
        <v>57.19</v>
      </c>
      <c r="X105" s="113">
        <f>ROUND(0.7*Table1[[#This Row],[E&amp;D Rate per unit]]*R105*Table1[[#This Row],[Quantity]],2)</f>
        <v>1674</v>
      </c>
      <c r="Y105" s="113">
        <f t="shared" si="15"/>
        <v>163.4</v>
      </c>
      <c r="Z105" s="113">
        <f>ROUND(0.3*T105*Table1[[#This Row],[E&amp;D Rate per unit]]*Table1[[#This Row],[Quantity]],2)</f>
        <v>717.43</v>
      </c>
      <c r="AA105" s="113">
        <v>2554.83</v>
      </c>
      <c r="AB105" s="135"/>
      <c r="AC105" s="135">
        <v>2554.83</v>
      </c>
      <c r="AD105" s="141" t="s">
        <v>304</v>
      </c>
      <c r="AE105" s="163"/>
      <c r="AF105" s="164">
        <f>Table1[[#This Row],[Certified Amount (Cum)]]-Table1[[#This Row],[Certified Amount (Previous)]]</f>
        <v>2554.83</v>
      </c>
      <c r="AG105" s="165">
        <f t="shared" si="9"/>
        <v>2554.83</v>
      </c>
      <c r="AH105" s="165">
        <f>Table1[[#This Row],[Certified Amount (Cum)]]-Table1[[#This Row],[Total Amount]]</f>
        <v>0</v>
      </c>
      <c r="AK105" s="167">
        <f>Table1[[#This Row],[E&amp;D Rate per unit]]+Table1[[#This Row],[Hire Rate per week]]</f>
        <v>2448.62</v>
      </c>
      <c r="AL105" s="8">
        <f>SUM(Table1[[#This Row],[Erect Charges]:[Dismantle Charges]])</f>
        <v>2554.83</v>
      </c>
      <c r="AN105" s="167">
        <f>Table1[[#This Row],[E&amp;D Rate per unit]]+Table1[[#This Row],[Hire Rate per week]]</f>
        <v>2448.62</v>
      </c>
    </row>
    <row r="106" spans="1:40" ht="30" customHeight="1" x14ac:dyDescent="0.3">
      <c r="A106" s="140" t="s">
        <v>199</v>
      </c>
      <c r="B106" s="90" t="s">
        <v>99</v>
      </c>
      <c r="C106" s="147">
        <v>36</v>
      </c>
      <c r="D106" s="16">
        <v>77671</v>
      </c>
      <c r="E106" s="16"/>
      <c r="F106" s="109" t="s">
        <v>201</v>
      </c>
      <c r="G106" s="17" t="s">
        <v>202</v>
      </c>
      <c r="H106" s="108" t="s">
        <v>203</v>
      </c>
      <c r="I106" s="16">
        <v>1</v>
      </c>
      <c r="J106" s="16"/>
      <c r="K106" s="16"/>
      <c r="L106" s="16"/>
      <c r="M106" s="16"/>
      <c r="N106" s="91" t="s">
        <v>56</v>
      </c>
      <c r="O106" s="91">
        <f t="shared" si="14"/>
        <v>1</v>
      </c>
      <c r="P106" s="124">
        <v>44860</v>
      </c>
      <c r="Q106" s="18"/>
      <c r="R106" s="19">
        <v>1</v>
      </c>
      <c r="S106" s="19">
        <v>1</v>
      </c>
      <c r="T106" s="19">
        <v>0</v>
      </c>
      <c r="U106" s="20">
        <f>IF(ISBLANK(Table1[[#This Row],[OHC Date]]),$B$7-Table1[[#This Row],[HOC Date]]+1,Table1[[#This Row],[OHC Date]]-Table1[[#This Row],[HOC Date]]+1)/7</f>
        <v>4.4285714285714288</v>
      </c>
      <c r="V106" s="162">
        <v>4959.7700000000004</v>
      </c>
      <c r="W106" s="113">
        <v>123.48</v>
      </c>
      <c r="X106" s="21">
        <f>ROUND(0.7*Table1[[#This Row],[E&amp;D Rate per unit]]*R106*Table1[[#This Row],[Quantity]],2)</f>
        <v>3471.84</v>
      </c>
      <c r="Y106" s="21">
        <f t="shared" si="15"/>
        <v>546.84</v>
      </c>
      <c r="Z106" s="21">
        <f>ROUND(0.3*T106*Table1[[#This Row],[E&amp;D Rate per unit]]*Table1[[#This Row],[Quantity]],2)</f>
        <v>0</v>
      </c>
      <c r="AA106" s="21">
        <v>4018.68</v>
      </c>
      <c r="AB106" s="138"/>
      <c r="AC106" s="138">
        <v>4018.68</v>
      </c>
      <c r="AD106" s="136" t="s">
        <v>204</v>
      </c>
      <c r="AE106" s="163"/>
      <c r="AF106" s="164">
        <f>Table1[[#This Row],[Certified Amount (Cum)]]-Table1[[#This Row],[Certified Amount (Previous)]]</f>
        <v>4018.6800000000003</v>
      </c>
      <c r="AG106" s="165">
        <f t="shared" si="9"/>
        <v>4018.6800000000003</v>
      </c>
      <c r="AH106" s="165">
        <f>Table1[[#This Row],[Certified Amount (Cum)]]-Table1[[#This Row],[Total Amount]]</f>
        <v>0</v>
      </c>
      <c r="AK106" s="167">
        <f>Table1[[#This Row],[E&amp;D Rate per unit]]+Table1[[#This Row],[Hire Rate per week]]</f>
        <v>5083.25</v>
      </c>
      <c r="AL106" s="8">
        <f>SUM(Table1[[#This Row],[Erect Charges]:[Dismantle Charges]])</f>
        <v>4018.6800000000003</v>
      </c>
    </row>
    <row r="107" spans="1:40" ht="30" customHeight="1" x14ac:dyDescent="0.3">
      <c r="A107" s="107" t="s">
        <v>91</v>
      </c>
      <c r="B107" s="90" t="s">
        <v>99</v>
      </c>
      <c r="C107" s="147" t="s">
        <v>305</v>
      </c>
      <c r="D107" s="16">
        <v>77672</v>
      </c>
      <c r="E107" s="16">
        <v>76773</v>
      </c>
      <c r="F107" s="17" t="s">
        <v>240</v>
      </c>
      <c r="G107" s="17" t="s">
        <v>192</v>
      </c>
      <c r="H107" s="16" t="s">
        <v>178</v>
      </c>
      <c r="I107" s="16">
        <v>1</v>
      </c>
      <c r="J107" s="16">
        <v>10.8</v>
      </c>
      <c r="K107" s="16">
        <v>0.5</v>
      </c>
      <c r="L107" s="16">
        <v>1</v>
      </c>
      <c r="M107" s="16">
        <v>1</v>
      </c>
      <c r="N107" s="91" t="s">
        <v>162</v>
      </c>
      <c r="O107" s="91">
        <f t="shared" si="14"/>
        <v>5.4</v>
      </c>
      <c r="P107" s="124">
        <v>44860</v>
      </c>
      <c r="Q107" s="18">
        <v>44862</v>
      </c>
      <c r="R107" s="19">
        <v>1</v>
      </c>
      <c r="S107" s="19">
        <v>1</v>
      </c>
      <c r="T107" s="19">
        <v>1</v>
      </c>
      <c r="U107" s="20">
        <f>IF(ISBLANK(Table1[[#This Row],[OHC Date]]),$B$7-Table1[[#This Row],[HOC Date]]+1,Table1[[#This Row],[OHC Date]]-Table1[[#This Row],[HOC Date]]+1)/7</f>
        <v>0.42857142857142855</v>
      </c>
      <c r="V107" s="21">
        <v>6.63</v>
      </c>
      <c r="W107" s="21">
        <v>0.7</v>
      </c>
      <c r="X107" s="21">
        <f>ROUND(0.7*Table1[[#This Row],[E&amp;D Rate per unit]]*R107*Table1[[#This Row],[Quantity]],2)</f>
        <v>25.06</v>
      </c>
      <c r="Y107" s="21">
        <f t="shared" si="15"/>
        <v>1.62</v>
      </c>
      <c r="Z107" s="21">
        <f>ROUND(0.3*T107*Table1[[#This Row],[E&amp;D Rate per unit]]*Table1[[#This Row],[Quantity]],2)</f>
        <v>10.74</v>
      </c>
      <c r="AA107" s="21">
        <v>37.42</v>
      </c>
      <c r="AB107" s="138"/>
      <c r="AC107" s="138">
        <v>37.42</v>
      </c>
      <c r="AD107" s="136"/>
      <c r="AE107" s="154"/>
      <c r="AF107" s="161">
        <f>Table1[[#This Row],[Certified Amount (Cum)]]-Table1[[#This Row],[Certified Amount (Previous)]]</f>
        <v>37.42</v>
      </c>
      <c r="AG107" s="160">
        <f t="shared" si="9"/>
        <v>37.42</v>
      </c>
      <c r="AH107" s="158">
        <f>Table1[[#This Row],[Certified Amount (Cum)]]-Table1[[#This Row],[Total Amount]]</f>
        <v>0</v>
      </c>
      <c r="AK107" s="167">
        <f>Table1[[#This Row],[E&amp;D Rate per unit]]+Table1[[#This Row],[Hire Rate per week]]</f>
        <v>7.33</v>
      </c>
      <c r="AL107" s="8">
        <f>SUM(Table1[[#This Row],[Erect Charges]:[Dismantle Charges]])</f>
        <v>37.42</v>
      </c>
    </row>
    <row r="108" spans="1:40" ht="30" customHeight="1" x14ac:dyDescent="0.3">
      <c r="A108" s="107" t="s">
        <v>91</v>
      </c>
      <c r="B108" s="90" t="s">
        <v>99</v>
      </c>
      <c r="C108" s="147" t="s">
        <v>306</v>
      </c>
      <c r="D108" s="16">
        <v>77673</v>
      </c>
      <c r="E108" s="16"/>
      <c r="F108" s="17" t="s">
        <v>240</v>
      </c>
      <c r="G108" s="17" t="s">
        <v>192</v>
      </c>
      <c r="H108" s="16" t="s">
        <v>178</v>
      </c>
      <c r="I108" s="16">
        <v>2</v>
      </c>
      <c r="J108" s="16">
        <v>10.8</v>
      </c>
      <c r="K108" s="16">
        <v>0.25</v>
      </c>
      <c r="L108" s="16">
        <v>1</v>
      </c>
      <c r="M108" s="16">
        <v>2</v>
      </c>
      <c r="N108" s="91" t="s">
        <v>162</v>
      </c>
      <c r="O108" s="91">
        <f t="shared" si="14"/>
        <v>5.4</v>
      </c>
      <c r="P108" s="124">
        <v>44860</v>
      </c>
      <c r="Q108" s="18"/>
      <c r="R108" s="19">
        <v>1</v>
      </c>
      <c r="S108" s="19">
        <v>1</v>
      </c>
      <c r="T108" s="19">
        <v>0</v>
      </c>
      <c r="U108" s="20">
        <f>IF(ISBLANK(Table1[[#This Row],[OHC Date]]),$B$7-Table1[[#This Row],[HOC Date]]+1,Table1[[#This Row],[OHC Date]]-Table1[[#This Row],[HOC Date]]+1)/7</f>
        <v>4.4285714285714288</v>
      </c>
      <c r="V108" s="21">
        <v>6.63</v>
      </c>
      <c r="W108" s="21">
        <v>0.7</v>
      </c>
      <c r="X108" s="21">
        <f>ROUND(0.7*Table1[[#This Row],[E&amp;D Rate per unit]]*R108*Table1[[#This Row],[Quantity]],2)</f>
        <v>25.06</v>
      </c>
      <c r="Y108" s="21">
        <f t="shared" si="15"/>
        <v>16.739999999999998</v>
      </c>
      <c r="Z108" s="21">
        <f>ROUND(0.3*T108*Table1[[#This Row],[E&amp;D Rate per unit]]*Table1[[#This Row],[Quantity]],2)</f>
        <v>0</v>
      </c>
      <c r="AA108" s="21">
        <v>41.8</v>
      </c>
      <c r="AB108" s="138"/>
      <c r="AC108" s="138">
        <v>41.8</v>
      </c>
      <c r="AD108" s="136"/>
      <c r="AE108" s="154"/>
      <c r="AF108" s="161">
        <f>Table1[[#This Row],[Certified Amount (Cum)]]-Table1[[#This Row],[Certified Amount (Previous)]]</f>
        <v>41.8</v>
      </c>
      <c r="AG108" s="160">
        <f t="shared" si="9"/>
        <v>41.8</v>
      </c>
      <c r="AH108" s="158">
        <f>Table1[[#This Row],[Certified Amount (Cum)]]-Table1[[#This Row],[Total Amount]]</f>
        <v>0</v>
      </c>
      <c r="AK108" s="167">
        <f>Table1[[#This Row],[E&amp;D Rate per unit]]+Table1[[#This Row],[Hire Rate per week]]</f>
        <v>7.33</v>
      </c>
      <c r="AL108" s="8">
        <f>SUM(Table1[[#This Row],[Erect Charges]:[Dismantle Charges]])</f>
        <v>41.8</v>
      </c>
    </row>
    <row r="109" spans="1:40" ht="30" customHeight="1" x14ac:dyDescent="0.3">
      <c r="A109" s="107" t="s">
        <v>91</v>
      </c>
      <c r="B109" s="90" t="s">
        <v>99</v>
      </c>
      <c r="C109" s="147">
        <v>37</v>
      </c>
      <c r="D109" s="16">
        <v>77674</v>
      </c>
      <c r="E109" s="16"/>
      <c r="F109" s="17" t="s">
        <v>240</v>
      </c>
      <c r="G109" s="17" t="s">
        <v>307</v>
      </c>
      <c r="H109" s="16" t="s">
        <v>222</v>
      </c>
      <c r="I109" s="16">
        <v>1</v>
      </c>
      <c r="J109" s="16">
        <v>2.5</v>
      </c>
      <c r="K109" s="16">
        <v>1.3</v>
      </c>
      <c r="L109" s="16">
        <v>1</v>
      </c>
      <c r="M109" s="16">
        <v>1</v>
      </c>
      <c r="N109" s="91" t="s">
        <v>223</v>
      </c>
      <c r="O109" s="91">
        <f t="shared" si="14"/>
        <v>1</v>
      </c>
      <c r="P109" s="124">
        <v>44862</v>
      </c>
      <c r="Q109" s="18"/>
      <c r="R109" s="19">
        <v>1</v>
      </c>
      <c r="S109" s="19">
        <v>1</v>
      </c>
      <c r="T109" s="19">
        <v>0</v>
      </c>
      <c r="U109" s="20">
        <f>IF(ISBLANK(Table1[[#This Row],[OHC Date]]),$B$7-Table1[[#This Row],[HOC Date]]+1,Table1[[#This Row],[OHC Date]]-Table1[[#This Row],[HOC Date]]+1)/7</f>
        <v>4.1428571428571432</v>
      </c>
      <c r="V109" s="21">
        <v>63.34</v>
      </c>
      <c r="W109" s="21">
        <v>7.28</v>
      </c>
      <c r="X109" s="21">
        <f>ROUND(0.7*Table1[[#This Row],[E&amp;D Rate per unit]]*R109*Table1[[#This Row],[Quantity]],2)</f>
        <v>44.34</v>
      </c>
      <c r="Y109" s="21">
        <f t="shared" si="15"/>
        <v>30.16</v>
      </c>
      <c r="Z109" s="21">
        <f>ROUND(0.3*T109*Table1[[#This Row],[E&amp;D Rate per unit]]*Table1[[#This Row],[Quantity]],2)</f>
        <v>0</v>
      </c>
      <c r="AA109" s="21">
        <v>74.5</v>
      </c>
      <c r="AB109" s="138"/>
      <c r="AC109" s="138">
        <v>74.5</v>
      </c>
      <c r="AD109" s="136"/>
      <c r="AE109" s="154"/>
      <c r="AF109" s="161">
        <f>Table1[[#This Row],[Certified Amount (Cum)]]-Table1[[#This Row],[Certified Amount (Previous)]]</f>
        <v>74.5</v>
      </c>
      <c r="AG109" s="160">
        <f t="shared" si="9"/>
        <v>74.5</v>
      </c>
      <c r="AH109" s="158">
        <f>Table1[[#This Row],[Certified Amount (Cum)]]-Table1[[#This Row],[Total Amount]]</f>
        <v>0</v>
      </c>
      <c r="AK109" s="167">
        <f>Table1[[#This Row],[E&amp;D Rate per unit]]+Table1[[#This Row],[Hire Rate per week]]</f>
        <v>70.62</v>
      </c>
      <c r="AL109" s="8">
        <f>SUM(Table1[[#This Row],[Erect Charges]:[Dismantle Charges]])</f>
        <v>74.5</v>
      </c>
    </row>
    <row r="110" spans="1:40" ht="30" customHeight="1" x14ac:dyDescent="0.3">
      <c r="A110" s="107" t="s">
        <v>91</v>
      </c>
      <c r="B110" s="90" t="s">
        <v>99</v>
      </c>
      <c r="C110" s="147">
        <v>38</v>
      </c>
      <c r="D110" s="16">
        <v>77675</v>
      </c>
      <c r="E110" s="16">
        <v>76795</v>
      </c>
      <c r="F110" s="17" t="s">
        <v>308</v>
      </c>
      <c r="G110" s="17" t="s">
        <v>202</v>
      </c>
      <c r="H110" s="16" t="s">
        <v>207</v>
      </c>
      <c r="I110" s="16">
        <v>1</v>
      </c>
      <c r="J110" s="16">
        <v>3.1</v>
      </c>
      <c r="K110" s="16">
        <v>1.3</v>
      </c>
      <c r="L110" s="16">
        <v>4.2</v>
      </c>
      <c r="M110" s="16">
        <v>1</v>
      </c>
      <c r="N110" s="91" t="s">
        <v>208</v>
      </c>
      <c r="O110" s="91">
        <f t="shared" si="14"/>
        <v>13.02</v>
      </c>
      <c r="P110" s="124">
        <v>44862</v>
      </c>
      <c r="Q110" s="18">
        <v>44869</v>
      </c>
      <c r="R110" s="19">
        <v>1</v>
      </c>
      <c r="S110" s="19">
        <v>1</v>
      </c>
      <c r="T110" s="19">
        <v>1</v>
      </c>
      <c r="U110" s="20">
        <f>IF(ISBLANK(Table1[[#This Row],[OHC Date]]),$B$7-Table1[[#This Row],[HOC Date]]+1,Table1[[#This Row],[OHC Date]]-Table1[[#This Row],[HOC Date]]+1)/7</f>
        <v>1.1428571428571428</v>
      </c>
      <c r="V110" s="21">
        <v>12.01</v>
      </c>
      <c r="W110" s="21">
        <v>0.49</v>
      </c>
      <c r="X110" s="21">
        <f>ROUND(0.7*Table1[[#This Row],[E&amp;D Rate per unit]]*R110*Table1[[#This Row],[Quantity]],2)</f>
        <v>109.46</v>
      </c>
      <c r="Y110" s="21">
        <f t="shared" si="15"/>
        <v>7.29</v>
      </c>
      <c r="Z110" s="21">
        <f>ROUND(0.3*T110*Table1[[#This Row],[E&amp;D Rate per unit]]*Table1[[#This Row],[Quantity]],2)</f>
        <v>46.91</v>
      </c>
      <c r="AA110" s="21">
        <v>163.66</v>
      </c>
      <c r="AB110" s="138"/>
      <c r="AC110" s="138">
        <v>163.66</v>
      </c>
      <c r="AD110" s="136"/>
      <c r="AE110" s="154"/>
      <c r="AF110" s="161">
        <f>Table1[[#This Row],[Certified Amount (Cum)]]-Table1[[#This Row],[Certified Amount (Previous)]]</f>
        <v>163.66</v>
      </c>
      <c r="AG110" s="160">
        <f t="shared" si="9"/>
        <v>163.66</v>
      </c>
      <c r="AH110" s="158">
        <f>Table1[[#This Row],[Certified Amount (Cum)]]-Table1[[#This Row],[Total Amount]]</f>
        <v>0</v>
      </c>
      <c r="AK110" s="167">
        <f>Table1[[#This Row],[E&amp;D Rate per unit]]+Table1[[#This Row],[Hire Rate per week]]</f>
        <v>12.5</v>
      </c>
      <c r="AL110" s="8">
        <f>SUM(Table1[[#This Row],[Erect Charges]:[Dismantle Charges]])</f>
        <v>163.66</v>
      </c>
    </row>
    <row r="111" spans="1:40" ht="30" customHeight="1" x14ac:dyDescent="0.3">
      <c r="A111" s="107" t="s">
        <v>91</v>
      </c>
      <c r="B111" s="90" t="s">
        <v>99</v>
      </c>
      <c r="C111" s="147">
        <v>38</v>
      </c>
      <c r="D111" s="16">
        <v>77675</v>
      </c>
      <c r="E111" s="16">
        <v>76795</v>
      </c>
      <c r="F111" s="17" t="s">
        <v>308</v>
      </c>
      <c r="G111" s="17" t="s">
        <v>202</v>
      </c>
      <c r="H111" s="16" t="s">
        <v>178</v>
      </c>
      <c r="I111" s="16">
        <v>1</v>
      </c>
      <c r="J111" s="16">
        <v>3.1</v>
      </c>
      <c r="K111" s="16">
        <v>1.3</v>
      </c>
      <c r="L111" s="16"/>
      <c r="M111" s="16">
        <v>1</v>
      </c>
      <c r="N111" s="91" t="s">
        <v>162</v>
      </c>
      <c r="O111" s="91">
        <f t="shared" si="14"/>
        <v>4.03</v>
      </c>
      <c r="P111" s="124">
        <v>44862</v>
      </c>
      <c r="Q111" s="18">
        <v>44869</v>
      </c>
      <c r="R111" s="19">
        <v>1</v>
      </c>
      <c r="S111" s="19">
        <v>1</v>
      </c>
      <c r="T111" s="19">
        <v>1</v>
      </c>
      <c r="U111" s="20">
        <f>IF(ISBLANK(Table1[[#This Row],[OHC Date]]),$B$7-Table1[[#This Row],[HOC Date]]+1,Table1[[#This Row],[OHC Date]]-Table1[[#This Row],[HOC Date]]+1)/7</f>
        <v>1.1428571428571428</v>
      </c>
      <c r="V111" s="21">
        <v>6.63</v>
      </c>
      <c r="W111" s="21">
        <v>0.7</v>
      </c>
      <c r="X111" s="21">
        <f>ROUND(0.7*Table1[[#This Row],[E&amp;D Rate per unit]]*R111*Table1[[#This Row],[Quantity]],2)</f>
        <v>18.7</v>
      </c>
      <c r="Y111" s="21">
        <f t="shared" si="15"/>
        <v>3.22</v>
      </c>
      <c r="Z111" s="21">
        <f>ROUND(0.3*T111*Table1[[#This Row],[E&amp;D Rate per unit]]*Table1[[#This Row],[Quantity]],2)</f>
        <v>8.02</v>
      </c>
      <c r="AA111" s="21">
        <v>29.94</v>
      </c>
      <c r="AB111" s="138"/>
      <c r="AC111" s="138">
        <v>29.94</v>
      </c>
      <c r="AD111" s="136"/>
      <c r="AE111" s="154"/>
      <c r="AF111" s="161">
        <f>Table1[[#This Row],[Certified Amount (Cum)]]-Table1[[#This Row],[Certified Amount (Previous)]]</f>
        <v>29.939999999999998</v>
      </c>
      <c r="AG111" s="160">
        <f t="shared" si="9"/>
        <v>29.939999999999998</v>
      </c>
      <c r="AH111" s="158">
        <f>Table1[[#This Row],[Certified Amount (Cum)]]-Table1[[#This Row],[Total Amount]]</f>
        <v>0</v>
      </c>
      <c r="AK111" s="167">
        <f>Table1[[#This Row],[E&amp;D Rate per unit]]+Table1[[#This Row],[Hire Rate per week]]</f>
        <v>7.33</v>
      </c>
      <c r="AL111" s="8">
        <f>SUM(Table1[[#This Row],[Erect Charges]:[Dismantle Charges]])</f>
        <v>29.939999999999998</v>
      </c>
    </row>
    <row r="112" spans="1:40" ht="30" customHeight="1" x14ac:dyDescent="0.3">
      <c r="A112" s="107" t="s">
        <v>91</v>
      </c>
      <c r="B112" s="90" t="s">
        <v>99</v>
      </c>
      <c r="C112" s="147">
        <v>39</v>
      </c>
      <c r="D112" s="16">
        <v>77676</v>
      </c>
      <c r="E112" s="16"/>
      <c r="F112" s="17" t="s">
        <v>309</v>
      </c>
      <c r="G112" s="17" t="s">
        <v>228</v>
      </c>
      <c r="H112" s="16" t="s">
        <v>121</v>
      </c>
      <c r="I112" s="16">
        <v>1</v>
      </c>
      <c r="J112" s="16">
        <v>3</v>
      </c>
      <c r="K112" s="16">
        <v>3</v>
      </c>
      <c r="L112" s="16">
        <v>5</v>
      </c>
      <c r="M112" s="16">
        <v>1</v>
      </c>
      <c r="N112" s="91" t="s">
        <v>226</v>
      </c>
      <c r="O112" s="91">
        <f t="shared" si="14"/>
        <v>45</v>
      </c>
      <c r="P112" s="18">
        <v>44862</v>
      </c>
      <c r="Q112" s="18"/>
      <c r="R112" s="19">
        <v>1</v>
      </c>
      <c r="S112" s="19">
        <v>1</v>
      </c>
      <c r="T112" s="19">
        <v>0</v>
      </c>
      <c r="U112" s="20">
        <f>IF(ISBLANK(Table1[[#This Row],[OHC Date]]),$B$7-Table1[[#This Row],[HOC Date]]+1,Table1[[#This Row],[OHC Date]]-Table1[[#This Row],[HOC Date]]+1)/7</f>
        <v>4.1428571428571432</v>
      </c>
      <c r="V112" s="21">
        <v>7.08</v>
      </c>
      <c r="W112" s="21">
        <v>0.49</v>
      </c>
      <c r="X112" s="21">
        <f>ROUND(0.7*Table1[[#This Row],[E&amp;D Rate per unit]]*R112*Table1[[#This Row],[Quantity]],2)</f>
        <v>223.02</v>
      </c>
      <c r="Y112" s="21">
        <f t="shared" si="15"/>
        <v>91.35</v>
      </c>
      <c r="Z112" s="21">
        <f>ROUND(0.3*T112*Table1[[#This Row],[E&amp;D Rate per unit]]*Table1[[#This Row],[Quantity]],2)</f>
        <v>0</v>
      </c>
      <c r="AA112" s="21">
        <v>314.37</v>
      </c>
      <c r="AB112" s="138"/>
      <c r="AC112" s="138">
        <v>314.37</v>
      </c>
      <c r="AD112" s="136"/>
      <c r="AE112" s="154"/>
      <c r="AF112" s="161">
        <f>Table1[[#This Row],[Certified Amount (Cum)]]-Table1[[#This Row],[Certified Amount (Previous)]]</f>
        <v>314.37</v>
      </c>
      <c r="AG112" s="160">
        <f t="shared" si="9"/>
        <v>314.37</v>
      </c>
      <c r="AH112" s="158">
        <f>Table1[[#This Row],[Certified Amount (Cum)]]-Table1[[#This Row],[Total Amount]]</f>
        <v>0</v>
      </c>
      <c r="AK112" s="167">
        <f>Table1[[#This Row],[E&amp;D Rate per unit]]+Table1[[#This Row],[Hire Rate per week]]</f>
        <v>7.57</v>
      </c>
      <c r="AL112" s="8">
        <f>SUM(Table1[[#This Row],[Erect Charges]:[Dismantle Charges]])</f>
        <v>314.37</v>
      </c>
    </row>
    <row r="113" spans="1:38" ht="30" customHeight="1" x14ac:dyDescent="0.3">
      <c r="A113" s="107" t="s">
        <v>91</v>
      </c>
      <c r="B113" s="90" t="s">
        <v>99</v>
      </c>
      <c r="C113" s="147">
        <v>40</v>
      </c>
      <c r="D113" s="16">
        <v>77677</v>
      </c>
      <c r="E113" s="16"/>
      <c r="F113" s="17" t="s">
        <v>310</v>
      </c>
      <c r="G113" s="17" t="s">
        <v>192</v>
      </c>
      <c r="H113" s="16" t="s">
        <v>311</v>
      </c>
      <c r="I113" s="16">
        <v>1</v>
      </c>
      <c r="J113" s="16">
        <v>10</v>
      </c>
      <c r="K113" s="16"/>
      <c r="L113" s="16">
        <v>1</v>
      </c>
      <c r="M113" s="16"/>
      <c r="N113" s="91" t="s">
        <v>285</v>
      </c>
      <c r="O113" s="91">
        <f t="shared" si="14"/>
        <v>10</v>
      </c>
      <c r="P113" s="18">
        <v>44863</v>
      </c>
      <c r="Q113" s="18"/>
      <c r="R113" s="19">
        <v>1</v>
      </c>
      <c r="S113" s="19">
        <v>1</v>
      </c>
      <c r="T113" s="19">
        <v>0</v>
      </c>
      <c r="U113" s="20">
        <f>IF(ISBLANK(Table1[[#This Row],[OHC Date]]),$B$7-Table1[[#This Row],[HOC Date]]+1,Table1[[#This Row],[OHC Date]]-Table1[[#This Row],[HOC Date]]+1)/7</f>
        <v>4</v>
      </c>
      <c r="V113" s="21">
        <v>12</v>
      </c>
      <c r="W113" s="21">
        <v>0.7</v>
      </c>
      <c r="X113" s="21">
        <f>ROUND(0.7*Table1[[#This Row],[E&amp;D Rate per unit]]*R113*Table1[[#This Row],[Quantity]],2)</f>
        <v>84</v>
      </c>
      <c r="Y113" s="21">
        <f t="shared" si="15"/>
        <v>28</v>
      </c>
      <c r="Z113" s="21">
        <f>ROUND(0.3*T113*Table1[[#This Row],[E&amp;D Rate per unit]]*Table1[[#This Row],[Quantity]],2)</f>
        <v>0</v>
      </c>
      <c r="AA113" s="21">
        <v>112</v>
      </c>
      <c r="AB113" s="138"/>
      <c r="AC113" s="138">
        <v>112</v>
      </c>
      <c r="AD113" s="136"/>
      <c r="AE113" s="154"/>
      <c r="AF113" s="161">
        <f>Table1[[#This Row],[Certified Amount (Cum)]]-Table1[[#This Row],[Certified Amount (Previous)]]</f>
        <v>112</v>
      </c>
      <c r="AG113" s="160">
        <f t="shared" si="9"/>
        <v>112</v>
      </c>
      <c r="AH113" s="158">
        <f>Table1[[#This Row],[Certified Amount (Cum)]]-Table1[[#This Row],[Total Amount]]</f>
        <v>0</v>
      </c>
      <c r="AK113" s="167">
        <f>Table1[[#This Row],[E&amp;D Rate per unit]]+Table1[[#This Row],[Hire Rate per week]]</f>
        <v>12.7</v>
      </c>
      <c r="AL113" s="8">
        <f>SUM(Table1[[#This Row],[Erect Charges]:[Dismantle Charges]])</f>
        <v>112</v>
      </c>
    </row>
    <row r="114" spans="1:38" ht="30" customHeight="1" x14ac:dyDescent="0.3">
      <c r="A114" s="107" t="s">
        <v>91</v>
      </c>
      <c r="B114" s="90" t="s">
        <v>99</v>
      </c>
      <c r="C114" s="147" t="s">
        <v>312</v>
      </c>
      <c r="D114" s="16">
        <v>77678</v>
      </c>
      <c r="E114" s="16"/>
      <c r="F114" s="17" t="s">
        <v>240</v>
      </c>
      <c r="G114" s="17" t="s">
        <v>161</v>
      </c>
      <c r="H114" s="108" t="s">
        <v>128</v>
      </c>
      <c r="I114" s="16">
        <v>1</v>
      </c>
      <c r="J114" s="16">
        <v>10.8</v>
      </c>
      <c r="K114" s="16">
        <v>0.5</v>
      </c>
      <c r="L114" s="16">
        <v>1</v>
      </c>
      <c r="M114" s="16">
        <v>1</v>
      </c>
      <c r="N114" s="91" t="s">
        <v>162</v>
      </c>
      <c r="O114" s="91">
        <f t="shared" si="14"/>
        <v>5.4</v>
      </c>
      <c r="P114" s="18">
        <v>44863</v>
      </c>
      <c r="Q114" s="18"/>
      <c r="R114" s="19">
        <v>1</v>
      </c>
      <c r="S114" s="19">
        <v>1</v>
      </c>
      <c r="T114" s="19">
        <v>0</v>
      </c>
      <c r="U114" s="20">
        <f>IF(ISBLANK(Table1[[#This Row],[OHC Date]]),$B$7-Table1[[#This Row],[HOC Date]]+1,Table1[[#This Row],[OHC Date]]-Table1[[#This Row],[HOC Date]]+1)/7</f>
        <v>4</v>
      </c>
      <c r="V114" s="21">
        <v>32.75</v>
      </c>
      <c r="W114" s="21">
        <v>1.05</v>
      </c>
      <c r="X114" s="21">
        <f>ROUND(0.7*Table1[[#This Row],[E&amp;D Rate per unit]]*R114*Table1[[#This Row],[Quantity]],2)</f>
        <v>123.8</v>
      </c>
      <c r="Y114" s="21">
        <f t="shared" si="15"/>
        <v>22.68</v>
      </c>
      <c r="Z114" s="21">
        <f>ROUND(0.3*T114*Table1[[#This Row],[E&amp;D Rate per unit]]*Table1[[#This Row],[Quantity]],2)</f>
        <v>0</v>
      </c>
      <c r="AA114" s="21">
        <v>146.47999999999999</v>
      </c>
      <c r="AB114" s="138"/>
      <c r="AC114" s="138">
        <v>146.47999999999999</v>
      </c>
      <c r="AD114" s="136"/>
      <c r="AE114" s="154"/>
      <c r="AF114" s="161">
        <f>Table1[[#This Row],[Certified Amount (Cum)]]-Table1[[#This Row],[Certified Amount (Previous)]]</f>
        <v>146.47999999999999</v>
      </c>
      <c r="AG114" s="160">
        <f t="shared" si="9"/>
        <v>146.47999999999999</v>
      </c>
      <c r="AH114" s="158">
        <f>Table1[[#This Row],[Certified Amount (Cum)]]-Table1[[#This Row],[Total Amount]]</f>
        <v>0</v>
      </c>
      <c r="AK114" s="167">
        <f>Table1[[#This Row],[E&amp;D Rate per unit]]+Table1[[#This Row],[Hire Rate per week]]</f>
        <v>33.799999999999997</v>
      </c>
      <c r="AL114" s="8">
        <f>SUM(Table1[[#This Row],[Erect Charges]:[Dismantle Charges]])</f>
        <v>146.47999999999999</v>
      </c>
    </row>
    <row r="115" spans="1:38" ht="30" customHeight="1" x14ac:dyDescent="0.3">
      <c r="A115" s="107" t="s">
        <v>91</v>
      </c>
      <c r="B115" s="90" t="s">
        <v>99</v>
      </c>
      <c r="C115" s="147">
        <v>41</v>
      </c>
      <c r="D115" s="16">
        <v>77679</v>
      </c>
      <c r="E115" s="16">
        <v>76796</v>
      </c>
      <c r="F115" s="17" t="s">
        <v>313</v>
      </c>
      <c r="G115" s="17" t="s">
        <v>202</v>
      </c>
      <c r="H115" s="16" t="s">
        <v>207</v>
      </c>
      <c r="I115" s="16">
        <v>1</v>
      </c>
      <c r="J115" s="16">
        <v>5.4</v>
      </c>
      <c r="K115" s="16">
        <v>1.3</v>
      </c>
      <c r="L115" s="16">
        <v>4</v>
      </c>
      <c r="M115" s="16">
        <v>1</v>
      </c>
      <c r="N115" s="91" t="s">
        <v>208</v>
      </c>
      <c r="O115" s="91">
        <f t="shared" si="14"/>
        <v>21.6</v>
      </c>
      <c r="P115" s="18">
        <v>44863</v>
      </c>
      <c r="Q115" s="18">
        <v>44874</v>
      </c>
      <c r="R115" s="19">
        <v>1</v>
      </c>
      <c r="S115" s="19">
        <v>1</v>
      </c>
      <c r="T115" s="19">
        <v>1</v>
      </c>
      <c r="U115" s="20">
        <f>IF(ISBLANK(Table1[[#This Row],[OHC Date]]),$B$7-Table1[[#This Row],[HOC Date]]+1,Table1[[#This Row],[OHC Date]]-Table1[[#This Row],[HOC Date]]+1)/7</f>
        <v>1.7142857142857142</v>
      </c>
      <c r="V115" s="21">
        <v>12.01</v>
      </c>
      <c r="W115" s="21">
        <v>0.49</v>
      </c>
      <c r="X115" s="21">
        <f>ROUND(0.7*Table1[[#This Row],[E&amp;D Rate per unit]]*R115*Table1[[#This Row],[Quantity]],2)</f>
        <v>181.59</v>
      </c>
      <c r="Y115" s="21">
        <f t="shared" si="15"/>
        <v>18.14</v>
      </c>
      <c r="Z115" s="21">
        <f>ROUND(0.3*T115*Table1[[#This Row],[E&amp;D Rate per unit]]*Table1[[#This Row],[Quantity]],2)</f>
        <v>77.819999999999993</v>
      </c>
      <c r="AA115" s="21">
        <v>277.55</v>
      </c>
      <c r="AB115" s="138"/>
      <c r="AC115" s="138">
        <v>277.55</v>
      </c>
      <c r="AD115" s="136"/>
      <c r="AE115" s="154"/>
      <c r="AF115" s="161">
        <f>Table1[[#This Row],[Certified Amount (Cum)]]-Table1[[#This Row],[Certified Amount (Previous)]]</f>
        <v>277.55</v>
      </c>
      <c r="AG115" s="160">
        <f t="shared" si="9"/>
        <v>277.55</v>
      </c>
      <c r="AH115" s="158">
        <f>Table1[[#This Row],[Certified Amount (Cum)]]-Table1[[#This Row],[Total Amount]]</f>
        <v>0</v>
      </c>
      <c r="AK115" s="167">
        <f>Table1[[#This Row],[E&amp;D Rate per unit]]+Table1[[#This Row],[Hire Rate per week]]</f>
        <v>12.5</v>
      </c>
      <c r="AL115" s="8">
        <f>SUM(Table1[[#This Row],[Erect Charges]:[Dismantle Charges]])</f>
        <v>277.55</v>
      </c>
    </row>
    <row r="116" spans="1:38" ht="30" customHeight="1" x14ac:dyDescent="0.3">
      <c r="A116" s="107" t="s">
        <v>91</v>
      </c>
      <c r="B116" s="90" t="s">
        <v>99</v>
      </c>
      <c r="C116" s="147">
        <v>41</v>
      </c>
      <c r="D116" s="16">
        <v>77679</v>
      </c>
      <c r="E116" s="16">
        <v>76796</v>
      </c>
      <c r="F116" s="17" t="s">
        <v>313</v>
      </c>
      <c r="G116" s="17" t="s">
        <v>202</v>
      </c>
      <c r="H116" s="16" t="s">
        <v>178</v>
      </c>
      <c r="I116" s="16">
        <v>1</v>
      </c>
      <c r="J116" s="16">
        <v>5.4</v>
      </c>
      <c r="K116" s="16">
        <v>1.3</v>
      </c>
      <c r="L116" s="16">
        <v>1</v>
      </c>
      <c r="M116" s="16">
        <v>1</v>
      </c>
      <c r="N116" s="91" t="s">
        <v>162</v>
      </c>
      <c r="O116" s="91">
        <f t="shared" si="14"/>
        <v>7.02</v>
      </c>
      <c r="P116" s="18">
        <v>44863</v>
      </c>
      <c r="Q116" s="18">
        <v>44874</v>
      </c>
      <c r="R116" s="19">
        <v>1</v>
      </c>
      <c r="S116" s="19">
        <v>1</v>
      </c>
      <c r="T116" s="19">
        <v>1</v>
      </c>
      <c r="U116" s="20">
        <f>IF(ISBLANK(Table1[[#This Row],[OHC Date]]),$B$7-Table1[[#This Row],[HOC Date]]+1,Table1[[#This Row],[OHC Date]]-Table1[[#This Row],[HOC Date]]+1)/7</f>
        <v>1.7142857142857142</v>
      </c>
      <c r="V116" s="21">
        <v>6.63</v>
      </c>
      <c r="W116" s="21">
        <v>0.7</v>
      </c>
      <c r="X116" s="21">
        <f>ROUND(0.7*Table1[[#This Row],[E&amp;D Rate per unit]]*R116*Table1[[#This Row],[Quantity]],2)</f>
        <v>32.58</v>
      </c>
      <c r="Y116" s="21">
        <f t="shared" si="15"/>
        <v>8.42</v>
      </c>
      <c r="Z116" s="21">
        <f>ROUND(0.3*T116*Table1[[#This Row],[E&amp;D Rate per unit]]*Table1[[#This Row],[Quantity]],2)</f>
        <v>13.96</v>
      </c>
      <c r="AA116" s="21">
        <v>54.96</v>
      </c>
      <c r="AB116" s="138"/>
      <c r="AC116" s="138">
        <v>54.96</v>
      </c>
      <c r="AD116" s="136"/>
      <c r="AE116" s="154"/>
      <c r="AF116" s="161">
        <f>Table1[[#This Row],[Certified Amount (Cum)]]-Table1[[#This Row],[Certified Amount (Previous)]]</f>
        <v>54.96</v>
      </c>
      <c r="AG116" s="160">
        <f t="shared" si="9"/>
        <v>54.96</v>
      </c>
      <c r="AH116" s="158">
        <f>Table1[[#This Row],[Certified Amount (Cum)]]-Table1[[#This Row],[Total Amount]]</f>
        <v>0</v>
      </c>
      <c r="AK116" s="167">
        <f>Table1[[#This Row],[E&amp;D Rate per unit]]+Table1[[#This Row],[Hire Rate per week]]</f>
        <v>7.33</v>
      </c>
      <c r="AL116" s="8">
        <f>SUM(Table1[[#This Row],[Erect Charges]:[Dismantle Charges]])</f>
        <v>54.96</v>
      </c>
    </row>
    <row r="117" spans="1:38" ht="30" customHeight="1" x14ac:dyDescent="0.3">
      <c r="A117" s="90" t="s">
        <v>91</v>
      </c>
      <c r="B117" s="90" t="s">
        <v>99</v>
      </c>
      <c r="C117" s="147" t="s">
        <v>314</v>
      </c>
      <c r="D117" s="16">
        <v>77680</v>
      </c>
      <c r="E117" s="16">
        <v>76785</v>
      </c>
      <c r="F117" s="17" t="s">
        <v>313</v>
      </c>
      <c r="G117" s="17" t="s">
        <v>202</v>
      </c>
      <c r="H117" s="108" t="s">
        <v>128</v>
      </c>
      <c r="I117" s="16">
        <v>2</v>
      </c>
      <c r="J117" s="16">
        <v>2</v>
      </c>
      <c r="K117" s="16">
        <v>0.5</v>
      </c>
      <c r="L117" s="16">
        <v>1</v>
      </c>
      <c r="M117" s="16">
        <v>2</v>
      </c>
      <c r="N117" s="91" t="s">
        <v>162</v>
      </c>
      <c r="O117" s="91">
        <f t="shared" si="14"/>
        <v>2</v>
      </c>
      <c r="P117" s="18">
        <v>44863</v>
      </c>
      <c r="Q117" s="18">
        <v>44868</v>
      </c>
      <c r="R117" s="19">
        <v>1</v>
      </c>
      <c r="S117" s="19">
        <v>1</v>
      </c>
      <c r="T117" s="19">
        <v>1</v>
      </c>
      <c r="U117" s="20">
        <f>IF(ISBLANK(Table1[[#This Row],[OHC Date]]),$B$7-Table1[[#This Row],[HOC Date]]+1,Table1[[#This Row],[OHC Date]]-Table1[[#This Row],[HOC Date]]+1)/7</f>
        <v>0.8571428571428571</v>
      </c>
      <c r="V117" s="21">
        <v>32.75</v>
      </c>
      <c r="W117" s="21">
        <v>1.05</v>
      </c>
      <c r="X117" s="21">
        <f>ROUND(0.7*Table1[[#This Row],[E&amp;D Rate per unit]]*R117*Table1[[#This Row],[Quantity]],2)</f>
        <v>45.85</v>
      </c>
      <c r="Y117" s="21">
        <f t="shared" si="15"/>
        <v>1.8</v>
      </c>
      <c r="Z117" s="21">
        <f>ROUND(0.3*T117*Table1[[#This Row],[E&amp;D Rate per unit]]*Table1[[#This Row],[Quantity]],2)</f>
        <v>19.649999999999999</v>
      </c>
      <c r="AA117" s="21">
        <v>67.3</v>
      </c>
      <c r="AB117" s="138"/>
      <c r="AC117" s="138">
        <v>67.3</v>
      </c>
      <c r="AD117" s="136"/>
      <c r="AE117" s="154"/>
      <c r="AF117" s="161">
        <f>Table1[[#This Row],[Certified Amount (Cum)]]-Table1[[#This Row],[Certified Amount (Previous)]]</f>
        <v>67.3</v>
      </c>
      <c r="AG117" s="160">
        <f t="shared" si="9"/>
        <v>67.3</v>
      </c>
      <c r="AH117" s="158">
        <f>Table1[[#This Row],[Certified Amount (Cum)]]-Table1[[#This Row],[Total Amount]]</f>
        <v>0</v>
      </c>
      <c r="AK117" s="167">
        <f>Table1[[#This Row],[E&amp;D Rate per unit]]+Table1[[#This Row],[Hire Rate per week]]</f>
        <v>33.799999999999997</v>
      </c>
      <c r="AL117" s="8">
        <f>SUM(Table1[[#This Row],[Erect Charges]:[Dismantle Charges]])</f>
        <v>67.3</v>
      </c>
    </row>
    <row r="118" spans="1:38" ht="30" customHeight="1" x14ac:dyDescent="0.3">
      <c r="A118" s="90" t="s">
        <v>91</v>
      </c>
      <c r="B118" s="90" t="s">
        <v>99</v>
      </c>
      <c r="C118" s="147" t="s">
        <v>315</v>
      </c>
      <c r="D118" s="16">
        <v>77681</v>
      </c>
      <c r="E118" s="16">
        <v>76778</v>
      </c>
      <c r="F118" s="17" t="s">
        <v>313</v>
      </c>
      <c r="G118" s="17" t="s">
        <v>202</v>
      </c>
      <c r="H118" s="108" t="s">
        <v>128</v>
      </c>
      <c r="I118" s="16">
        <v>2</v>
      </c>
      <c r="J118" s="16">
        <v>2</v>
      </c>
      <c r="K118" s="16">
        <v>0.5</v>
      </c>
      <c r="L118" s="16">
        <v>1</v>
      </c>
      <c r="M118" s="16">
        <v>2</v>
      </c>
      <c r="N118" s="91" t="s">
        <v>162</v>
      </c>
      <c r="O118" s="91">
        <f t="shared" si="14"/>
        <v>2</v>
      </c>
      <c r="P118" s="18">
        <v>44863</v>
      </c>
      <c r="Q118" s="18">
        <v>44867</v>
      </c>
      <c r="R118" s="19">
        <v>1</v>
      </c>
      <c r="S118" s="19">
        <v>1</v>
      </c>
      <c r="T118" s="19">
        <v>1</v>
      </c>
      <c r="U118" s="20">
        <f>IF(ISBLANK(Table1[[#This Row],[OHC Date]]),$B$7-Table1[[#This Row],[HOC Date]]+1,Table1[[#This Row],[OHC Date]]-Table1[[#This Row],[HOC Date]]+1)/7</f>
        <v>0.7142857142857143</v>
      </c>
      <c r="V118" s="21">
        <v>32.75</v>
      </c>
      <c r="W118" s="21">
        <v>1.05</v>
      </c>
      <c r="X118" s="21">
        <f>ROUND(0.7*Table1[[#This Row],[E&amp;D Rate per unit]]*R118*Table1[[#This Row],[Quantity]],2)</f>
        <v>45.85</v>
      </c>
      <c r="Y118" s="21">
        <f t="shared" si="15"/>
        <v>1.5</v>
      </c>
      <c r="Z118" s="21">
        <f>ROUND(0.3*T118*Table1[[#This Row],[E&amp;D Rate per unit]]*Table1[[#This Row],[Quantity]],2)</f>
        <v>19.649999999999999</v>
      </c>
      <c r="AA118" s="21">
        <v>67</v>
      </c>
      <c r="AB118" s="138"/>
      <c r="AC118" s="138">
        <v>67</v>
      </c>
      <c r="AD118" s="136"/>
      <c r="AE118" s="154"/>
      <c r="AF118" s="161">
        <f>Table1[[#This Row],[Certified Amount (Cum)]]-Table1[[#This Row],[Certified Amount (Previous)]]</f>
        <v>67</v>
      </c>
      <c r="AG118" s="160">
        <f t="shared" si="9"/>
        <v>67</v>
      </c>
      <c r="AH118" s="158">
        <f>Table1[[#This Row],[Certified Amount (Cum)]]-Table1[[#This Row],[Total Amount]]</f>
        <v>0</v>
      </c>
      <c r="AK118" s="167">
        <f>Table1[[#This Row],[E&amp;D Rate per unit]]+Table1[[#This Row],[Hire Rate per week]]</f>
        <v>33.799999999999997</v>
      </c>
      <c r="AL118" s="8">
        <f>SUM(Table1[[#This Row],[Erect Charges]:[Dismantle Charges]])</f>
        <v>67</v>
      </c>
    </row>
    <row r="119" spans="1:38" ht="30" customHeight="1" x14ac:dyDescent="0.3">
      <c r="A119" s="90" t="s">
        <v>91</v>
      </c>
      <c r="B119" s="90" t="s">
        <v>99</v>
      </c>
      <c r="C119" s="147" t="s">
        <v>316</v>
      </c>
      <c r="D119" s="16">
        <v>77682</v>
      </c>
      <c r="E119" s="16"/>
      <c r="F119" s="17" t="s">
        <v>309</v>
      </c>
      <c r="G119" s="17" t="s">
        <v>228</v>
      </c>
      <c r="H119" s="16" t="s">
        <v>178</v>
      </c>
      <c r="I119" s="16">
        <v>1</v>
      </c>
      <c r="J119" s="16">
        <v>3</v>
      </c>
      <c r="K119" s="16">
        <v>1.5</v>
      </c>
      <c r="L119" s="16">
        <v>1</v>
      </c>
      <c r="M119" s="16">
        <v>1</v>
      </c>
      <c r="N119" s="91" t="s">
        <v>162</v>
      </c>
      <c r="O119" s="91">
        <f t="shared" si="14"/>
        <v>4.5</v>
      </c>
      <c r="P119" s="18">
        <v>44863</v>
      </c>
      <c r="Q119" s="18"/>
      <c r="R119" s="19">
        <v>1</v>
      </c>
      <c r="S119" s="19">
        <v>1</v>
      </c>
      <c r="T119" s="19">
        <v>0</v>
      </c>
      <c r="U119" s="20">
        <f>IF(ISBLANK(Table1[[#This Row],[OHC Date]]),$B$7-Table1[[#This Row],[HOC Date]]+1,Table1[[#This Row],[OHC Date]]-Table1[[#This Row],[HOC Date]]+1)/7</f>
        <v>4</v>
      </c>
      <c r="V119" s="21">
        <v>6.63</v>
      </c>
      <c r="W119" s="21">
        <v>0.7</v>
      </c>
      <c r="X119" s="21">
        <f>ROUND(0.7*Table1[[#This Row],[E&amp;D Rate per unit]]*R119*Table1[[#This Row],[Quantity]],2)</f>
        <v>20.88</v>
      </c>
      <c r="Y119" s="21">
        <f t="shared" si="15"/>
        <v>12.6</v>
      </c>
      <c r="Z119" s="21">
        <f>ROUND(0.3*T119*Table1[[#This Row],[E&amp;D Rate per unit]]*Table1[[#This Row],[Quantity]],2)</f>
        <v>0</v>
      </c>
      <c r="AA119" s="21">
        <v>33.479999999999997</v>
      </c>
      <c r="AB119" s="138"/>
      <c r="AC119" s="138">
        <v>33.479999999999997</v>
      </c>
      <c r="AD119" s="136"/>
      <c r="AE119" s="154"/>
      <c r="AF119" s="161">
        <f>Table1[[#This Row],[Certified Amount (Cum)]]-Table1[[#This Row],[Certified Amount (Previous)]]</f>
        <v>33.479999999999997</v>
      </c>
      <c r="AG119" s="160">
        <f t="shared" si="9"/>
        <v>33.479999999999997</v>
      </c>
      <c r="AH119" s="158">
        <f>Table1[[#This Row],[Certified Amount (Cum)]]-Table1[[#This Row],[Total Amount]]</f>
        <v>0</v>
      </c>
      <c r="AK119" s="167">
        <f>Table1[[#This Row],[E&amp;D Rate per unit]]+Table1[[#This Row],[Hire Rate per week]]</f>
        <v>7.33</v>
      </c>
      <c r="AL119" s="8">
        <f>SUM(Table1[[#This Row],[Erect Charges]:[Dismantle Charges]])</f>
        <v>33.479999999999997</v>
      </c>
    </row>
    <row r="120" spans="1:38" ht="30" customHeight="1" x14ac:dyDescent="0.3">
      <c r="A120" s="90" t="s">
        <v>91</v>
      </c>
      <c r="B120" s="90" t="s">
        <v>99</v>
      </c>
      <c r="C120" s="147" t="s">
        <v>317</v>
      </c>
      <c r="D120" s="16">
        <v>77683</v>
      </c>
      <c r="E120" s="16">
        <v>76780</v>
      </c>
      <c r="F120" s="17" t="s">
        <v>318</v>
      </c>
      <c r="G120" s="17" t="s">
        <v>192</v>
      </c>
      <c r="H120" s="108" t="s">
        <v>129</v>
      </c>
      <c r="I120" s="16">
        <v>1</v>
      </c>
      <c r="J120" s="16">
        <v>1.5</v>
      </c>
      <c r="K120" s="16">
        <v>1</v>
      </c>
      <c r="L120" s="16">
        <v>1</v>
      </c>
      <c r="M120" s="16">
        <v>1</v>
      </c>
      <c r="N120" s="91" t="s">
        <v>162</v>
      </c>
      <c r="O120" s="91">
        <f t="shared" si="14"/>
        <v>1.5</v>
      </c>
      <c r="P120" s="18">
        <v>44863</v>
      </c>
      <c r="Q120" s="18">
        <v>44868</v>
      </c>
      <c r="R120" s="19">
        <v>1</v>
      </c>
      <c r="S120" s="19">
        <v>1</v>
      </c>
      <c r="T120" s="19">
        <v>1</v>
      </c>
      <c r="U120" s="20">
        <f>IF(ISBLANK(Table1[[#This Row],[OHC Date]]),$B$7-Table1[[#This Row],[HOC Date]]+1,Table1[[#This Row],[OHC Date]]-Table1[[#This Row],[HOC Date]]+1)/7</f>
        <v>0.8571428571428571</v>
      </c>
      <c r="V120" s="21">
        <v>36.520000000000003</v>
      </c>
      <c r="W120" s="21">
        <v>2.94</v>
      </c>
      <c r="X120" s="21">
        <f>ROUND(0.7*Table1[[#This Row],[E&amp;D Rate per unit]]*R120*Table1[[#This Row],[Quantity]],2)</f>
        <v>38.35</v>
      </c>
      <c r="Y120" s="21">
        <f t="shared" si="15"/>
        <v>3.78</v>
      </c>
      <c r="Z120" s="21">
        <f>ROUND(0.3*T120*Table1[[#This Row],[E&amp;D Rate per unit]]*Table1[[#This Row],[Quantity]],2)</f>
        <v>16.43</v>
      </c>
      <c r="AA120" s="21">
        <v>58.56</v>
      </c>
      <c r="AB120" s="138"/>
      <c r="AC120" s="138">
        <v>58.56</v>
      </c>
      <c r="AD120" s="136"/>
      <c r="AE120" s="154"/>
      <c r="AF120" s="161">
        <f>Table1[[#This Row],[Certified Amount (Cum)]]-Table1[[#This Row],[Certified Amount (Previous)]]</f>
        <v>58.56</v>
      </c>
      <c r="AG120" s="160">
        <f t="shared" si="9"/>
        <v>58.56</v>
      </c>
      <c r="AH120" s="158">
        <f>Table1[[#This Row],[Certified Amount (Cum)]]-Table1[[#This Row],[Total Amount]]</f>
        <v>0</v>
      </c>
      <c r="AK120" s="167">
        <f>Table1[[#This Row],[E&amp;D Rate per unit]]+Table1[[#This Row],[Hire Rate per week]]</f>
        <v>39.46</v>
      </c>
      <c r="AL120" s="8">
        <f>SUM(Table1[[#This Row],[Erect Charges]:[Dismantle Charges]])</f>
        <v>58.56</v>
      </c>
    </row>
    <row r="121" spans="1:38" ht="30" customHeight="1" x14ac:dyDescent="0.3">
      <c r="A121" s="90" t="s">
        <v>91</v>
      </c>
      <c r="B121" s="90" t="s">
        <v>99</v>
      </c>
      <c r="C121" s="147" t="s">
        <v>319</v>
      </c>
      <c r="D121" s="16">
        <v>77686</v>
      </c>
      <c r="E121" s="16">
        <v>76787</v>
      </c>
      <c r="F121" s="17" t="s">
        <v>320</v>
      </c>
      <c r="G121" s="17" t="s">
        <v>202</v>
      </c>
      <c r="H121" s="16" t="s">
        <v>222</v>
      </c>
      <c r="I121" s="16">
        <v>1</v>
      </c>
      <c r="J121" s="16">
        <v>1.8</v>
      </c>
      <c r="K121" s="16">
        <v>0.9</v>
      </c>
      <c r="L121" s="16">
        <v>12.3</v>
      </c>
      <c r="M121" s="16">
        <v>1</v>
      </c>
      <c r="N121" s="91" t="s">
        <v>223</v>
      </c>
      <c r="O121" s="91">
        <f t="shared" si="14"/>
        <v>12.3</v>
      </c>
      <c r="P121" s="18">
        <v>44863</v>
      </c>
      <c r="Q121" s="18">
        <v>44870</v>
      </c>
      <c r="R121" s="19">
        <v>1</v>
      </c>
      <c r="S121" s="19">
        <v>1</v>
      </c>
      <c r="T121" s="19">
        <v>1</v>
      </c>
      <c r="U121" s="20">
        <f>IF(ISBLANK(Table1[[#This Row],[OHC Date]]),$B$7-Table1[[#This Row],[HOC Date]]+1,Table1[[#This Row],[OHC Date]]-Table1[[#This Row],[HOC Date]]+1)/7</f>
        <v>1.1428571428571428</v>
      </c>
      <c r="V121" s="21">
        <v>63.34</v>
      </c>
      <c r="W121" s="21">
        <v>7.28</v>
      </c>
      <c r="X121" s="21">
        <f>ROUND(0.7*Table1[[#This Row],[E&amp;D Rate per unit]]*R121*Table1[[#This Row],[Quantity]],2)</f>
        <v>545.36</v>
      </c>
      <c r="Y121" s="21">
        <f t="shared" si="15"/>
        <v>102.34</v>
      </c>
      <c r="Z121" s="21">
        <f>ROUND(0.3*T121*Table1[[#This Row],[E&amp;D Rate per unit]]*Table1[[#This Row],[Quantity]],2)</f>
        <v>233.72</v>
      </c>
      <c r="AA121" s="21">
        <v>881.42</v>
      </c>
      <c r="AB121" s="138"/>
      <c r="AC121" s="138">
        <v>881.42</v>
      </c>
      <c r="AD121" s="136"/>
      <c r="AE121" s="154"/>
      <c r="AF121" s="161">
        <f>Table1[[#This Row],[Certified Amount (Cum)]]-Table1[[#This Row],[Certified Amount (Previous)]]</f>
        <v>881.42000000000007</v>
      </c>
      <c r="AG121" s="160">
        <f t="shared" si="9"/>
        <v>881.42000000000007</v>
      </c>
      <c r="AH121" s="158">
        <f>Table1[[#This Row],[Certified Amount (Cum)]]-Table1[[#This Row],[Total Amount]]</f>
        <v>0</v>
      </c>
      <c r="AK121" s="167">
        <f>Table1[[#This Row],[E&amp;D Rate per unit]]+Table1[[#This Row],[Hire Rate per week]]</f>
        <v>70.62</v>
      </c>
      <c r="AL121" s="8">
        <f>SUM(Table1[[#This Row],[Erect Charges]:[Dismantle Charges]])</f>
        <v>881.42000000000007</v>
      </c>
    </row>
    <row r="122" spans="1:38" ht="30" customHeight="1" x14ac:dyDescent="0.3">
      <c r="A122" s="90" t="s">
        <v>91</v>
      </c>
      <c r="B122" s="90" t="s">
        <v>99</v>
      </c>
      <c r="C122" s="147" t="s">
        <v>319</v>
      </c>
      <c r="D122" s="16">
        <v>77686</v>
      </c>
      <c r="E122" s="16">
        <v>76787</v>
      </c>
      <c r="F122" s="17" t="s">
        <v>320</v>
      </c>
      <c r="G122" s="17" t="s">
        <v>202</v>
      </c>
      <c r="H122" s="16" t="s">
        <v>178</v>
      </c>
      <c r="I122" s="16">
        <v>5</v>
      </c>
      <c r="J122" s="16">
        <v>1.8</v>
      </c>
      <c r="K122" s="16">
        <v>0.9</v>
      </c>
      <c r="L122" s="16">
        <v>1</v>
      </c>
      <c r="M122" s="16">
        <v>5</v>
      </c>
      <c r="N122" s="91" t="s">
        <v>162</v>
      </c>
      <c r="O122" s="91">
        <f t="shared" si="14"/>
        <v>8.1</v>
      </c>
      <c r="P122" s="18">
        <v>44863</v>
      </c>
      <c r="Q122" s="18">
        <v>44870</v>
      </c>
      <c r="R122" s="19">
        <v>1</v>
      </c>
      <c r="S122" s="19">
        <v>1</v>
      </c>
      <c r="T122" s="19">
        <v>1</v>
      </c>
      <c r="U122" s="20">
        <f>IF(ISBLANK(Table1[[#This Row],[OHC Date]]),$B$7-Table1[[#This Row],[HOC Date]]+1,Table1[[#This Row],[OHC Date]]-Table1[[#This Row],[HOC Date]]+1)/7</f>
        <v>1.1428571428571428</v>
      </c>
      <c r="V122" s="21">
        <v>6.63</v>
      </c>
      <c r="W122" s="21">
        <v>0.7</v>
      </c>
      <c r="X122" s="21">
        <f>ROUND(0.7*Table1[[#This Row],[E&amp;D Rate per unit]]*R122*Table1[[#This Row],[Quantity]],2)</f>
        <v>37.590000000000003</v>
      </c>
      <c r="Y122" s="21">
        <f t="shared" si="15"/>
        <v>6.48</v>
      </c>
      <c r="Z122" s="21">
        <f>ROUND(0.3*T122*Table1[[#This Row],[E&amp;D Rate per unit]]*Table1[[#This Row],[Quantity]],2)</f>
        <v>16.11</v>
      </c>
      <c r="AA122" s="21">
        <v>60.18</v>
      </c>
      <c r="AB122" s="138"/>
      <c r="AC122" s="138">
        <v>60.18</v>
      </c>
      <c r="AD122" s="136"/>
      <c r="AE122" s="154"/>
      <c r="AF122" s="161">
        <f>Table1[[#This Row],[Certified Amount (Cum)]]-Table1[[#This Row],[Certified Amount (Previous)]]</f>
        <v>60.180000000000007</v>
      </c>
      <c r="AG122" s="160">
        <f t="shared" si="9"/>
        <v>60.180000000000007</v>
      </c>
      <c r="AH122" s="158">
        <f>Table1[[#This Row],[Certified Amount (Cum)]]-Table1[[#This Row],[Total Amount]]</f>
        <v>0</v>
      </c>
      <c r="AK122" s="167">
        <f>Table1[[#This Row],[E&amp;D Rate per unit]]+Table1[[#This Row],[Hire Rate per week]]</f>
        <v>7.33</v>
      </c>
      <c r="AL122" s="8">
        <f>SUM(Table1[[#This Row],[Erect Charges]:[Dismantle Charges]])</f>
        <v>60.180000000000007</v>
      </c>
    </row>
    <row r="123" spans="1:38" ht="30" customHeight="1" x14ac:dyDescent="0.3">
      <c r="A123" s="140" t="s">
        <v>480</v>
      </c>
      <c r="B123" s="90" t="s">
        <v>99</v>
      </c>
      <c r="C123" s="147">
        <v>42</v>
      </c>
      <c r="D123" s="16">
        <v>77687</v>
      </c>
      <c r="E123" s="16"/>
      <c r="F123" s="17" t="s">
        <v>321</v>
      </c>
      <c r="G123" s="17" t="s">
        <v>228</v>
      </c>
      <c r="H123" s="16" t="s">
        <v>322</v>
      </c>
      <c r="I123" s="16">
        <v>1</v>
      </c>
      <c r="J123" s="16"/>
      <c r="K123" s="16"/>
      <c r="L123" s="16"/>
      <c r="M123" s="16"/>
      <c r="N123" s="91" t="s">
        <v>56</v>
      </c>
      <c r="O123" s="91">
        <f t="shared" si="14"/>
        <v>1</v>
      </c>
      <c r="P123" s="18">
        <v>44865</v>
      </c>
      <c r="Q123" s="18"/>
      <c r="R123" s="19">
        <v>1</v>
      </c>
      <c r="S123" s="19">
        <v>1</v>
      </c>
      <c r="T123" s="19">
        <v>0</v>
      </c>
      <c r="U123" s="20">
        <f>IF(ISBLANK(Table1[[#This Row],[OHC Date]]),$B$7-Table1[[#This Row],[HOC Date]]+1,Table1[[#This Row],[OHC Date]]-Table1[[#This Row],[HOC Date]]+1)/7</f>
        <v>3.7142857142857144</v>
      </c>
      <c r="V123" s="21">
        <v>7695.22</v>
      </c>
      <c r="W123" s="21">
        <v>511.06</v>
      </c>
      <c r="X123" s="21">
        <f>ROUND(0.7*Table1[[#This Row],[E&amp;D Rate per unit]]*R123*Table1[[#This Row],[Quantity]],2)</f>
        <v>5386.65</v>
      </c>
      <c r="Y123" s="21">
        <f t="shared" si="15"/>
        <v>1898.22</v>
      </c>
      <c r="Z123" s="21">
        <f>ROUND(0.3*T123*Table1[[#This Row],[E&amp;D Rate per unit]]*Table1[[#This Row],[Quantity]],2)</f>
        <v>0</v>
      </c>
      <c r="AA123" s="21">
        <v>7284.87</v>
      </c>
      <c r="AB123" s="138"/>
      <c r="AC123" s="138">
        <v>7284.87</v>
      </c>
      <c r="AD123" s="141" t="s">
        <v>482</v>
      </c>
      <c r="AE123" s="163"/>
      <c r="AF123" s="164">
        <f>Table1[[#This Row],[Certified Amount (Cum)]]-Table1[[#This Row],[Certified Amount (Previous)]]</f>
        <v>7284.87</v>
      </c>
      <c r="AG123" s="165">
        <f t="shared" si="9"/>
        <v>7284.87</v>
      </c>
      <c r="AH123" s="165">
        <f>Table1[[#This Row],[Certified Amount (Cum)]]-Table1[[#This Row],[Total Amount]]</f>
        <v>0</v>
      </c>
      <c r="AK123" s="167">
        <f>Table1[[#This Row],[E&amp;D Rate per unit]]+Table1[[#This Row],[Hire Rate per week]]</f>
        <v>8206.2800000000007</v>
      </c>
      <c r="AL123" s="8">
        <f>SUM(Table1[[#This Row],[Erect Charges]:[Dismantle Charges]])</f>
        <v>7284.87</v>
      </c>
    </row>
    <row r="124" spans="1:38" ht="30" customHeight="1" x14ac:dyDescent="0.3">
      <c r="A124" s="140" t="s">
        <v>480</v>
      </c>
      <c r="B124" s="90" t="s">
        <v>99</v>
      </c>
      <c r="C124" s="147">
        <v>43</v>
      </c>
      <c r="D124" s="16">
        <v>77688</v>
      </c>
      <c r="E124" s="16"/>
      <c r="F124" s="17" t="s">
        <v>321</v>
      </c>
      <c r="G124" s="17" t="s">
        <v>228</v>
      </c>
      <c r="H124" s="16" t="s">
        <v>322</v>
      </c>
      <c r="I124" s="16">
        <v>1</v>
      </c>
      <c r="J124" s="16"/>
      <c r="K124" s="16"/>
      <c r="L124" s="16"/>
      <c r="M124" s="16"/>
      <c r="N124" s="91" t="s">
        <v>56</v>
      </c>
      <c r="O124" s="91">
        <f t="shared" si="14"/>
        <v>1</v>
      </c>
      <c r="P124" s="18">
        <v>44865</v>
      </c>
      <c r="Q124" s="18"/>
      <c r="R124" s="19">
        <v>1</v>
      </c>
      <c r="S124" s="19">
        <v>1</v>
      </c>
      <c r="T124" s="19">
        <v>0</v>
      </c>
      <c r="U124" s="20">
        <f>IF(ISBLANK(Table1[[#This Row],[OHC Date]]),$B$7-Table1[[#This Row],[HOC Date]]+1,Table1[[#This Row],[OHC Date]]-Table1[[#This Row],[HOC Date]]+1)/7</f>
        <v>3.7142857142857144</v>
      </c>
      <c r="V124" s="21">
        <v>7695.22</v>
      </c>
      <c r="W124" s="21">
        <v>511.06</v>
      </c>
      <c r="X124" s="21">
        <f>ROUND(0.7*Table1[[#This Row],[E&amp;D Rate per unit]]*R124*Table1[[#This Row],[Quantity]],2)</f>
        <v>5386.65</v>
      </c>
      <c r="Y124" s="21">
        <f t="shared" si="15"/>
        <v>1898.22</v>
      </c>
      <c r="Z124" s="21">
        <f>ROUND(0.3*T124*Table1[[#This Row],[E&amp;D Rate per unit]]*Table1[[#This Row],[Quantity]],2)</f>
        <v>0</v>
      </c>
      <c r="AA124" s="21">
        <v>7284.87</v>
      </c>
      <c r="AB124" s="138"/>
      <c r="AC124" s="138">
        <v>7284.87</v>
      </c>
      <c r="AD124" s="141" t="s">
        <v>482</v>
      </c>
      <c r="AE124" s="163"/>
      <c r="AF124" s="164">
        <f>Table1[[#This Row],[Certified Amount (Cum)]]-Table1[[#This Row],[Certified Amount (Previous)]]</f>
        <v>7284.87</v>
      </c>
      <c r="AG124" s="165">
        <f t="shared" si="9"/>
        <v>7284.87</v>
      </c>
      <c r="AH124" s="165">
        <f>Table1[[#This Row],[Certified Amount (Cum)]]-Table1[[#This Row],[Total Amount]]</f>
        <v>0</v>
      </c>
      <c r="AK124" s="167">
        <f>Table1[[#This Row],[E&amp;D Rate per unit]]+Table1[[#This Row],[Hire Rate per week]]</f>
        <v>8206.2800000000007</v>
      </c>
      <c r="AL124" s="8">
        <f>SUM(Table1[[#This Row],[Erect Charges]:[Dismantle Charges]])</f>
        <v>7284.87</v>
      </c>
    </row>
    <row r="125" spans="1:38" ht="30" customHeight="1" x14ac:dyDescent="0.3">
      <c r="A125" s="140" t="s">
        <v>480</v>
      </c>
      <c r="B125" s="90" t="s">
        <v>99</v>
      </c>
      <c r="C125" s="147">
        <v>44</v>
      </c>
      <c r="D125" s="16">
        <v>77689</v>
      </c>
      <c r="E125" s="16"/>
      <c r="F125" s="17" t="s">
        <v>321</v>
      </c>
      <c r="G125" s="17" t="s">
        <v>202</v>
      </c>
      <c r="H125" s="16" t="s">
        <v>322</v>
      </c>
      <c r="I125" s="16">
        <v>1</v>
      </c>
      <c r="J125" s="16"/>
      <c r="K125" s="16"/>
      <c r="L125" s="16"/>
      <c r="M125" s="16"/>
      <c r="N125" s="91" t="s">
        <v>56</v>
      </c>
      <c r="O125" s="91">
        <f t="shared" si="14"/>
        <v>1</v>
      </c>
      <c r="P125" s="18">
        <v>44865</v>
      </c>
      <c r="Q125" s="18"/>
      <c r="R125" s="19">
        <v>1</v>
      </c>
      <c r="S125" s="19">
        <v>1</v>
      </c>
      <c r="T125" s="19">
        <v>0</v>
      </c>
      <c r="U125" s="20">
        <f>IF(ISBLANK(Table1[[#This Row],[OHC Date]]),$B$7-Table1[[#This Row],[HOC Date]]+1,Table1[[#This Row],[OHC Date]]-Table1[[#This Row],[HOC Date]]+1)/7</f>
        <v>3.7142857142857144</v>
      </c>
      <c r="V125" s="21">
        <v>7695.22</v>
      </c>
      <c r="W125" s="21">
        <v>511.06</v>
      </c>
      <c r="X125" s="21">
        <f>ROUND(0.7*Table1[[#This Row],[E&amp;D Rate per unit]]*R125*Table1[[#This Row],[Quantity]],2)</f>
        <v>5386.65</v>
      </c>
      <c r="Y125" s="21">
        <f t="shared" si="15"/>
        <v>1898.22</v>
      </c>
      <c r="Z125" s="21">
        <f>ROUND(0.3*T125*Table1[[#This Row],[E&amp;D Rate per unit]]*Table1[[#This Row],[Quantity]],2)</f>
        <v>0</v>
      </c>
      <c r="AA125" s="21">
        <v>7284.87</v>
      </c>
      <c r="AB125" s="138"/>
      <c r="AC125" s="138">
        <v>7284.87</v>
      </c>
      <c r="AD125" s="141" t="s">
        <v>482</v>
      </c>
      <c r="AE125" s="163"/>
      <c r="AF125" s="164">
        <f>Table1[[#This Row],[Certified Amount (Cum)]]-Table1[[#This Row],[Certified Amount (Previous)]]</f>
        <v>7284.87</v>
      </c>
      <c r="AG125" s="165">
        <f t="shared" si="9"/>
        <v>7284.87</v>
      </c>
      <c r="AH125" s="165">
        <f>Table1[[#This Row],[Certified Amount (Cum)]]-Table1[[#This Row],[Total Amount]]</f>
        <v>0</v>
      </c>
      <c r="AK125" s="167">
        <f>Table1[[#This Row],[E&amp;D Rate per unit]]+Table1[[#This Row],[Hire Rate per week]]</f>
        <v>8206.2800000000007</v>
      </c>
      <c r="AL125" s="8">
        <f>SUM(Table1[[#This Row],[Erect Charges]:[Dismantle Charges]])</f>
        <v>7284.87</v>
      </c>
    </row>
    <row r="126" spans="1:38" ht="30" customHeight="1" x14ac:dyDescent="0.3">
      <c r="A126" s="90" t="s">
        <v>91</v>
      </c>
      <c r="B126" s="90" t="s">
        <v>99</v>
      </c>
      <c r="C126" s="147" t="s">
        <v>323</v>
      </c>
      <c r="D126" s="16">
        <v>77690</v>
      </c>
      <c r="E126" s="16">
        <v>76781</v>
      </c>
      <c r="F126" s="17" t="s">
        <v>324</v>
      </c>
      <c r="G126" s="17" t="s">
        <v>192</v>
      </c>
      <c r="H126" s="16" t="s">
        <v>222</v>
      </c>
      <c r="I126" s="16">
        <v>1</v>
      </c>
      <c r="J126" s="16">
        <v>1.5</v>
      </c>
      <c r="K126" s="16">
        <v>1.5</v>
      </c>
      <c r="L126" s="16">
        <v>1</v>
      </c>
      <c r="M126" s="16">
        <v>1</v>
      </c>
      <c r="N126" s="91" t="s">
        <v>223</v>
      </c>
      <c r="O126" s="91">
        <f t="shared" si="14"/>
        <v>1</v>
      </c>
      <c r="P126" s="18">
        <v>44866</v>
      </c>
      <c r="Q126" s="18">
        <v>44868</v>
      </c>
      <c r="R126" s="19">
        <v>1</v>
      </c>
      <c r="S126" s="19">
        <v>1</v>
      </c>
      <c r="T126" s="19">
        <v>1</v>
      </c>
      <c r="U126" s="20">
        <f>IF(ISBLANK(Table1[[#This Row],[OHC Date]]),$B$7-Table1[[#This Row],[HOC Date]]+1,Table1[[#This Row],[OHC Date]]-Table1[[#This Row],[HOC Date]]+1)/7</f>
        <v>0.42857142857142855</v>
      </c>
      <c r="V126" s="21">
        <v>63.34</v>
      </c>
      <c r="W126" s="21">
        <v>7.28</v>
      </c>
      <c r="X126" s="21">
        <f>ROUND(0.7*Table1[[#This Row],[E&amp;D Rate per unit]]*R126*Table1[[#This Row],[Quantity]],2)</f>
        <v>44.34</v>
      </c>
      <c r="Y126" s="21">
        <f t="shared" si="15"/>
        <v>3.12</v>
      </c>
      <c r="Z126" s="21">
        <f>ROUND(0.3*T126*Table1[[#This Row],[E&amp;D Rate per unit]]*Table1[[#This Row],[Quantity]],2)</f>
        <v>19</v>
      </c>
      <c r="AA126" s="21">
        <v>66.459999999999994</v>
      </c>
      <c r="AB126" s="138"/>
      <c r="AC126" s="138">
        <v>66.459999999999994</v>
      </c>
      <c r="AD126" s="136"/>
      <c r="AE126" s="154"/>
      <c r="AF126" s="161">
        <f>Table1[[#This Row],[Certified Amount (Cum)]]-Table1[[#This Row],[Certified Amount (Previous)]]</f>
        <v>66.460000000000008</v>
      </c>
      <c r="AG126" s="160">
        <f t="shared" si="9"/>
        <v>66.460000000000008</v>
      </c>
      <c r="AH126" s="158">
        <f>Table1[[#This Row],[Certified Amount (Cum)]]-Table1[[#This Row],[Total Amount]]</f>
        <v>0</v>
      </c>
      <c r="AK126" s="167">
        <f>Table1[[#This Row],[E&amp;D Rate per unit]]+Table1[[#This Row],[Hire Rate per week]]</f>
        <v>70.62</v>
      </c>
      <c r="AL126" s="8">
        <f>SUM(Table1[[#This Row],[Erect Charges]:[Dismantle Charges]])</f>
        <v>66.460000000000008</v>
      </c>
    </row>
    <row r="127" spans="1:38" ht="30" customHeight="1" x14ac:dyDescent="0.3">
      <c r="A127" s="140" t="s">
        <v>480</v>
      </c>
      <c r="B127" s="90" t="s">
        <v>99</v>
      </c>
      <c r="C127" s="147">
        <v>45</v>
      </c>
      <c r="D127" s="16">
        <v>77691</v>
      </c>
      <c r="E127" s="16"/>
      <c r="F127" s="17" t="s">
        <v>321</v>
      </c>
      <c r="G127" s="17" t="s">
        <v>202</v>
      </c>
      <c r="H127" s="16" t="s">
        <v>322</v>
      </c>
      <c r="I127" s="16">
        <v>1</v>
      </c>
      <c r="J127" s="16"/>
      <c r="K127" s="16"/>
      <c r="L127" s="16"/>
      <c r="M127" s="16"/>
      <c r="N127" s="91" t="s">
        <v>56</v>
      </c>
      <c r="O127" s="91">
        <f t="shared" si="14"/>
        <v>1</v>
      </c>
      <c r="P127" s="18">
        <v>44866</v>
      </c>
      <c r="Q127" s="18"/>
      <c r="R127" s="19">
        <v>1</v>
      </c>
      <c r="S127" s="19">
        <v>1</v>
      </c>
      <c r="T127" s="19">
        <v>0</v>
      </c>
      <c r="U127" s="20">
        <f>IF(ISBLANK(Table1[[#This Row],[OHC Date]]),$B$7-Table1[[#This Row],[HOC Date]]+1,Table1[[#This Row],[OHC Date]]-Table1[[#This Row],[HOC Date]]+1)/7</f>
        <v>3.5714285714285716</v>
      </c>
      <c r="V127" s="21">
        <v>7695.22</v>
      </c>
      <c r="W127" s="21">
        <v>511.06</v>
      </c>
      <c r="X127" s="21">
        <f>ROUND(0.7*Table1[[#This Row],[E&amp;D Rate per unit]]*R127*Table1[[#This Row],[Quantity]],2)</f>
        <v>5386.65</v>
      </c>
      <c r="Y127" s="21">
        <f t="shared" si="15"/>
        <v>1825.21</v>
      </c>
      <c r="Z127" s="21">
        <f>ROUND(0.3*T127*Table1[[#This Row],[E&amp;D Rate per unit]]*Table1[[#This Row],[Quantity]],2)</f>
        <v>0</v>
      </c>
      <c r="AA127" s="21">
        <v>7211.86</v>
      </c>
      <c r="AB127" s="138"/>
      <c r="AC127" s="138">
        <v>7211.86</v>
      </c>
      <c r="AD127" s="141" t="s">
        <v>482</v>
      </c>
      <c r="AE127" s="163"/>
      <c r="AF127" s="164">
        <f>Table1[[#This Row],[Certified Amount (Cum)]]-Table1[[#This Row],[Certified Amount (Previous)]]</f>
        <v>7211.86</v>
      </c>
      <c r="AG127" s="165">
        <f t="shared" si="9"/>
        <v>7211.86</v>
      </c>
      <c r="AH127" s="165">
        <f>Table1[[#This Row],[Certified Amount (Cum)]]-Table1[[#This Row],[Total Amount]]</f>
        <v>0</v>
      </c>
      <c r="AK127" s="167">
        <f>Table1[[#This Row],[E&amp;D Rate per unit]]+Table1[[#This Row],[Hire Rate per week]]</f>
        <v>8206.2800000000007</v>
      </c>
      <c r="AL127" s="8">
        <f>SUM(Table1[[#This Row],[Erect Charges]:[Dismantle Charges]])</f>
        <v>7211.86</v>
      </c>
    </row>
    <row r="128" spans="1:38" ht="30" customHeight="1" x14ac:dyDescent="0.3">
      <c r="A128" s="90" t="s">
        <v>91</v>
      </c>
      <c r="B128" s="90" t="s">
        <v>99</v>
      </c>
      <c r="C128" s="147" t="s">
        <v>325</v>
      </c>
      <c r="D128" s="16">
        <v>77692</v>
      </c>
      <c r="E128" s="16"/>
      <c r="F128" s="17" t="s">
        <v>337</v>
      </c>
      <c r="G128" s="17" t="s">
        <v>192</v>
      </c>
      <c r="H128" s="108" t="s">
        <v>129</v>
      </c>
      <c r="I128" s="16">
        <v>1</v>
      </c>
      <c r="J128" s="16">
        <v>1.5</v>
      </c>
      <c r="K128" s="16">
        <v>0.75</v>
      </c>
      <c r="L128" s="16">
        <v>1</v>
      </c>
      <c r="M128" s="16">
        <v>2</v>
      </c>
      <c r="N128" s="91" t="s">
        <v>162</v>
      </c>
      <c r="O128" s="91">
        <f t="shared" si="14"/>
        <v>1.1299999999999999</v>
      </c>
      <c r="P128" s="18">
        <v>44863</v>
      </c>
      <c r="Q128" s="18"/>
      <c r="R128" s="19">
        <v>1</v>
      </c>
      <c r="S128" s="19">
        <v>1</v>
      </c>
      <c r="T128" s="19">
        <v>0</v>
      </c>
      <c r="U128" s="20">
        <f>IF(ISBLANK(Table1[[#This Row],[OHC Date]]),$B$7-Table1[[#This Row],[HOC Date]]+1,Table1[[#This Row],[OHC Date]]-Table1[[#This Row],[HOC Date]]+1)/7</f>
        <v>4</v>
      </c>
      <c r="V128" s="21">
        <v>36.520000000000003</v>
      </c>
      <c r="W128" s="21">
        <v>2.94</v>
      </c>
      <c r="X128" s="21">
        <f>ROUND(0.7*Table1[[#This Row],[E&amp;D Rate per unit]]*R128*Table1[[#This Row],[Quantity]],2)</f>
        <v>28.89</v>
      </c>
      <c r="Y128" s="21">
        <f t="shared" si="15"/>
        <v>13.29</v>
      </c>
      <c r="Z128" s="21">
        <f>ROUND(0.3*T128*Table1[[#This Row],[E&amp;D Rate per unit]]*Table1[[#This Row],[Quantity]],2)</f>
        <v>0</v>
      </c>
      <c r="AA128" s="21">
        <v>42.18</v>
      </c>
      <c r="AB128" s="138"/>
      <c r="AC128" s="138">
        <v>42.18</v>
      </c>
      <c r="AD128" s="136"/>
      <c r="AE128" s="154"/>
      <c r="AF128" s="161">
        <f>Table1[[#This Row],[Certified Amount (Cum)]]-Table1[[#This Row],[Certified Amount (Previous)]]</f>
        <v>42.18</v>
      </c>
      <c r="AG128" s="160">
        <f t="shared" si="9"/>
        <v>42.18</v>
      </c>
      <c r="AH128" s="158">
        <f>Table1[[#This Row],[Certified Amount (Cum)]]-Table1[[#This Row],[Total Amount]]</f>
        <v>0</v>
      </c>
      <c r="AK128" s="167">
        <f>Table1[[#This Row],[E&amp;D Rate per unit]]+Table1[[#This Row],[Hire Rate per week]]</f>
        <v>39.46</v>
      </c>
      <c r="AL128" s="8">
        <f>SUM(Table1[[#This Row],[Erect Charges]:[Dismantle Charges]])</f>
        <v>42.18</v>
      </c>
    </row>
    <row r="129" spans="1:38" ht="30" customHeight="1" x14ac:dyDescent="0.3">
      <c r="A129" s="90" t="s">
        <v>91</v>
      </c>
      <c r="B129" s="90" t="s">
        <v>99</v>
      </c>
      <c r="C129" s="147" t="s">
        <v>326</v>
      </c>
      <c r="D129" s="16">
        <v>77693</v>
      </c>
      <c r="E129" s="16">
        <v>76790</v>
      </c>
      <c r="F129" s="17" t="s">
        <v>337</v>
      </c>
      <c r="G129" s="17" t="s">
        <v>192</v>
      </c>
      <c r="H129" s="108" t="s">
        <v>129</v>
      </c>
      <c r="I129" s="16">
        <v>1</v>
      </c>
      <c r="J129" s="16">
        <v>1.5</v>
      </c>
      <c r="K129" s="16">
        <v>1</v>
      </c>
      <c r="L129" s="16">
        <v>1</v>
      </c>
      <c r="M129" s="16">
        <v>1</v>
      </c>
      <c r="N129" s="91" t="s">
        <v>162</v>
      </c>
      <c r="O129" s="91">
        <f t="shared" si="14"/>
        <v>1.5</v>
      </c>
      <c r="P129" s="18">
        <v>44867</v>
      </c>
      <c r="Q129" s="18">
        <v>44869</v>
      </c>
      <c r="R129" s="19">
        <v>1</v>
      </c>
      <c r="S129" s="19">
        <v>1</v>
      </c>
      <c r="T129" s="19">
        <v>1</v>
      </c>
      <c r="U129" s="20">
        <f>IF(ISBLANK(Table1[[#This Row],[OHC Date]]),$B$7-Table1[[#This Row],[HOC Date]]+1,Table1[[#This Row],[OHC Date]]-Table1[[#This Row],[HOC Date]]+1)/7</f>
        <v>0.42857142857142855</v>
      </c>
      <c r="V129" s="21">
        <v>36.520000000000003</v>
      </c>
      <c r="W129" s="21">
        <v>2.94</v>
      </c>
      <c r="X129" s="21">
        <f>ROUND(0.7*Table1[[#This Row],[E&amp;D Rate per unit]]*R129*Table1[[#This Row],[Quantity]],2)</f>
        <v>38.35</v>
      </c>
      <c r="Y129" s="21">
        <f t="shared" si="15"/>
        <v>1.89</v>
      </c>
      <c r="Z129" s="21">
        <f>ROUND(0.3*T129*Table1[[#This Row],[E&amp;D Rate per unit]]*Table1[[#This Row],[Quantity]],2)</f>
        <v>16.43</v>
      </c>
      <c r="AA129" s="21">
        <v>56.67</v>
      </c>
      <c r="AB129" s="138"/>
      <c r="AC129" s="138">
        <v>56.67</v>
      </c>
      <c r="AD129" s="136"/>
      <c r="AE129" s="154"/>
      <c r="AF129" s="161">
        <f>Table1[[#This Row],[Certified Amount (Cum)]]-Table1[[#This Row],[Certified Amount (Previous)]]</f>
        <v>56.67</v>
      </c>
      <c r="AG129" s="160">
        <f t="shared" si="9"/>
        <v>56.67</v>
      </c>
      <c r="AH129" s="158">
        <f>Table1[[#This Row],[Certified Amount (Cum)]]-Table1[[#This Row],[Total Amount]]</f>
        <v>0</v>
      </c>
      <c r="AK129" s="167">
        <f>Table1[[#This Row],[E&amp;D Rate per unit]]+Table1[[#This Row],[Hire Rate per week]]</f>
        <v>39.46</v>
      </c>
      <c r="AL129" s="8">
        <f>SUM(Table1[[#This Row],[Erect Charges]:[Dismantle Charges]])</f>
        <v>56.67</v>
      </c>
    </row>
    <row r="130" spans="1:38" ht="30" customHeight="1" x14ac:dyDescent="0.3">
      <c r="A130" s="90" t="s">
        <v>91</v>
      </c>
      <c r="B130" s="90" t="s">
        <v>99</v>
      </c>
      <c r="C130" s="147">
        <v>46</v>
      </c>
      <c r="D130" s="16">
        <v>77694</v>
      </c>
      <c r="E130" s="16"/>
      <c r="F130" s="17" t="s">
        <v>327</v>
      </c>
      <c r="G130" s="17" t="s">
        <v>228</v>
      </c>
      <c r="H130" s="16" t="s">
        <v>222</v>
      </c>
      <c r="I130" s="16">
        <v>1</v>
      </c>
      <c r="J130" s="16">
        <v>2.5</v>
      </c>
      <c r="K130" s="16">
        <v>1.3</v>
      </c>
      <c r="L130" s="16">
        <v>4</v>
      </c>
      <c r="M130" s="16">
        <v>1</v>
      </c>
      <c r="N130" s="91" t="s">
        <v>223</v>
      </c>
      <c r="O130" s="91">
        <f t="shared" si="14"/>
        <v>4</v>
      </c>
      <c r="P130" s="18">
        <v>44868</v>
      </c>
      <c r="Q130" s="18"/>
      <c r="R130" s="19">
        <v>1</v>
      </c>
      <c r="S130" s="19">
        <v>1</v>
      </c>
      <c r="T130" s="19">
        <v>0</v>
      </c>
      <c r="U130" s="20">
        <f>IF(ISBLANK(Table1[[#This Row],[OHC Date]]),$B$7-Table1[[#This Row],[HOC Date]]+1,Table1[[#This Row],[OHC Date]]-Table1[[#This Row],[HOC Date]]+1)/7</f>
        <v>3.2857142857142856</v>
      </c>
      <c r="V130" s="21">
        <v>63.34</v>
      </c>
      <c r="W130" s="21">
        <v>7.28</v>
      </c>
      <c r="X130" s="21">
        <f>ROUND(0.7*Table1[[#This Row],[E&amp;D Rate per unit]]*R130*Table1[[#This Row],[Quantity]],2)</f>
        <v>177.35</v>
      </c>
      <c r="Y130" s="21">
        <f t="shared" si="15"/>
        <v>95.68</v>
      </c>
      <c r="Z130" s="21">
        <f>ROUND(0.3*T130*Table1[[#This Row],[E&amp;D Rate per unit]]*Table1[[#This Row],[Quantity]],2)</f>
        <v>0</v>
      </c>
      <c r="AA130" s="21">
        <v>273.02999999999997</v>
      </c>
      <c r="AB130" s="138"/>
      <c r="AC130" s="138">
        <v>273.02999999999997</v>
      </c>
      <c r="AD130" s="136"/>
      <c r="AE130" s="154"/>
      <c r="AF130" s="161">
        <f>Table1[[#This Row],[Certified Amount (Cum)]]-Table1[[#This Row],[Certified Amount (Previous)]]</f>
        <v>273.02999999999997</v>
      </c>
      <c r="AG130" s="160">
        <f t="shared" si="9"/>
        <v>273.02999999999997</v>
      </c>
      <c r="AH130" s="158">
        <f>Table1[[#This Row],[Certified Amount (Cum)]]-Table1[[#This Row],[Total Amount]]</f>
        <v>0</v>
      </c>
      <c r="AK130" s="167">
        <f>Table1[[#This Row],[E&amp;D Rate per unit]]+Table1[[#This Row],[Hire Rate per week]]</f>
        <v>70.62</v>
      </c>
      <c r="AL130" s="8">
        <f>SUM(Table1[[#This Row],[Erect Charges]:[Dismantle Charges]])</f>
        <v>273.02999999999997</v>
      </c>
    </row>
    <row r="131" spans="1:38" ht="30" customHeight="1" x14ac:dyDescent="0.3">
      <c r="A131" s="90" t="s">
        <v>91</v>
      </c>
      <c r="B131" s="90" t="s">
        <v>99</v>
      </c>
      <c r="C131" s="147">
        <v>46</v>
      </c>
      <c r="D131" s="16">
        <v>77694</v>
      </c>
      <c r="E131" s="16"/>
      <c r="F131" s="17" t="s">
        <v>327</v>
      </c>
      <c r="G131" s="17" t="s">
        <v>228</v>
      </c>
      <c r="H131" s="16" t="s">
        <v>178</v>
      </c>
      <c r="I131" s="16">
        <v>1</v>
      </c>
      <c r="J131" s="16">
        <v>2.5</v>
      </c>
      <c r="K131" s="16">
        <v>1.3</v>
      </c>
      <c r="L131" s="16">
        <v>1</v>
      </c>
      <c r="M131" s="16">
        <v>1</v>
      </c>
      <c r="N131" s="91" t="s">
        <v>162</v>
      </c>
      <c r="O131" s="91">
        <f t="shared" ref="O131" si="16">ROUND(IF(N131="m3",I131*J131*K131*L131,IF(N131="m2-LxH",I131*J131*L131,IF(N131="m2-LxW",I131*J131*K131,IF(N131="rm",I131*L131,IF(N131="lm",I131*J131,IF(N131="unit",I131,"NA")))))),2)</f>
        <v>3.25</v>
      </c>
      <c r="P131" s="18">
        <v>44868</v>
      </c>
      <c r="Q131" s="18"/>
      <c r="R131" s="19">
        <v>1</v>
      </c>
      <c r="S131" s="19">
        <v>1</v>
      </c>
      <c r="T131" s="19">
        <v>0</v>
      </c>
      <c r="U131" s="20">
        <f>IF(ISBLANK(Table1[[#This Row],[OHC Date]]),$B$7-Table1[[#This Row],[HOC Date]]+1,Table1[[#This Row],[OHC Date]]-Table1[[#This Row],[HOC Date]]+1)/7</f>
        <v>3.2857142857142856</v>
      </c>
      <c r="V131" s="21">
        <v>6.63</v>
      </c>
      <c r="W131" s="21">
        <v>0.7</v>
      </c>
      <c r="X131" s="21">
        <f>ROUND(0.7*Table1[[#This Row],[E&amp;D Rate per unit]]*R131*Table1[[#This Row],[Quantity]],2)</f>
        <v>15.08</v>
      </c>
      <c r="Y131" s="21">
        <f t="shared" ref="Y131" si="17">ROUND(O131*U131*W131*S131,2)</f>
        <v>7.48</v>
      </c>
      <c r="Z131" s="21">
        <f>ROUND(0.3*T131*Table1[[#This Row],[E&amp;D Rate per unit]]*Table1[[#This Row],[Quantity]],2)</f>
        <v>0</v>
      </c>
      <c r="AA131" s="21">
        <v>22.56</v>
      </c>
      <c r="AB131" s="138"/>
      <c r="AC131" s="138">
        <v>22.56</v>
      </c>
      <c r="AD131" s="136"/>
      <c r="AE131" s="154"/>
      <c r="AF131" s="161">
        <f>Table1[[#This Row],[Certified Amount (Cum)]]-Table1[[#This Row],[Certified Amount (Previous)]]</f>
        <v>22.560000000000002</v>
      </c>
      <c r="AG131" s="160">
        <f t="shared" si="9"/>
        <v>22.560000000000002</v>
      </c>
      <c r="AH131" s="158">
        <f>Table1[[#This Row],[Certified Amount (Cum)]]-Table1[[#This Row],[Total Amount]]</f>
        <v>0</v>
      </c>
      <c r="AK131" s="167">
        <f>Table1[[#This Row],[E&amp;D Rate per unit]]+Table1[[#This Row],[Hire Rate per week]]</f>
        <v>7.33</v>
      </c>
      <c r="AL131" s="8">
        <f>SUM(Table1[[#This Row],[Erect Charges]:[Dismantle Charges]])</f>
        <v>22.560000000000002</v>
      </c>
    </row>
    <row r="132" spans="1:38" ht="30" customHeight="1" x14ac:dyDescent="0.3">
      <c r="A132" s="90" t="s">
        <v>91</v>
      </c>
      <c r="B132" s="90" t="s">
        <v>99</v>
      </c>
      <c r="C132" s="145">
        <v>47</v>
      </c>
      <c r="D132" s="108">
        <v>77695</v>
      </c>
      <c r="E132" s="108"/>
      <c r="F132" s="109" t="s">
        <v>318</v>
      </c>
      <c r="G132" s="17" t="s">
        <v>228</v>
      </c>
      <c r="H132" s="108" t="s">
        <v>222</v>
      </c>
      <c r="I132" s="108">
        <v>1</v>
      </c>
      <c r="J132" s="108">
        <v>2.5</v>
      </c>
      <c r="K132" s="108">
        <v>1.5</v>
      </c>
      <c r="L132" s="108">
        <v>3</v>
      </c>
      <c r="M132" s="108">
        <v>1</v>
      </c>
      <c r="N132" s="110" t="s">
        <v>223</v>
      </c>
      <c r="O132" s="110">
        <f t="shared" ref="O132:O171" si="18">ROUND(IF(N132="m3",I132*J132*K132*L132,IF(N132="m2-LxH",I132*J132*L132,IF(N132="m2-LxW",I132*J132*K132,IF(N132="rm",I132*L132,IF(N132="lm",I132*J132,IF(N132="unit",I132,"NA")))))),2)</f>
        <v>3</v>
      </c>
      <c r="P132" s="18">
        <v>44868</v>
      </c>
      <c r="Q132" s="124"/>
      <c r="R132" s="111">
        <v>1</v>
      </c>
      <c r="S132" s="111">
        <v>1</v>
      </c>
      <c r="T132" s="111">
        <v>0</v>
      </c>
      <c r="U132" s="112">
        <f>IF(ISBLANK(Table1[[#This Row],[OHC Date]]),$B$7-Table1[[#This Row],[HOC Date]]+1,Table1[[#This Row],[OHC Date]]-Table1[[#This Row],[HOC Date]]+1)/7</f>
        <v>3.2857142857142856</v>
      </c>
      <c r="V132" s="113">
        <v>63.34</v>
      </c>
      <c r="W132" s="113">
        <v>7.28</v>
      </c>
      <c r="X132" s="113">
        <f>ROUND(0.7*Table1[[#This Row],[E&amp;D Rate per unit]]*R132*Table1[[#This Row],[Quantity]],2)</f>
        <v>133.01</v>
      </c>
      <c r="Y132" s="113">
        <f t="shared" ref="Y132:Y171" si="19">ROUND(O132*U132*W132*S132,2)</f>
        <v>71.760000000000005</v>
      </c>
      <c r="Z132" s="113">
        <f>ROUND(0.3*T132*Table1[[#This Row],[E&amp;D Rate per unit]]*Table1[[#This Row],[Quantity]],2)</f>
        <v>0</v>
      </c>
      <c r="AA132" s="113">
        <v>204.77</v>
      </c>
      <c r="AB132" s="135"/>
      <c r="AC132" s="135">
        <v>204.77</v>
      </c>
      <c r="AD132" s="114"/>
      <c r="AE132" s="154"/>
      <c r="AF132" s="161">
        <f>Table1[[#This Row],[Certified Amount (Cum)]]-Table1[[#This Row],[Certified Amount (Previous)]]</f>
        <v>204.76999999999998</v>
      </c>
      <c r="AG132" s="160">
        <f t="shared" si="9"/>
        <v>204.76999999999998</v>
      </c>
      <c r="AH132" s="158">
        <f>Table1[[#This Row],[Certified Amount (Cum)]]-Table1[[#This Row],[Total Amount]]</f>
        <v>0</v>
      </c>
      <c r="AK132" s="167">
        <f>Table1[[#This Row],[E&amp;D Rate per unit]]+Table1[[#This Row],[Hire Rate per week]]</f>
        <v>70.62</v>
      </c>
      <c r="AL132" s="8">
        <f>SUM(Table1[[#This Row],[Erect Charges]:[Dismantle Charges]])</f>
        <v>204.76999999999998</v>
      </c>
    </row>
    <row r="133" spans="1:38" ht="30" customHeight="1" x14ac:dyDescent="0.3">
      <c r="A133" s="90" t="s">
        <v>91</v>
      </c>
      <c r="B133" s="90" t="s">
        <v>99</v>
      </c>
      <c r="C133" s="145">
        <v>48</v>
      </c>
      <c r="D133" s="108">
        <v>77696</v>
      </c>
      <c r="E133" s="108">
        <v>80526</v>
      </c>
      <c r="F133" s="109" t="s">
        <v>328</v>
      </c>
      <c r="G133" s="17" t="s">
        <v>202</v>
      </c>
      <c r="H133" s="108" t="s">
        <v>121</v>
      </c>
      <c r="I133" s="108">
        <v>1</v>
      </c>
      <c r="J133" s="108">
        <v>11.8</v>
      </c>
      <c r="K133" s="108">
        <v>3.8</v>
      </c>
      <c r="L133" s="108">
        <v>3.5</v>
      </c>
      <c r="M133" s="108">
        <v>1</v>
      </c>
      <c r="N133" s="110" t="s">
        <v>226</v>
      </c>
      <c r="O133" s="110">
        <f t="shared" si="18"/>
        <v>156.94</v>
      </c>
      <c r="P133" s="18">
        <v>44868</v>
      </c>
      <c r="Q133" s="124">
        <v>44882</v>
      </c>
      <c r="R133" s="111">
        <v>1</v>
      </c>
      <c r="S133" s="111">
        <v>1</v>
      </c>
      <c r="T133" s="111">
        <v>1</v>
      </c>
      <c r="U133" s="112">
        <f>IF(ISBLANK(Table1[[#This Row],[OHC Date]]),$B$7-Table1[[#This Row],[HOC Date]]+1,Table1[[#This Row],[OHC Date]]-Table1[[#This Row],[HOC Date]]+1)/7</f>
        <v>2.1428571428571428</v>
      </c>
      <c r="V133" s="113">
        <v>7.08</v>
      </c>
      <c r="W133" s="113">
        <v>0.49</v>
      </c>
      <c r="X133" s="113">
        <f>ROUND(0.7*Table1[[#This Row],[E&amp;D Rate per unit]]*R133*Table1[[#This Row],[Quantity]],2)</f>
        <v>777.79</v>
      </c>
      <c r="Y133" s="113">
        <f t="shared" si="19"/>
        <v>164.79</v>
      </c>
      <c r="Z133" s="113">
        <f>ROUND(0.3*T133*Table1[[#This Row],[E&amp;D Rate per unit]]*Table1[[#This Row],[Quantity]],2)</f>
        <v>333.34</v>
      </c>
      <c r="AA133" s="113">
        <v>1275.92</v>
      </c>
      <c r="AB133" s="135"/>
      <c r="AC133" s="135">
        <v>1275.92</v>
      </c>
      <c r="AD133" s="114"/>
      <c r="AE133" s="154"/>
      <c r="AF133" s="161">
        <f>Table1[[#This Row],[Certified Amount (Cum)]]-Table1[[#This Row],[Certified Amount (Previous)]]</f>
        <v>1275.9199999999998</v>
      </c>
      <c r="AG133" s="160">
        <f t="shared" si="9"/>
        <v>1275.9199999999998</v>
      </c>
      <c r="AH133" s="158">
        <f>Table1[[#This Row],[Certified Amount (Cum)]]-Table1[[#This Row],[Total Amount]]</f>
        <v>0</v>
      </c>
      <c r="AK133" s="167">
        <f>Table1[[#This Row],[E&amp;D Rate per unit]]+Table1[[#This Row],[Hire Rate per week]]</f>
        <v>7.57</v>
      </c>
      <c r="AL133" s="8">
        <f>SUM(Table1[[#This Row],[Erect Charges]:[Dismantle Charges]])</f>
        <v>1275.9199999999998</v>
      </c>
    </row>
    <row r="134" spans="1:38" ht="30" customHeight="1" x14ac:dyDescent="0.3">
      <c r="A134" s="90" t="s">
        <v>91</v>
      </c>
      <c r="B134" s="90" t="s">
        <v>99</v>
      </c>
      <c r="C134" s="145">
        <v>49</v>
      </c>
      <c r="D134" s="108">
        <v>77697</v>
      </c>
      <c r="E134" s="108">
        <v>80508</v>
      </c>
      <c r="F134" s="109" t="s">
        <v>329</v>
      </c>
      <c r="G134" s="17" t="s">
        <v>228</v>
      </c>
      <c r="H134" s="108" t="s">
        <v>222</v>
      </c>
      <c r="I134" s="108">
        <v>1</v>
      </c>
      <c r="J134" s="108">
        <v>2.5</v>
      </c>
      <c r="K134" s="108">
        <v>1.3</v>
      </c>
      <c r="L134" s="108">
        <v>4.2</v>
      </c>
      <c r="M134" s="108">
        <v>1</v>
      </c>
      <c r="N134" s="110" t="s">
        <v>223</v>
      </c>
      <c r="O134" s="110">
        <f t="shared" si="18"/>
        <v>4.2</v>
      </c>
      <c r="P134" s="18">
        <v>44868</v>
      </c>
      <c r="Q134" s="124">
        <v>44877</v>
      </c>
      <c r="R134" s="111">
        <v>1</v>
      </c>
      <c r="S134" s="111">
        <v>1</v>
      </c>
      <c r="T134" s="111">
        <v>1</v>
      </c>
      <c r="U134" s="112">
        <f>IF(ISBLANK(Table1[[#This Row],[OHC Date]]),$B$7-Table1[[#This Row],[HOC Date]]+1,Table1[[#This Row],[OHC Date]]-Table1[[#This Row],[HOC Date]]+1)/7</f>
        <v>1.4285714285714286</v>
      </c>
      <c r="V134" s="113">
        <v>63.34</v>
      </c>
      <c r="W134" s="113">
        <v>7.28</v>
      </c>
      <c r="X134" s="113">
        <f>ROUND(0.7*Table1[[#This Row],[E&amp;D Rate per unit]]*R134*Table1[[#This Row],[Quantity]],2)</f>
        <v>186.22</v>
      </c>
      <c r="Y134" s="113">
        <f t="shared" si="19"/>
        <v>43.68</v>
      </c>
      <c r="Z134" s="113">
        <f>ROUND(0.3*T134*Table1[[#This Row],[E&amp;D Rate per unit]]*Table1[[#This Row],[Quantity]],2)</f>
        <v>79.81</v>
      </c>
      <c r="AA134" s="113">
        <v>309.70999999999998</v>
      </c>
      <c r="AB134" s="135"/>
      <c r="AC134" s="135">
        <v>309.70999999999998</v>
      </c>
      <c r="AD134" s="114"/>
      <c r="AE134" s="154"/>
      <c r="AF134" s="161">
        <f>Table1[[#This Row],[Certified Amount (Cum)]]-Table1[[#This Row],[Certified Amount (Previous)]]</f>
        <v>309.71000000000004</v>
      </c>
      <c r="AG134" s="160">
        <f t="shared" si="9"/>
        <v>309.71000000000004</v>
      </c>
      <c r="AH134" s="158">
        <f>Table1[[#This Row],[Certified Amount (Cum)]]-Table1[[#This Row],[Total Amount]]</f>
        <v>0</v>
      </c>
      <c r="AK134" s="167">
        <f>Table1[[#This Row],[E&amp;D Rate per unit]]+Table1[[#This Row],[Hire Rate per week]]</f>
        <v>70.62</v>
      </c>
      <c r="AL134" s="8">
        <f>SUM(Table1[[#This Row],[Erect Charges]:[Dismantle Charges]])</f>
        <v>309.71000000000004</v>
      </c>
    </row>
    <row r="135" spans="1:38" ht="30" customHeight="1" x14ac:dyDescent="0.3">
      <c r="A135" s="90" t="s">
        <v>91</v>
      </c>
      <c r="B135" s="90" t="s">
        <v>99</v>
      </c>
      <c r="C135" s="145">
        <v>49</v>
      </c>
      <c r="D135" s="108">
        <v>77697</v>
      </c>
      <c r="E135" s="108">
        <v>80508</v>
      </c>
      <c r="F135" s="109" t="s">
        <v>329</v>
      </c>
      <c r="G135" s="17" t="s">
        <v>228</v>
      </c>
      <c r="H135" s="108" t="s">
        <v>178</v>
      </c>
      <c r="I135" s="108">
        <v>1</v>
      </c>
      <c r="J135" s="108">
        <v>2.5</v>
      </c>
      <c r="K135" s="108">
        <v>1.3</v>
      </c>
      <c r="L135" s="108">
        <v>1</v>
      </c>
      <c r="M135" s="108">
        <v>1</v>
      </c>
      <c r="N135" s="110" t="s">
        <v>162</v>
      </c>
      <c r="O135" s="110">
        <f t="shared" si="18"/>
        <v>3.25</v>
      </c>
      <c r="P135" s="18">
        <v>44868</v>
      </c>
      <c r="Q135" s="124">
        <v>44877</v>
      </c>
      <c r="R135" s="111">
        <v>1</v>
      </c>
      <c r="S135" s="111">
        <v>1</v>
      </c>
      <c r="T135" s="111">
        <v>1</v>
      </c>
      <c r="U135" s="112">
        <f>IF(ISBLANK(Table1[[#This Row],[OHC Date]]),$B$7-Table1[[#This Row],[HOC Date]]+1,Table1[[#This Row],[OHC Date]]-Table1[[#This Row],[HOC Date]]+1)/7</f>
        <v>1.4285714285714286</v>
      </c>
      <c r="V135" s="113">
        <v>6.63</v>
      </c>
      <c r="W135" s="113">
        <v>0.7</v>
      </c>
      <c r="X135" s="113">
        <f>ROUND(0.7*Table1[[#This Row],[E&amp;D Rate per unit]]*R135*Table1[[#This Row],[Quantity]],2)</f>
        <v>15.08</v>
      </c>
      <c r="Y135" s="113">
        <f t="shared" si="19"/>
        <v>3.25</v>
      </c>
      <c r="Z135" s="113">
        <f>ROUND(0.3*T135*Table1[[#This Row],[E&amp;D Rate per unit]]*Table1[[#This Row],[Quantity]],2)</f>
        <v>6.46</v>
      </c>
      <c r="AA135" s="113">
        <v>24.79</v>
      </c>
      <c r="AB135" s="135"/>
      <c r="AC135" s="135">
        <v>24.79</v>
      </c>
      <c r="AD135" s="114"/>
      <c r="AE135" s="154"/>
      <c r="AF135" s="161">
        <f>Table1[[#This Row],[Certified Amount (Cum)]]-Table1[[#This Row],[Certified Amount (Previous)]]</f>
        <v>24.79</v>
      </c>
      <c r="AG135" s="160">
        <f t="shared" si="9"/>
        <v>24.79</v>
      </c>
      <c r="AH135" s="158">
        <f>Table1[[#This Row],[Certified Amount (Cum)]]-Table1[[#This Row],[Total Amount]]</f>
        <v>0</v>
      </c>
      <c r="AK135" s="167">
        <f>Table1[[#This Row],[E&amp;D Rate per unit]]+Table1[[#This Row],[Hire Rate per week]]</f>
        <v>7.33</v>
      </c>
      <c r="AL135" s="8">
        <f>SUM(Table1[[#This Row],[Erect Charges]:[Dismantle Charges]])</f>
        <v>24.79</v>
      </c>
    </row>
    <row r="136" spans="1:38" ht="30" customHeight="1" x14ac:dyDescent="0.3">
      <c r="A136" s="90" t="s">
        <v>91</v>
      </c>
      <c r="B136" s="90" t="s">
        <v>99</v>
      </c>
      <c r="C136" s="145">
        <v>50</v>
      </c>
      <c r="D136" s="108">
        <v>77698</v>
      </c>
      <c r="E136" s="108">
        <v>80529</v>
      </c>
      <c r="F136" s="109" t="s">
        <v>328</v>
      </c>
      <c r="G136" s="17" t="s">
        <v>202</v>
      </c>
      <c r="H136" s="108" t="s">
        <v>222</v>
      </c>
      <c r="I136" s="108">
        <v>1</v>
      </c>
      <c r="J136" s="108">
        <v>2.5</v>
      </c>
      <c r="K136" s="108">
        <v>2.5</v>
      </c>
      <c r="L136" s="108">
        <v>3.5</v>
      </c>
      <c r="M136" s="108">
        <v>1</v>
      </c>
      <c r="N136" s="110" t="s">
        <v>223</v>
      </c>
      <c r="O136" s="110">
        <f t="shared" si="18"/>
        <v>3.5</v>
      </c>
      <c r="P136" s="18">
        <v>44868</v>
      </c>
      <c r="Q136" s="124">
        <v>44883</v>
      </c>
      <c r="R136" s="111">
        <v>1</v>
      </c>
      <c r="S136" s="111">
        <v>1</v>
      </c>
      <c r="T136" s="111">
        <v>1</v>
      </c>
      <c r="U136" s="112">
        <f>IF(ISBLANK(Table1[[#This Row],[OHC Date]]),$B$7-Table1[[#This Row],[HOC Date]]+1,Table1[[#This Row],[OHC Date]]-Table1[[#This Row],[HOC Date]]+1)/7</f>
        <v>2.2857142857142856</v>
      </c>
      <c r="V136" s="113">
        <v>63.34</v>
      </c>
      <c r="W136" s="113">
        <v>7.28</v>
      </c>
      <c r="X136" s="113">
        <f>ROUND(0.7*Table1[[#This Row],[E&amp;D Rate per unit]]*R136*Table1[[#This Row],[Quantity]],2)</f>
        <v>155.18</v>
      </c>
      <c r="Y136" s="113">
        <f t="shared" si="19"/>
        <v>58.24</v>
      </c>
      <c r="Z136" s="113">
        <f>ROUND(0.3*T136*Table1[[#This Row],[E&amp;D Rate per unit]]*Table1[[#This Row],[Quantity]],2)</f>
        <v>66.510000000000005</v>
      </c>
      <c r="AA136" s="113">
        <v>279.93</v>
      </c>
      <c r="AB136" s="135"/>
      <c r="AC136" s="135">
        <v>279.93</v>
      </c>
      <c r="AD136" s="114"/>
      <c r="AE136" s="154"/>
      <c r="AF136" s="161">
        <f>Table1[[#This Row],[Certified Amount (Cum)]]-Table1[[#This Row],[Certified Amount (Previous)]]</f>
        <v>279.93</v>
      </c>
      <c r="AG136" s="160">
        <f t="shared" si="9"/>
        <v>279.93</v>
      </c>
      <c r="AH136" s="158">
        <f>Table1[[#This Row],[Certified Amount (Cum)]]-Table1[[#This Row],[Total Amount]]</f>
        <v>0</v>
      </c>
      <c r="AK136" s="167">
        <f>Table1[[#This Row],[E&amp;D Rate per unit]]+Table1[[#This Row],[Hire Rate per week]]</f>
        <v>70.62</v>
      </c>
      <c r="AL136" s="8">
        <f>SUM(Table1[[#This Row],[Erect Charges]:[Dismantle Charges]])</f>
        <v>279.93</v>
      </c>
    </row>
    <row r="137" spans="1:38" ht="30" customHeight="1" x14ac:dyDescent="0.3">
      <c r="A137" s="90" t="s">
        <v>91</v>
      </c>
      <c r="B137" s="90" t="s">
        <v>99</v>
      </c>
      <c r="C137" s="145">
        <v>51</v>
      </c>
      <c r="D137" s="108">
        <v>77699</v>
      </c>
      <c r="E137" s="108">
        <v>80510</v>
      </c>
      <c r="F137" s="109" t="s">
        <v>328</v>
      </c>
      <c r="G137" s="17" t="s">
        <v>202</v>
      </c>
      <c r="H137" s="108" t="s">
        <v>222</v>
      </c>
      <c r="I137" s="108">
        <v>1</v>
      </c>
      <c r="J137" s="108">
        <v>2.5</v>
      </c>
      <c r="K137" s="108">
        <v>2.5</v>
      </c>
      <c r="L137" s="108">
        <v>3.5</v>
      </c>
      <c r="M137" s="108">
        <v>1</v>
      </c>
      <c r="N137" s="110" t="s">
        <v>223</v>
      </c>
      <c r="O137" s="110">
        <f t="shared" si="18"/>
        <v>3.5</v>
      </c>
      <c r="P137" s="18">
        <v>44868</v>
      </c>
      <c r="Q137" s="124">
        <v>44876</v>
      </c>
      <c r="R137" s="111">
        <v>1</v>
      </c>
      <c r="S137" s="111">
        <v>1</v>
      </c>
      <c r="T137" s="111">
        <v>1</v>
      </c>
      <c r="U137" s="112">
        <f>IF(ISBLANK(Table1[[#This Row],[OHC Date]]),$B$7-Table1[[#This Row],[HOC Date]]+1,Table1[[#This Row],[OHC Date]]-Table1[[#This Row],[HOC Date]]+1)/7</f>
        <v>1.2857142857142858</v>
      </c>
      <c r="V137" s="113">
        <v>63.34</v>
      </c>
      <c r="W137" s="113">
        <v>7.28</v>
      </c>
      <c r="X137" s="113">
        <f>ROUND(0.7*Table1[[#This Row],[E&amp;D Rate per unit]]*R137*Table1[[#This Row],[Quantity]],2)</f>
        <v>155.18</v>
      </c>
      <c r="Y137" s="113">
        <f t="shared" si="19"/>
        <v>32.76</v>
      </c>
      <c r="Z137" s="113">
        <f>ROUND(0.3*T137*Table1[[#This Row],[E&amp;D Rate per unit]]*Table1[[#This Row],[Quantity]],2)</f>
        <v>66.510000000000005</v>
      </c>
      <c r="AA137" s="113">
        <v>254.45</v>
      </c>
      <c r="AB137" s="135"/>
      <c r="AC137" s="135">
        <v>254.45</v>
      </c>
      <c r="AD137" s="114"/>
      <c r="AE137" s="154"/>
      <c r="AF137" s="161">
        <f>Table1[[#This Row],[Certified Amount (Cum)]]-Table1[[#This Row],[Certified Amount (Previous)]]</f>
        <v>254.45</v>
      </c>
      <c r="AG137" s="160">
        <f t="shared" si="9"/>
        <v>254.45</v>
      </c>
      <c r="AH137" s="158">
        <f>Table1[[#This Row],[Certified Amount (Cum)]]-Table1[[#This Row],[Total Amount]]</f>
        <v>0</v>
      </c>
      <c r="AK137" s="167">
        <f>Table1[[#This Row],[E&amp;D Rate per unit]]+Table1[[#This Row],[Hire Rate per week]]</f>
        <v>70.62</v>
      </c>
      <c r="AL137" s="8">
        <f>SUM(Table1[[#This Row],[Erect Charges]:[Dismantle Charges]])</f>
        <v>254.45</v>
      </c>
    </row>
    <row r="138" spans="1:38" ht="30" customHeight="1" x14ac:dyDescent="0.3">
      <c r="A138" s="90" t="s">
        <v>91</v>
      </c>
      <c r="B138" s="90" t="s">
        <v>99</v>
      </c>
      <c r="C138" s="145" t="s">
        <v>330</v>
      </c>
      <c r="D138" s="108">
        <v>77700</v>
      </c>
      <c r="E138" s="108"/>
      <c r="F138" s="109" t="s">
        <v>240</v>
      </c>
      <c r="G138" s="17" t="s">
        <v>192</v>
      </c>
      <c r="H138" s="108" t="s">
        <v>128</v>
      </c>
      <c r="I138" s="108">
        <v>1</v>
      </c>
      <c r="J138" s="108">
        <v>9</v>
      </c>
      <c r="K138" s="108">
        <v>0.25</v>
      </c>
      <c r="L138" s="108">
        <v>1</v>
      </c>
      <c r="M138" s="108">
        <v>2</v>
      </c>
      <c r="N138" s="110" t="s">
        <v>162</v>
      </c>
      <c r="O138" s="110">
        <f t="shared" si="18"/>
        <v>2.25</v>
      </c>
      <c r="P138" s="18">
        <v>44868</v>
      </c>
      <c r="Q138" s="124"/>
      <c r="R138" s="111">
        <v>1</v>
      </c>
      <c r="S138" s="111">
        <v>1</v>
      </c>
      <c r="T138" s="111">
        <v>0</v>
      </c>
      <c r="U138" s="112">
        <f>IF(ISBLANK(Table1[[#This Row],[OHC Date]]),$B$7-Table1[[#This Row],[HOC Date]]+1,Table1[[#This Row],[OHC Date]]-Table1[[#This Row],[HOC Date]]+1)/7</f>
        <v>3.2857142857142856</v>
      </c>
      <c r="V138" s="113">
        <v>32.75</v>
      </c>
      <c r="W138" s="113">
        <v>1.05</v>
      </c>
      <c r="X138" s="113">
        <f>ROUND(0.7*Table1[[#This Row],[E&amp;D Rate per unit]]*R138*Table1[[#This Row],[Quantity]],2)</f>
        <v>51.58</v>
      </c>
      <c r="Y138" s="113">
        <f t="shared" si="19"/>
        <v>7.76</v>
      </c>
      <c r="Z138" s="113">
        <f>ROUND(0.3*T138*Table1[[#This Row],[E&amp;D Rate per unit]]*Table1[[#This Row],[Quantity]],2)</f>
        <v>0</v>
      </c>
      <c r="AA138" s="113">
        <v>59.34</v>
      </c>
      <c r="AB138" s="135"/>
      <c r="AC138" s="135">
        <v>59.34</v>
      </c>
      <c r="AD138" s="114"/>
      <c r="AE138" s="154"/>
      <c r="AF138" s="161">
        <f>Table1[[#This Row],[Certified Amount (Cum)]]-Table1[[#This Row],[Certified Amount (Previous)]]</f>
        <v>59.339999999999996</v>
      </c>
      <c r="AG138" s="160">
        <f t="shared" ref="AG138:AG201" si="20">SUM(X138,Y138,Z138)</f>
        <v>59.339999999999996</v>
      </c>
      <c r="AH138" s="158">
        <f>Table1[[#This Row],[Certified Amount (Cum)]]-Table1[[#This Row],[Total Amount]]</f>
        <v>0</v>
      </c>
      <c r="AK138" s="167">
        <f>Table1[[#This Row],[E&amp;D Rate per unit]]+Table1[[#This Row],[Hire Rate per week]]</f>
        <v>33.799999999999997</v>
      </c>
      <c r="AL138" s="8">
        <f>SUM(Table1[[#This Row],[Erect Charges]:[Dismantle Charges]])</f>
        <v>59.339999999999996</v>
      </c>
    </row>
    <row r="139" spans="1:38" ht="30" customHeight="1" x14ac:dyDescent="0.3">
      <c r="A139" s="90" t="s">
        <v>91</v>
      </c>
      <c r="B139" s="90" t="s">
        <v>99</v>
      </c>
      <c r="C139" s="145" t="s">
        <v>331</v>
      </c>
      <c r="D139" s="108">
        <v>77551</v>
      </c>
      <c r="E139" s="108">
        <v>76791</v>
      </c>
      <c r="F139" s="109" t="s">
        <v>240</v>
      </c>
      <c r="G139" s="17" t="s">
        <v>161</v>
      </c>
      <c r="H139" s="108" t="s">
        <v>129</v>
      </c>
      <c r="I139" s="108">
        <v>1</v>
      </c>
      <c r="J139" s="108">
        <v>10.8</v>
      </c>
      <c r="K139" s="108">
        <v>1</v>
      </c>
      <c r="L139" s="108">
        <v>1</v>
      </c>
      <c r="M139" s="108">
        <v>1</v>
      </c>
      <c r="N139" s="110" t="s">
        <v>162</v>
      </c>
      <c r="O139" s="110">
        <f t="shared" si="18"/>
        <v>10.8</v>
      </c>
      <c r="P139" s="18">
        <v>44868</v>
      </c>
      <c r="Q139" s="124">
        <v>44870</v>
      </c>
      <c r="R139" s="111">
        <v>1</v>
      </c>
      <c r="S139" s="111">
        <v>1</v>
      </c>
      <c r="T139" s="111">
        <v>1</v>
      </c>
      <c r="U139" s="112">
        <f>IF(ISBLANK(Table1[[#This Row],[OHC Date]]),$B$7-Table1[[#This Row],[HOC Date]]+1,Table1[[#This Row],[OHC Date]]-Table1[[#This Row],[HOC Date]]+1)/7</f>
        <v>0.42857142857142855</v>
      </c>
      <c r="V139" s="113">
        <v>36.520000000000003</v>
      </c>
      <c r="W139" s="113">
        <v>2.94</v>
      </c>
      <c r="X139" s="113">
        <f>ROUND(0.7*Table1[[#This Row],[E&amp;D Rate per unit]]*R139*Table1[[#This Row],[Quantity]],2)</f>
        <v>276.08999999999997</v>
      </c>
      <c r="Y139" s="113">
        <f t="shared" si="19"/>
        <v>13.61</v>
      </c>
      <c r="Z139" s="113">
        <f>ROUND(0.3*T139*Table1[[#This Row],[E&amp;D Rate per unit]]*Table1[[#This Row],[Quantity]],2)</f>
        <v>118.32</v>
      </c>
      <c r="AA139" s="113">
        <v>408.02</v>
      </c>
      <c r="AB139" s="135"/>
      <c r="AC139" s="135">
        <v>408.02</v>
      </c>
      <c r="AD139" s="114"/>
      <c r="AE139" s="154"/>
      <c r="AF139" s="161">
        <f>Table1[[#This Row],[Certified Amount (Cum)]]-Table1[[#This Row],[Certified Amount (Previous)]]</f>
        <v>408.02</v>
      </c>
      <c r="AG139" s="160">
        <f t="shared" si="20"/>
        <v>408.02</v>
      </c>
      <c r="AH139" s="158">
        <f>Table1[[#This Row],[Certified Amount (Cum)]]-Table1[[#This Row],[Total Amount]]</f>
        <v>0</v>
      </c>
      <c r="AK139" s="167">
        <f>Table1[[#This Row],[E&amp;D Rate per unit]]+Table1[[#This Row],[Hire Rate per week]]</f>
        <v>39.46</v>
      </c>
      <c r="AL139" s="8">
        <f>SUM(Table1[[#This Row],[Erect Charges]:[Dismantle Charges]])</f>
        <v>408.02</v>
      </c>
    </row>
    <row r="140" spans="1:38" ht="30" customHeight="1" x14ac:dyDescent="0.3">
      <c r="A140" s="90" t="s">
        <v>91</v>
      </c>
      <c r="B140" s="90" t="s">
        <v>99</v>
      </c>
      <c r="C140" s="145" t="s">
        <v>332</v>
      </c>
      <c r="D140" s="108">
        <v>77552</v>
      </c>
      <c r="E140" s="108">
        <v>76797</v>
      </c>
      <c r="F140" s="109" t="s">
        <v>333</v>
      </c>
      <c r="G140" s="17" t="s">
        <v>202</v>
      </c>
      <c r="H140" s="108" t="s">
        <v>222</v>
      </c>
      <c r="I140" s="108">
        <v>1</v>
      </c>
      <c r="J140" s="108">
        <v>1</v>
      </c>
      <c r="K140" s="108">
        <v>1</v>
      </c>
      <c r="L140" s="108">
        <v>1.5</v>
      </c>
      <c r="M140" s="108">
        <v>1</v>
      </c>
      <c r="N140" s="110" t="s">
        <v>223</v>
      </c>
      <c r="O140" s="110">
        <f t="shared" si="18"/>
        <v>1.5</v>
      </c>
      <c r="P140" s="18">
        <v>44868</v>
      </c>
      <c r="Q140" s="124">
        <v>44874</v>
      </c>
      <c r="R140" s="111">
        <v>1</v>
      </c>
      <c r="S140" s="111">
        <v>1</v>
      </c>
      <c r="T140" s="111">
        <v>1</v>
      </c>
      <c r="U140" s="112">
        <f>IF(ISBLANK(Table1[[#This Row],[OHC Date]]),$B$7-Table1[[#This Row],[HOC Date]]+1,Table1[[#This Row],[OHC Date]]-Table1[[#This Row],[HOC Date]]+1)/7</f>
        <v>1</v>
      </c>
      <c r="V140" s="113">
        <v>63.34</v>
      </c>
      <c r="W140" s="113">
        <v>7.28</v>
      </c>
      <c r="X140" s="113">
        <f>ROUND(0.7*Table1[[#This Row],[E&amp;D Rate per unit]]*R140*Table1[[#This Row],[Quantity]],2)</f>
        <v>66.510000000000005</v>
      </c>
      <c r="Y140" s="113">
        <f t="shared" si="19"/>
        <v>10.92</v>
      </c>
      <c r="Z140" s="113">
        <f>ROUND(0.3*T140*Table1[[#This Row],[E&amp;D Rate per unit]]*Table1[[#This Row],[Quantity]],2)</f>
        <v>28.5</v>
      </c>
      <c r="AA140" s="113">
        <v>105.93</v>
      </c>
      <c r="AB140" s="135"/>
      <c r="AC140" s="135">
        <v>105.93</v>
      </c>
      <c r="AD140" s="114"/>
      <c r="AE140" s="154"/>
      <c r="AF140" s="161">
        <f>Table1[[#This Row],[Certified Amount (Cum)]]-Table1[[#This Row],[Certified Amount (Previous)]]</f>
        <v>105.93</v>
      </c>
      <c r="AG140" s="160">
        <f t="shared" si="20"/>
        <v>105.93</v>
      </c>
      <c r="AH140" s="158">
        <f>Table1[[#This Row],[Certified Amount (Cum)]]-Table1[[#This Row],[Total Amount]]</f>
        <v>0</v>
      </c>
      <c r="AK140" s="167">
        <f>Table1[[#This Row],[E&amp;D Rate per unit]]+Table1[[#This Row],[Hire Rate per week]]</f>
        <v>70.62</v>
      </c>
      <c r="AL140" s="8">
        <f>SUM(Table1[[#This Row],[Erect Charges]:[Dismantle Charges]])</f>
        <v>105.93</v>
      </c>
    </row>
    <row r="141" spans="1:38" ht="30" customHeight="1" x14ac:dyDescent="0.3">
      <c r="A141" s="90" t="s">
        <v>91</v>
      </c>
      <c r="B141" s="90" t="s">
        <v>99</v>
      </c>
      <c r="C141" s="145" t="s">
        <v>334</v>
      </c>
      <c r="D141" s="108">
        <v>77553</v>
      </c>
      <c r="E141" s="108">
        <v>76798</v>
      </c>
      <c r="F141" s="109" t="s">
        <v>333</v>
      </c>
      <c r="G141" s="17" t="s">
        <v>202</v>
      </c>
      <c r="H141" s="108" t="s">
        <v>222</v>
      </c>
      <c r="I141" s="108">
        <v>1</v>
      </c>
      <c r="J141" s="108">
        <v>1</v>
      </c>
      <c r="K141" s="108">
        <v>1</v>
      </c>
      <c r="L141" s="108">
        <v>1.5</v>
      </c>
      <c r="M141" s="108">
        <v>1</v>
      </c>
      <c r="N141" s="110" t="s">
        <v>223</v>
      </c>
      <c r="O141" s="110">
        <f t="shared" si="18"/>
        <v>1.5</v>
      </c>
      <c r="P141" s="18">
        <v>44868</v>
      </c>
      <c r="Q141" s="124">
        <v>44874</v>
      </c>
      <c r="R141" s="111">
        <v>1</v>
      </c>
      <c r="S141" s="111">
        <v>1</v>
      </c>
      <c r="T141" s="111">
        <v>1</v>
      </c>
      <c r="U141" s="112">
        <f>IF(ISBLANK(Table1[[#This Row],[OHC Date]]),$B$7-Table1[[#This Row],[HOC Date]]+1,Table1[[#This Row],[OHC Date]]-Table1[[#This Row],[HOC Date]]+1)/7</f>
        <v>1</v>
      </c>
      <c r="V141" s="113">
        <v>63.34</v>
      </c>
      <c r="W141" s="113">
        <v>7.28</v>
      </c>
      <c r="X141" s="113">
        <f>ROUND(0.7*Table1[[#This Row],[E&amp;D Rate per unit]]*R141*Table1[[#This Row],[Quantity]],2)</f>
        <v>66.510000000000005</v>
      </c>
      <c r="Y141" s="113">
        <f t="shared" si="19"/>
        <v>10.92</v>
      </c>
      <c r="Z141" s="113">
        <f>ROUND(0.3*T141*Table1[[#This Row],[E&amp;D Rate per unit]]*Table1[[#This Row],[Quantity]],2)</f>
        <v>28.5</v>
      </c>
      <c r="AA141" s="113">
        <v>105.93</v>
      </c>
      <c r="AB141" s="135"/>
      <c r="AC141" s="135">
        <v>105.93</v>
      </c>
      <c r="AD141" s="114"/>
      <c r="AE141" s="154"/>
      <c r="AF141" s="161">
        <f>Table1[[#This Row],[Certified Amount (Cum)]]-Table1[[#This Row],[Certified Amount (Previous)]]</f>
        <v>105.93</v>
      </c>
      <c r="AG141" s="160">
        <f t="shared" si="20"/>
        <v>105.93</v>
      </c>
      <c r="AH141" s="158">
        <f>Table1[[#This Row],[Certified Amount (Cum)]]-Table1[[#This Row],[Total Amount]]</f>
        <v>0</v>
      </c>
      <c r="AK141" s="167">
        <f>Table1[[#This Row],[E&amp;D Rate per unit]]+Table1[[#This Row],[Hire Rate per week]]</f>
        <v>70.62</v>
      </c>
      <c r="AL141" s="8">
        <f>SUM(Table1[[#This Row],[Erect Charges]:[Dismantle Charges]])</f>
        <v>105.93</v>
      </c>
    </row>
    <row r="142" spans="1:38" ht="30" customHeight="1" x14ac:dyDescent="0.3">
      <c r="A142" s="90" t="s">
        <v>91</v>
      </c>
      <c r="B142" s="90" t="s">
        <v>99</v>
      </c>
      <c r="C142" s="145">
        <v>52</v>
      </c>
      <c r="D142" s="108">
        <v>77554</v>
      </c>
      <c r="E142" s="108">
        <v>80523</v>
      </c>
      <c r="F142" s="109" t="s">
        <v>328</v>
      </c>
      <c r="G142" s="17" t="s">
        <v>202</v>
      </c>
      <c r="H142" s="108" t="s">
        <v>222</v>
      </c>
      <c r="I142" s="108">
        <v>1</v>
      </c>
      <c r="J142" s="108">
        <v>2.5</v>
      </c>
      <c r="K142" s="108">
        <v>2.5</v>
      </c>
      <c r="L142" s="108">
        <v>3.5</v>
      </c>
      <c r="M142" s="108">
        <v>1</v>
      </c>
      <c r="N142" s="110" t="s">
        <v>223</v>
      </c>
      <c r="O142" s="110">
        <f t="shared" si="18"/>
        <v>3.5</v>
      </c>
      <c r="P142" s="18">
        <v>44869</v>
      </c>
      <c r="Q142" s="124">
        <v>44881</v>
      </c>
      <c r="R142" s="111">
        <v>1</v>
      </c>
      <c r="S142" s="111">
        <v>1</v>
      </c>
      <c r="T142" s="111">
        <v>1</v>
      </c>
      <c r="U142" s="112">
        <f>IF(ISBLANK(Table1[[#This Row],[OHC Date]]),$B$7-Table1[[#This Row],[HOC Date]]+1,Table1[[#This Row],[OHC Date]]-Table1[[#This Row],[HOC Date]]+1)/7</f>
        <v>1.8571428571428572</v>
      </c>
      <c r="V142" s="113">
        <v>63.34</v>
      </c>
      <c r="W142" s="113">
        <v>7.28</v>
      </c>
      <c r="X142" s="113">
        <f>ROUND(0.7*Table1[[#This Row],[E&amp;D Rate per unit]]*R142*Table1[[#This Row],[Quantity]],2)</f>
        <v>155.18</v>
      </c>
      <c r="Y142" s="113">
        <f t="shared" si="19"/>
        <v>47.32</v>
      </c>
      <c r="Z142" s="113">
        <f>ROUND(0.3*T142*Table1[[#This Row],[E&amp;D Rate per unit]]*Table1[[#This Row],[Quantity]],2)</f>
        <v>66.510000000000005</v>
      </c>
      <c r="AA142" s="113">
        <v>269.01</v>
      </c>
      <c r="AB142" s="135"/>
      <c r="AC142" s="135">
        <v>269.01</v>
      </c>
      <c r="AD142" s="114"/>
      <c r="AE142" s="154"/>
      <c r="AF142" s="161">
        <f>Table1[[#This Row],[Certified Amount (Cum)]]-Table1[[#This Row],[Certified Amount (Previous)]]</f>
        <v>269.01</v>
      </c>
      <c r="AG142" s="160">
        <f t="shared" si="20"/>
        <v>269.01</v>
      </c>
      <c r="AH142" s="158">
        <f>Table1[[#This Row],[Certified Amount (Cum)]]-Table1[[#This Row],[Total Amount]]</f>
        <v>0</v>
      </c>
      <c r="AK142" s="167">
        <f>Table1[[#This Row],[E&amp;D Rate per unit]]+Table1[[#This Row],[Hire Rate per week]]</f>
        <v>70.62</v>
      </c>
      <c r="AL142" s="8">
        <f>SUM(Table1[[#This Row],[Erect Charges]:[Dismantle Charges]])</f>
        <v>269.01</v>
      </c>
    </row>
    <row r="143" spans="1:38" ht="30" customHeight="1" x14ac:dyDescent="0.3">
      <c r="A143" s="90" t="s">
        <v>91</v>
      </c>
      <c r="B143" s="90" t="s">
        <v>99</v>
      </c>
      <c r="C143" s="145" t="s">
        <v>335</v>
      </c>
      <c r="D143" s="108">
        <v>77555</v>
      </c>
      <c r="E143" s="108">
        <v>80502</v>
      </c>
      <c r="F143" s="109" t="s">
        <v>336</v>
      </c>
      <c r="G143" s="17" t="s">
        <v>192</v>
      </c>
      <c r="H143" s="108" t="s">
        <v>129</v>
      </c>
      <c r="I143" s="108">
        <v>1</v>
      </c>
      <c r="J143" s="108">
        <v>2</v>
      </c>
      <c r="K143" s="108">
        <v>1.5</v>
      </c>
      <c r="L143" s="108">
        <v>1</v>
      </c>
      <c r="M143" s="108">
        <v>1</v>
      </c>
      <c r="N143" s="110" t="s">
        <v>162</v>
      </c>
      <c r="O143" s="110">
        <f t="shared" si="18"/>
        <v>3</v>
      </c>
      <c r="P143" s="18">
        <v>44869</v>
      </c>
      <c r="Q143" s="124">
        <v>44874</v>
      </c>
      <c r="R143" s="111">
        <v>1</v>
      </c>
      <c r="S143" s="111">
        <v>1</v>
      </c>
      <c r="T143" s="111">
        <v>1</v>
      </c>
      <c r="U143" s="112">
        <f>IF(ISBLANK(Table1[[#This Row],[OHC Date]]),$B$7-Table1[[#This Row],[HOC Date]]+1,Table1[[#This Row],[OHC Date]]-Table1[[#This Row],[HOC Date]]+1)/7</f>
        <v>0.8571428571428571</v>
      </c>
      <c r="V143" s="113">
        <v>36.520000000000003</v>
      </c>
      <c r="W143" s="113">
        <v>2.94</v>
      </c>
      <c r="X143" s="113">
        <f>ROUND(0.7*Table1[[#This Row],[E&amp;D Rate per unit]]*R143*Table1[[#This Row],[Quantity]],2)</f>
        <v>76.69</v>
      </c>
      <c r="Y143" s="113">
        <f t="shared" si="19"/>
        <v>7.56</v>
      </c>
      <c r="Z143" s="113">
        <f>ROUND(0.3*T143*Table1[[#This Row],[E&amp;D Rate per unit]]*Table1[[#This Row],[Quantity]],2)</f>
        <v>32.869999999999997</v>
      </c>
      <c r="AA143" s="113">
        <v>117.12</v>
      </c>
      <c r="AB143" s="135"/>
      <c r="AC143" s="135">
        <v>117.12</v>
      </c>
      <c r="AD143" s="114"/>
      <c r="AE143" s="154"/>
      <c r="AF143" s="161">
        <f>Table1[[#This Row],[Certified Amount (Cum)]]-Table1[[#This Row],[Certified Amount (Previous)]]</f>
        <v>117.12</v>
      </c>
      <c r="AG143" s="160">
        <f t="shared" si="20"/>
        <v>117.12</v>
      </c>
      <c r="AH143" s="158">
        <f>Table1[[#This Row],[Certified Amount (Cum)]]-Table1[[#This Row],[Total Amount]]</f>
        <v>0</v>
      </c>
      <c r="AK143" s="167">
        <f>Table1[[#This Row],[E&amp;D Rate per unit]]+Table1[[#This Row],[Hire Rate per week]]</f>
        <v>39.46</v>
      </c>
      <c r="AL143" s="8">
        <f>SUM(Table1[[#This Row],[Erect Charges]:[Dismantle Charges]])</f>
        <v>117.12</v>
      </c>
    </row>
    <row r="144" spans="1:38" ht="30" customHeight="1" x14ac:dyDescent="0.3">
      <c r="A144" s="90" t="s">
        <v>91</v>
      </c>
      <c r="B144" s="90" t="s">
        <v>99</v>
      </c>
      <c r="C144" s="145">
        <v>53</v>
      </c>
      <c r="D144" s="108">
        <v>77556</v>
      </c>
      <c r="E144" s="108">
        <v>80511</v>
      </c>
      <c r="F144" s="109" t="s">
        <v>338</v>
      </c>
      <c r="G144" s="17" t="s">
        <v>339</v>
      </c>
      <c r="H144" s="108" t="s">
        <v>290</v>
      </c>
      <c r="I144" s="108">
        <v>1</v>
      </c>
      <c r="J144" s="108">
        <v>2.5</v>
      </c>
      <c r="K144" s="108">
        <v>1.8</v>
      </c>
      <c r="L144" s="108">
        <v>2</v>
      </c>
      <c r="M144" s="108"/>
      <c r="N144" s="110" t="s">
        <v>226</v>
      </c>
      <c r="O144" s="110">
        <f t="shared" si="18"/>
        <v>9</v>
      </c>
      <c r="P144" s="18">
        <v>44869</v>
      </c>
      <c r="Q144" s="124">
        <v>44876</v>
      </c>
      <c r="R144" s="111">
        <v>1</v>
      </c>
      <c r="S144" s="111">
        <v>1</v>
      </c>
      <c r="T144" s="111">
        <v>1</v>
      </c>
      <c r="U144" s="112">
        <f>IF(ISBLANK(Table1[[#This Row],[OHC Date]]),$B$7-Table1[[#This Row],[HOC Date]]+1,Table1[[#This Row],[OHC Date]]-Table1[[#This Row],[HOC Date]]+1)/7</f>
        <v>1.1428571428571428</v>
      </c>
      <c r="V144" s="113">
        <v>5.29</v>
      </c>
      <c r="W144" s="113">
        <v>0.35</v>
      </c>
      <c r="X144" s="113">
        <f>ROUND(0.7*Table1[[#This Row],[E&amp;D Rate per unit]]*R144*Table1[[#This Row],[Quantity]],2)</f>
        <v>33.33</v>
      </c>
      <c r="Y144" s="113">
        <f t="shared" si="19"/>
        <v>3.6</v>
      </c>
      <c r="Z144" s="113">
        <f>ROUND(0.3*T144*Table1[[#This Row],[E&amp;D Rate per unit]]*Table1[[#This Row],[Quantity]],2)</f>
        <v>14.28</v>
      </c>
      <c r="AA144" s="113">
        <v>51.21</v>
      </c>
      <c r="AB144" s="135"/>
      <c r="AC144" s="135">
        <v>51.21</v>
      </c>
      <c r="AD144" s="114"/>
      <c r="AE144" s="154"/>
      <c r="AF144" s="161">
        <f>Table1[[#This Row],[Certified Amount (Cum)]]-Table1[[#This Row],[Certified Amount (Previous)]]</f>
        <v>51.21</v>
      </c>
      <c r="AG144" s="160">
        <f t="shared" si="20"/>
        <v>51.21</v>
      </c>
      <c r="AH144" s="158">
        <f>Table1[[#This Row],[Certified Amount (Cum)]]-Table1[[#This Row],[Total Amount]]</f>
        <v>0</v>
      </c>
      <c r="AK144" s="167">
        <f>Table1[[#This Row],[E&amp;D Rate per unit]]+Table1[[#This Row],[Hire Rate per week]]</f>
        <v>5.64</v>
      </c>
      <c r="AL144" s="8">
        <f>SUM(Table1[[#This Row],[Erect Charges]:[Dismantle Charges]])</f>
        <v>51.21</v>
      </c>
    </row>
    <row r="145" spans="1:46" ht="30" customHeight="1" x14ac:dyDescent="0.3">
      <c r="A145" s="90" t="s">
        <v>91</v>
      </c>
      <c r="B145" s="90" t="s">
        <v>99</v>
      </c>
      <c r="C145" s="147" t="s">
        <v>340</v>
      </c>
      <c r="D145" s="108">
        <v>77557</v>
      </c>
      <c r="E145" s="108">
        <v>80511</v>
      </c>
      <c r="F145" s="109" t="s">
        <v>341</v>
      </c>
      <c r="G145" s="17" t="s">
        <v>339</v>
      </c>
      <c r="H145" s="108" t="s">
        <v>342</v>
      </c>
      <c r="I145" s="108">
        <v>1</v>
      </c>
      <c r="J145" s="108">
        <v>6</v>
      </c>
      <c r="K145" s="108"/>
      <c r="L145" s="108">
        <v>1.5</v>
      </c>
      <c r="M145" s="108"/>
      <c r="N145" s="110" t="s">
        <v>285</v>
      </c>
      <c r="O145" s="110">
        <f t="shared" si="18"/>
        <v>6</v>
      </c>
      <c r="P145" s="18">
        <v>44869</v>
      </c>
      <c r="Q145" s="124">
        <v>44876</v>
      </c>
      <c r="R145" s="111">
        <v>1</v>
      </c>
      <c r="S145" s="111">
        <v>1</v>
      </c>
      <c r="T145" s="111">
        <v>1</v>
      </c>
      <c r="U145" s="112">
        <f>IF(ISBLANK(Table1[[#This Row],[OHC Date]]),$B$7-Table1[[#This Row],[HOC Date]]+1,Table1[[#This Row],[OHC Date]]-Table1[[#This Row],[HOC Date]]+1)/7</f>
        <v>1.1428571428571428</v>
      </c>
      <c r="V145" s="113">
        <v>15</v>
      </c>
      <c r="W145" s="113">
        <v>0.91</v>
      </c>
      <c r="X145" s="113">
        <f>ROUND(0.7*Table1[[#This Row],[E&amp;D Rate per unit]]*R145*Table1[[#This Row],[Quantity]],2)</f>
        <v>63</v>
      </c>
      <c r="Y145" s="113">
        <f t="shared" si="19"/>
        <v>6.24</v>
      </c>
      <c r="Z145" s="113">
        <f>ROUND(0.3*T145*Table1[[#This Row],[E&amp;D Rate per unit]]*Table1[[#This Row],[Quantity]],2)</f>
        <v>27</v>
      </c>
      <c r="AA145" s="113">
        <v>96.24</v>
      </c>
      <c r="AB145" s="135"/>
      <c r="AC145" s="135">
        <v>96.24</v>
      </c>
      <c r="AD145" s="114"/>
      <c r="AE145" s="154"/>
      <c r="AF145" s="161">
        <f>Table1[[#This Row],[Certified Amount (Cum)]]-Table1[[#This Row],[Certified Amount (Previous)]]</f>
        <v>96.24</v>
      </c>
      <c r="AG145" s="160">
        <f t="shared" si="20"/>
        <v>96.24</v>
      </c>
      <c r="AH145" s="158">
        <f>Table1[[#This Row],[Certified Amount (Cum)]]-Table1[[#This Row],[Total Amount]]</f>
        <v>0</v>
      </c>
      <c r="AK145" s="167">
        <f>Table1[[#This Row],[E&amp;D Rate per unit]]+Table1[[#This Row],[Hire Rate per week]]</f>
        <v>15.91</v>
      </c>
      <c r="AL145" s="8">
        <f>SUM(Table1[[#This Row],[Erect Charges]:[Dismantle Charges]])</f>
        <v>96.24</v>
      </c>
    </row>
    <row r="146" spans="1:46" ht="30" customHeight="1" x14ac:dyDescent="0.3">
      <c r="A146" s="90" t="s">
        <v>91</v>
      </c>
      <c r="B146" s="90" t="s">
        <v>99</v>
      </c>
      <c r="C146" s="145">
        <v>54</v>
      </c>
      <c r="D146" s="108">
        <v>77558</v>
      </c>
      <c r="E146" s="108">
        <v>80527</v>
      </c>
      <c r="F146" s="109" t="s">
        <v>328</v>
      </c>
      <c r="G146" s="17" t="s">
        <v>202</v>
      </c>
      <c r="H146" s="108" t="s">
        <v>222</v>
      </c>
      <c r="I146" s="108">
        <v>1</v>
      </c>
      <c r="J146" s="108">
        <v>2.5</v>
      </c>
      <c r="K146" s="108">
        <v>2.5</v>
      </c>
      <c r="L146" s="108">
        <v>3.5</v>
      </c>
      <c r="M146" s="108">
        <v>1</v>
      </c>
      <c r="N146" s="110" t="s">
        <v>223</v>
      </c>
      <c r="O146" s="110">
        <f t="shared" si="18"/>
        <v>3.5</v>
      </c>
      <c r="P146" s="18">
        <v>44869</v>
      </c>
      <c r="Q146" s="124">
        <v>44882</v>
      </c>
      <c r="R146" s="111">
        <v>1</v>
      </c>
      <c r="S146" s="111">
        <v>1</v>
      </c>
      <c r="T146" s="111">
        <v>1</v>
      </c>
      <c r="U146" s="112">
        <f>IF(ISBLANK(Table1[[#This Row],[OHC Date]]),$B$7-Table1[[#This Row],[HOC Date]]+1,Table1[[#This Row],[OHC Date]]-Table1[[#This Row],[HOC Date]]+1)/7</f>
        <v>2</v>
      </c>
      <c r="V146" s="113">
        <v>63.34</v>
      </c>
      <c r="W146" s="113">
        <v>7.28</v>
      </c>
      <c r="X146" s="113">
        <f>ROUND(0.7*Table1[[#This Row],[E&amp;D Rate per unit]]*R146*Table1[[#This Row],[Quantity]],2)</f>
        <v>155.18</v>
      </c>
      <c r="Y146" s="113">
        <f t="shared" si="19"/>
        <v>50.96</v>
      </c>
      <c r="Z146" s="113">
        <f>ROUND(0.3*T146*Table1[[#This Row],[E&amp;D Rate per unit]]*Table1[[#This Row],[Quantity]],2)</f>
        <v>66.510000000000005</v>
      </c>
      <c r="AA146" s="113">
        <v>272.64999999999998</v>
      </c>
      <c r="AB146" s="135"/>
      <c r="AC146" s="135">
        <v>272.64999999999998</v>
      </c>
      <c r="AD146" s="114"/>
      <c r="AE146" s="154"/>
      <c r="AF146" s="161">
        <f>Table1[[#This Row],[Certified Amount (Cum)]]-Table1[[#This Row],[Certified Amount (Previous)]]</f>
        <v>272.65000000000003</v>
      </c>
      <c r="AG146" s="160">
        <f t="shared" si="20"/>
        <v>272.65000000000003</v>
      </c>
      <c r="AH146" s="158">
        <f>Table1[[#This Row],[Certified Amount (Cum)]]-Table1[[#This Row],[Total Amount]]</f>
        <v>0</v>
      </c>
      <c r="AK146" s="167">
        <f>Table1[[#This Row],[E&amp;D Rate per unit]]+Table1[[#This Row],[Hire Rate per week]]</f>
        <v>70.62</v>
      </c>
      <c r="AL146" s="8">
        <f>SUM(Table1[[#This Row],[Erect Charges]:[Dismantle Charges]])</f>
        <v>272.65000000000003</v>
      </c>
    </row>
    <row r="147" spans="1:46" ht="30" customHeight="1" x14ac:dyDescent="0.3">
      <c r="A147" s="90" t="s">
        <v>91</v>
      </c>
      <c r="B147" s="90" t="s">
        <v>99</v>
      </c>
      <c r="C147" s="145" t="s">
        <v>343</v>
      </c>
      <c r="D147" s="108">
        <v>77559</v>
      </c>
      <c r="E147" s="108"/>
      <c r="F147" s="109" t="s">
        <v>344</v>
      </c>
      <c r="G147" s="17" t="s">
        <v>228</v>
      </c>
      <c r="H147" s="108" t="s">
        <v>222</v>
      </c>
      <c r="I147" s="108">
        <v>1</v>
      </c>
      <c r="J147" s="108">
        <v>1.8</v>
      </c>
      <c r="K147" s="108">
        <v>1.3</v>
      </c>
      <c r="L147" s="108">
        <v>4</v>
      </c>
      <c r="M147" s="108">
        <v>1</v>
      </c>
      <c r="N147" s="110" t="s">
        <v>223</v>
      </c>
      <c r="O147" s="110">
        <f t="shared" si="18"/>
        <v>4</v>
      </c>
      <c r="P147" s="18">
        <v>44870</v>
      </c>
      <c r="Q147" s="124"/>
      <c r="R147" s="111">
        <v>1</v>
      </c>
      <c r="S147" s="111">
        <v>1</v>
      </c>
      <c r="T147" s="111">
        <v>0</v>
      </c>
      <c r="U147" s="112">
        <f>IF(ISBLANK(Table1[[#This Row],[OHC Date]]),$B$7-Table1[[#This Row],[HOC Date]]+1,Table1[[#This Row],[OHC Date]]-Table1[[#This Row],[HOC Date]]+1)/7</f>
        <v>3</v>
      </c>
      <c r="V147" s="113">
        <v>63.34</v>
      </c>
      <c r="W147" s="113">
        <v>7.28</v>
      </c>
      <c r="X147" s="113">
        <f>ROUND(0.7*Table1[[#This Row],[E&amp;D Rate per unit]]*R147*Table1[[#This Row],[Quantity]],2)</f>
        <v>177.35</v>
      </c>
      <c r="Y147" s="113">
        <f t="shared" si="19"/>
        <v>87.36</v>
      </c>
      <c r="Z147" s="113">
        <f>ROUND(0.3*T147*Table1[[#This Row],[E&amp;D Rate per unit]]*Table1[[#This Row],[Quantity]],2)</f>
        <v>0</v>
      </c>
      <c r="AA147" s="113">
        <v>264.70999999999998</v>
      </c>
      <c r="AB147" s="135"/>
      <c r="AC147" s="135">
        <v>264.70999999999998</v>
      </c>
      <c r="AD147" s="114"/>
      <c r="AE147" s="154"/>
      <c r="AF147" s="161">
        <f>Table1[[#This Row],[Certified Amount (Cum)]]-Table1[[#This Row],[Certified Amount (Previous)]]</f>
        <v>264.70999999999998</v>
      </c>
      <c r="AG147" s="160">
        <f t="shared" si="20"/>
        <v>264.70999999999998</v>
      </c>
      <c r="AH147" s="158">
        <f>Table1[[#This Row],[Certified Amount (Cum)]]-Table1[[#This Row],[Total Amount]]</f>
        <v>0</v>
      </c>
      <c r="AK147" s="167">
        <f>Table1[[#This Row],[E&amp;D Rate per unit]]+Table1[[#This Row],[Hire Rate per week]]</f>
        <v>70.62</v>
      </c>
      <c r="AL147" s="8">
        <f>SUM(Table1[[#This Row],[Erect Charges]:[Dismantle Charges]])</f>
        <v>264.70999999999998</v>
      </c>
    </row>
    <row r="148" spans="1:46" ht="30" customHeight="1" x14ac:dyDescent="0.3">
      <c r="A148" s="90" t="s">
        <v>91</v>
      </c>
      <c r="B148" s="90" t="s">
        <v>99</v>
      </c>
      <c r="C148" s="145">
        <v>55</v>
      </c>
      <c r="D148" s="108">
        <v>77560</v>
      </c>
      <c r="E148" s="108">
        <v>80517</v>
      </c>
      <c r="F148" s="109" t="s">
        <v>344</v>
      </c>
      <c r="G148" s="17" t="s">
        <v>228</v>
      </c>
      <c r="H148" s="108" t="s">
        <v>207</v>
      </c>
      <c r="I148" s="108">
        <v>1</v>
      </c>
      <c r="J148" s="108">
        <v>3.8</v>
      </c>
      <c r="K148" s="108">
        <v>1.3</v>
      </c>
      <c r="L148" s="108">
        <v>2.5</v>
      </c>
      <c r="M148" s="108">
        <v>1</v>
      </c>
      <c r="N148" s="110" t="s">
        <v>208</v>
      </c>
      <c r="O148" s="110">
        <f t="shared" si="18"/>
        <v>9.5</v>
      </c>
      <c r="P148" s="18">
        <v>44870</v>
      </c>
      <c r="Q148" s="124">
        <v>44880</v>
      </c>
      <c r="R148" s="111">
        <v>1</v>
      </c>
      <c r="S148" s="111">
        <v>1</v>
      </c>
      <c r="T148" s="111">
        <v>1</v>
      </c>
      <c r="U148" s="112">
        <f>IF(ISBLANK(Table1[[#This Row],[OHC Date]]),$B$7-Table1[[#This Row],[HOC Date]]+1,Table1[[#This Row],[OHC Date]]-Table1[[#This Row],[HOC Date]]+1)/7</f>
        <v>1.5714285714285714</v>
      </c>
      <c r="V148" s="113">
        <v>12.01</v>
      </c>
      <c r="W148" s="113">
        <v>0.49</v>
      </c>
      <c r="X148" s="113">
        <f>ROUND(0.7*Table1[[#This Row],[E&amp;D Rate per unit]]*R148*Table1[[#This Row],[Quantity]],2)</f>
        <v>79.87</v>
      </c>
      <c r="Y148" s="113">
        <f t="shared" si="19"/>
        <v>7.32</v>
      </c>
      <c r="Z148" s="113">
        <f>ROUND(0.3*T148*Table1[[#This Row],[E&amp;D Rate per unit]]*Table1[[#This Row],[Quantity]],2)</f>
        <v>34.229999999999997</v>
      </c>
      <c r="AA148" s="113">
        <v>121.42</v>
      </c>
      <c r="AB148" s="135"/>
      <c r="AC148" s="135">
        <v>121.42</v>
      </c>
      <c r="AD148" s="114"/>
      <c r="AE148" s="154"/>
      <c r="AF148" s="161">
        <f>Table1[[#This Row],[Certified Amount (Cum)]]-Table1[[#This Row],[Certified Amount (Previous)]]</f>
        <v>121.41999999999999</v>
      </c>
      <c r="AG148" s="160">
        <f t="shared" si="20"/>
        <v>121.41999999999999</v>
      </c>
      <c r="AH148" s="158">
        <f>Table1[[#This Row],[Certified Amount (Cum)]]-Table1[[#This Row],[Total Amount]]</f>
        <v>0</v>
      </c>
      <c r="AK148" s="167">
        <f>Table1[[#This Row],[E&amp;D Rate per unit]]+Table1[[#This Row],[Hire Rate per week]]</f>
        <v>12.5</v>
      </c>
      <c r="AL148" s="8">
        <f>SUM(Table1[[#This Row],[Erect Charges]:[Dismantle Charges]])</f>
        <v>121.41999999999999</v>
      </c>
    </row>
    <row r="149" spans="1:46" ht="30" customHeight="1" x14ac:dyDescent="0.3">
      <c r="A149" s="90" t="s">
        <v>91</v>
      </c>
      <c r="B149" s="90" t="s">
        <v>99</v>
      </c>
      <c r="C149" s="145">
        <v>56</v>
      </c>
      <c r="D149" s="108">
        <v>77561</v>
      </c>
      <c r="E149" s="108"/>
      <c r="F149" s="109" t="s">
        <v>292</v>
      </c>
      <c r="G149" s="17" t="s">
        <v>256</v>
      </c>
      <c r="H149" s="108" t="s">
        <v>222</v>
      </c>
      <c r="I149" s="108">
        <v>1</v>
      </c>
      <c r="J149" s="108">
        <v>2.5</v>
      </c>
      <c r="K149" s="108">
        <v>1.8</v>
      </c>
      <c r="L149" s="108">
        <v>4</v>
      </c>
      <c r="M149" s="108">
        <v>1</v>
      </c>
      <c r="N149" s="110" t="s">
        <v>223</v>
      </c>
      <c r="O149" s="110">
        <f t="shared" si="18"/>
        <v>4</v>
      </c>
      <c r="P149" s="18">
        <v>44870</v>
      </c>
      <c r="Q149" s="124"/>
      <c r="R149" s="111">
        <v>1</v>
      </c>
      <c r="S149" s="111">
        <v>1</v>
      </c>
      <c r="T149" s="111">
        <v>0</v>
      </c>
      <c r="U149" s="112">
        <f>IF(ISBLANK(Table1[[#This Row],[OHC Date]]),$B$7-Table1[[#This Row],[HOC Date]]+1,Table1[[#This Row],[OHC Date]]-Table1[[#This Row],[HOC Date]]+1)/7</f>
        <v>3</v>
      </c>
      <c r="V149" s="113">
        <v>63.34</v>
      </c>
      <c r="W149" s="113">
        <v>7.28</v>
      </c>
      <c r="X149" s="113">
        <f>ROUND(0.7*Table1[[#This Row],[E&amp;D Rate per unit]]*R149*Table1[[#This Row],[Quantity]],2)</f>
        <v>177.35</v>
      </c>
      <c r="Y149" s="113">
        <f t="shared" si="19"/>
        <v>87.36</v>
      </c>
      <c r="Z149" s="113">
        <f>ROUND(0.3*T149*Table1[[#This Row],[E&amp;D Rate per unit]]*Table1[[#This Row],[Quantity]],2)</f>
        <v>0</v>
      </c>
      <c r="AA149" s="113">
        <v>264.70999999999998</v>
      </c>
      <c r="AB149" s="135"/>
      <c r="AC149" s="135">
        <v>264.70999999999998</v>
      </c>
      <c r="AD149" s="114"/>
      <c r="AE149" s="154"/>
      <c r="AF149" s="161">
        <f>Table1[[#This Row],[Certified Amount (Cum)]]-Table1[[#This Row],[Certified Amount (Previous)]]</f>
        <v>264.70999999999998</v>
      </c>
      <c r="AG149" s="160">
        <f t="shared" si="20"/>
        <v>264.70999999999998</v>
      </c>
      <c r="AH149" s="158">
        <f>Table1[[#This Row],[Certified Amount (Cum)]]-Table1[[#This Row],[Total Amount]]</f>
        <v>0</v>
      </c>
      <c r="AK149" s="167">
        <f>Table1[[#This Row],[E&amp;D Rate per unit]]+Table1[[#This Row],[Hire Rate per week]]</f>
        <v>70.62</v>
      </c>
      <c r="AL149" s="8">
        <f>SUM(Table1[[#This Row],[Erect Charges]:[Dismantle Charges]])</f>
        <v>264.70999999999998</v>
      </c>
    </row>
    <row r="150" spans="1:46" ht="30" customHeight="1" x14ac:dyDescent="0.3">
      <c r="A150" s="90" t="s">
        <v>91</v>
      </c>
      <c r="B150" s="90" t="s">
        <v>99</v>
      </c>
      <c r="C150" s="145">
        <v>56</v>
      </c>
      <c r="D150" s="108">
        <v>77561</v>
      </c>
      <c r="E150" s="108"/>
      <c r="F150" s="109" t="s">
        <v>292</v>
      </c>
      <c r="G150" s="17" t="s">
        <v>256</v>
      </c>
      <c r="H150" s="108" t="s">
        <v>178</v>
      </c>
      <c r="I150" s="108">
        <v>1</v>
      </c>
      <c r="J150" s="108">
        <v>2.5</v>
      </c>
      <c r="K150" s="108">
        <v>1.8</v>
      </c>
      <c r="L150" s="108">
        <v>1</v>
      </c>
      <c r="M150" s="108">
        <v>1</v>
      </c>
      <c r="N150" s="110" t="s">
        <v>162</v>
      </c>
      <c r="O150" s="110">
        <f t="shared" si="18"/>
        <v>4.5</v>
      </c>
      <c r="P150" s="18">
        <v>44870</v>
      </c>
      <c r="Q150" s="124"/>
      <c r="R150" s="111">
        <v>1</v>
      </c>
      <c r="S150" s="111">
        <v>1</v>
      </c>
      <c r="T150" s="111">
        <v>0</v>
      </c>
      <c r="U150" s="112">
        <f>IF(ISBLANK(Table1[[#This Row],[OHC Date]]),$B$7-Table1[[#This Row],[HOC Date]]+1,Table1[[#This Row],[OHC Date]]-Table1[[#This Row],[HOC Date]]+1)/7</f>
        <v>3</v>
      </c>
      <c r="V150" s="113">
        <v>6.63</v>
      </c>
      <c r="W150" s="113">
        <v>0.7</v>
      </c>
      <c r="X150" s="113">
        <f>ROUND(0.7*Table1[[#This Row],[E&amp;D Rate per unit]]*R150*Table1[[#This Row],[Quantity]],2)</f>
        <v>20.88</v>
      </c>
      <c r="Y150" s="113">
        <f t="shared" si="19"/>
        <v>9.4499999999999993</v>
      </c>
      <c r="Z150" s="113">
        <f>ROUND(0.3*T150*Table1[[#This Row],[E&amp;D Rate per unit]]*Table1[[#This Row],[Quantity]],2)</f>
        <v>0</v>
      </c>
      <c r="AA150" s="113">
        <v>30.33</v>
      </c>
      <c r="AB150" s="135"/>
      <c r="AC150" s="135">
        <v>30.33</v>
      </c>
      <c r="AD150" s="114"/>
      <c r="AE150" s="163"/>
      <c r="AF150" s="164">
        <f>Table1[[#This Row],[Certified Amount (Cum)]]-Table1[[#This Row],[Certified Amount (Previous)]]</f>
        <v>30.33</v>
      </c>
      <c r="AG150" s="165">
        <f t="shared" si="20"/>
        <v>30.33</v>
      </c>
      <c r="AH150" s="165">
        <f>Table1[[#This Row],[Certified Amount (Cum)]]-Table1[[#This Row],[Total Amount]]</f>
        <v>0</v>
      </c>
      <c r="AK150" s="167">
        <f>Table1[[#This Row],[E&amp;D Rate per unit]]+Table1[[#This Row],[Hire Rate per week]]</f>
        <v>7.33</v>
      </c>
      <c r="AL150" s="8">
        <f>SUM(Table1[[#This Row],[Erect Charges]:[Dismantle Charges]])</f>
        <v>30.33</v>
      </c>
    </row>
    <row r="151" spans="1:46" ht="30" customHeight="1" x14ac:dyDescent="0.3">
      <c r="A151" s="90" t="s">
        <v>91</v>
      </c>
      <c r="B151" s="90" t="s">
        <v>99</v>
      </c>
      <c r="C151" s="145" t="s">
        <v>345</v>
      </c>
      <c r="D151" s="108">
        <v>77562</v>
      </c>
      <c r="E151" s="108">
        <v>76799</v>
      </c>
      <c r="F151" s="109" t="s">
        <v>333</v>
      </c>
      <c r="G151" s="17" t="s">
        <v>202</v>
      </c>
      <c r="H151" s="108" t="s">
        <v>222</v>
      </c>
      <c r="I151" s="108">
        <v>1</v>
      </c>
      <c r="J151" s="108">
        <v>1</v>
      </c>
      <c r="K151" s="108">
        <v>1</v>
      </c>
      <c r="L151" s="108">
        <v>1.5</v>
      </c>
      <c r="M151" s="108">
        <v>1</v>
      </c>
      <c r="N151" s="110" t="s">
        <v>223</v>
      </c>
      <c r="O151" s="110">
        <f t="shared" si="18"/>
        <v>1.5</v>
      </c>
      <c r="P151" s="18">
        <v>44870</v>
      </c>
      <c r="Q151" s="124">
        <v>44874</v>
      </c>
      <c r="R151" s="111">
        <v>1</v>
      </c>
      <c r="S151" s="111">
        <v>1</v>
      </c>
      <c r="T151" s="111">
        <v>1</v>
      </c>
      <c r="U151" s="112">
        <f>IF(ISBLANK(Table1[[#This Row],[OHC Date]]),$B$7-Table1[[#This Row],[HOC Date]]+1,Table1[[#This Row],[OHC Date]]-Table1[[#This Row],[HOC Date]]+1)/7</f>
        <v>0.7142857142857143</v>
      </c>
      <c r="V151" s="113">
        <v>63.34</v>
      </c>
      <c r="W151" s="113">
        <v>7.28</v>
      </c>
      <c r="X151" s="113">
        <f>ROUND(0.7*Table1[[#This Row],[E&amp;D Rate per unit]]*R151*Table1[[#This Row],[Quantity]],2)</f>
        <v>66.510000000000005</v>
      </c>
      <c r="Y151" s="113">
        <f t="shared" si="19"/>
        <v>7.8</v>
      </c>
      <c r="Z151" s="113">
        <f>ROUND(0.3*T151*Table1[[#This Row],[E&amp;D Rate per unit]]*Table1[[#This Row],[Quantity]],2)</f>
        <v>28.5</v>
      </c>
      <c r="AA151" s="113">
        <v>102.81</v>
      </c>
      <c r="AB151" s="135"/>
      <c r="AC151" s="135">
        <v>102.81</v>
      </c>
      <c r="AD151" s="114"/>
      <c r="AE151" s="154"/>
      <c r="AF151" s="161">
        <f>Table1[[#This Row],[Certified Amount (Cum)]]-Table1[[#This Row],[Certified Amount (Previous)]]</f>
        <v>102.81</v>
      </c>
      <c r="AG151" s="160">
        <f t="shared" si="20"/>
        <v>102.81</v>
      </c>
      <c r="AH151" s="158">
        <f>Table1[[#This Row],[Certified Amount (Cum)]]-Table1[[#This Row],[Total Amount]]</f>
        <v>0</v>
      </c>
      <c r="AK151" s="167">
        <f>Table1[[#This Row],[E&amp;D Rate per unit]]+Table1[[#This Row],[Hire Rate per week]]</f>
        <v>70.62</v>
      </c>
      <c r="AL151" s="8">
        <f>SUM(Table1[[#This Row],[Erect Charges]:[Dismantle Charges]])</f>
        <v>102.81</v>
      </c>
    </row>
    <row r="152" spans="1:46" ht="30" customHeight="1" x14ac:dyDescent="0.3">
      <c r="A152" s="90" t="s">
        <v>91</v>
      </c>
      <c r="B152" s="90" t="s">
        <v>99</v>
      </c>
      <c r="C152" s="145" t="s">
        <v>346</v>
      </c>
      <c r="D152" s="108">
        <v>77563</v>
      </c>
      <c r="E152" s="108">
        <v>76800</v>
      </c>
      <c r="F152" s="109" t="s">
        <v>333</v>
      </c>
      <c r="G152" s="17" t="s">
        <v>202</v>
      </c>
      <c r="H152" s="108" t="s">
        <v>222</v>
      </c>
      <c r="I152" s="108">
        <v>1</v>
      </c>
      <c r="J152" s="108">
        <v>1</v>
      </c>
      <c r="K152" s="108">
        <v>1</v>
      </c>
      <c r="L152" s="108">
        <v>1.5</v>
      </c>
      <c r="M152" s="108">
        <v>1</v>
      </c>
      <c r="N152" s="110" t="s">
        <v>223</v>
      </c>
      <c r="O152" s="110">
        <f t="shared" si="18"/>
        <v>1.5</v>
      </c>
      <c r="P152" s="18">
        <v>44870</v>
      </c>
      <c r="Q152" s="124">
        <v>44874</v>
      </c>
      <c r="R152" s="111">
        <v>1</v>
      </c>
      <c r="S152" s="111">
        <v>1</v>
      </c>
      <c r="T152" s="111">
        <v>1</v>
      </c>
      <c r="U152" s="112">
        <f>IF(ISBLANK(Table1[[#This Row],[OHC Date]]),$B$7-Table1[[#This Row],[HOC Date]]+1,Table1[[#This Row],[OHC Date]]-Table1[[#This Row],[HOC Date]]+1)/7</f>
        <v>0.7142857142857143</v>
      </c>
      <c r="V152" s="113">
        <v>63.34</v>
      </c>
      <c r="W152" s="113">
        <v>7.28</v>
      </c>
      <c r="X152" s="113">
        <f>ROUND(0.7*Table1[[#This Row],[E&amp;D Rate per unit]]*R152*Table1[[#This Row],[Quantity]],2)</f>
        <v>66.510000000000005</v>
      </c>
      <c r="Y152" s="113">
        <f t="shared" si="19"/>
        <v>7.8</v>
      </c>
      <c r="Z152" s="113">
        <f>ROUND(0.3*T152*Table1[[#This Row],[E&amp;D Rate per unit]]*Table1[[#This Row],[Quantity]],2)</f>
        <v>28.5</v>
      </c>
      <c r="AA152" s="113">
        <v>102.81</v>
      </c>
      <c r="AB152" s="135"/>
      <c r="AC152" s="135">
        <v>102.81</v>
      </c>
      <c r="AD152" s="114"/>
      <c r="AE152" s="154"/>
      <c r="AF152" s="161">
        <f>Table1[[#This Row],[Certified Amount (Cum)]]-Table1[[#This Row],[Certified Amount (Previous)]]</f>
        <v>102.81</v>
      </c>
      <c r="AG152" s="160">
        <f t="shared" si="20"/>
        <v>102.81</v>
      </c>
      <c r="AH152" s="158">
        <f>Table1[[#This Row],[Certified Amount (Cum)]]-Table1[[#This Row],[Total Amount]]</f>
        <v>0</v>
      </c>
      <c r="AK152" s="167">
        <f>Table1[[#This Row],[E&amp;D Rate per unit]]+Table1[[#This Row],[Hire Rate per week]]</f>
        <v>70.62</v>
      </c>
      <c r="AL152" s="8">
        <f>SUM(Table1[[#This Row],[Erect Charges]:[Dismantle Charges]])</f>
        <v>102.81</v>
      </c>
    </row>
    <row r="153" spans="1:46" ht="30" customHeight="1" x14ac:dyDescent="0.3">
      <c r="A153" s="90" t="s">
        <v>91</v>
      </c>
      <c r="B153" s="90" t="s">
        <v>99</v>
      </c>
      <c r="C153" s="145">
        <v>57</v>
      </c>
      <c r="D153" s="108">
        <v>77564</v>
      </c>
      <c r="E153" s="108"/>
      <c r="F153" s="109" t="s">
        <v>344</v>
      </c>
      <c r="G153" s="17" t="s">
        <v>228</v>
      </c>
      <c r="H153" s="108" t="s">
        <v>222</v>
      </c>
      <c r="I153" s="108">
        <v>1</v>
      </c>
      <c r="J153" s="108">
        <v>2.5</v>
      </c>
      <c r="K153" s="108">
        <v>1.3</v>
      </c>
      <c r="L153" s="108">
        <v>3.8</v>
      </c>
      <c r="M153" s="108">
        <v>1</v>
      </c>
      <c r="N153" s="110" t="s">
        <v>223</v>
      </c>
      <c r="O153" s="110">
        <f t="shared" si="18"/>
        <v>3.8</v>
      </c>
      <c r="P153" s="18">
        <v>44870</v>
      </c>
      <c r="Q153" s="124"/>
      <c r="R153" s="111">
        <v>1</v>
      </c>
      <c r="S153" s="111">
        <v>1</v>
      </c>
      <c r="T153" s="111">
        <v>0</v>
      </c>
      <c r="U153" s="112">
        <f>IF(ISBLANK(Table1[[#This Row],[OHC Date]]),$B$7-Table1[[#This Row],[HOC Date]]+1,Table1[[#This Row],[OHC Date]]-Table1[[#This Row],[HOC Date]]+1)/7</f>
        <v>3</v>
      </c>
      <c r="V153" s="113">
        <v>63.34</v>
      </c>
      <c r="W153" s="113">
        <v>7.28</v>
      </c>
      <c r="X153" s="113">
        <f>ROUND(0.7*Table1[[#This Row],[E&amp;D Rate per unit]]*R153*Table1[[#This Row],[Quantity]],2)</f>
        <v>168.48</v>
      </c>
      <c r="Y153" s="113">
        <f t="shared" si="19"/>
        <v>82.99</v>
      </c>
      <c r="Z153" s="113">
        <f>ROUND(0.3*T153*Table1[[#This Row],[E&amp;D Rate per unit]]*Table1[[#This Row],[Quantity]],2)</f>
        <v>0</v>
      </c>
      <c r="AA153" s="113">
        <v>251.47</v>
      </c>
      <c r="AB153" s="135"/>
      <c r="AC153" s="135">
        <v>251.47</v>
      </c>
      <c r="AD153" s="114"/>
      <c r="AE153" s="154"/>
      <c r="AF153" s="161">
        <f>Table1[[#This Row],[Certified Amount (Cum)]]-Table1[[#This Row],[Certified Amount (Previous)]]</f>
        <v>251.46999999999997</v>
      </c>
      <c r="AG153" s="160">
        <f t="shared" si="20"/>
        <v>251.46999999999997</v>
      </c>
      <c r="AH153" s="158">
        <f>Table1[[#This Row],[Certified Amount (Cum)]]-Table1[[#This Row],[Total Amount]]</f>
        <v>0</v>
      </c>
      <c r="AK153" s="167">
        <f>Table1[[#This Row],[E&amp;D Rate per unit]]+Table1[[#This Row],[Hire Rate per week]]</f>
        <v>70.62</v>
      </c>
      <c r="AL153" s="8">
        <f>SUM(Table1[[#This Row],[Erect Charges]:[Dismantle Charges]])</f>
        <v>251.46999999999997</v>
      </c>
    </row>
    <row r="154" spans="1:46" ht="30" customHeight="1" x14ac:dyDescent="0.3">
      <c r="A154" s="90" t="s">
        <v>91</v>
      </c>
      <c r="B154" s="90" t="s">
        <v>99</v>
      </c>
      <c r="C154" s="145">
        <v>58</v>
      </c>
      <c r="D154" s="108">
        <v>77565</v>
      </c>
      <c r="E154" s="108">
        <v>80528</v>
      </c>
      <c r="F154" s="109" t="s">
        <v>328</v>
      </c>
      <c r="G154" s="17" t="s">
        <v>202</v>
      </c>
      <c r="H154" s="108" t="s">
        <v>120</v>
      </c>
      <c r="I154" s="108">
        <v>1</v>
      </c>
      <c r="J154" s="108">
        <v>3.8</v>
      </c>
      <c r="K154" s="108">
        <v>2.5</v>
      </c>
      <c r="L154" s="108">
        <v>3.5</v>
      </c>
      <c r="M154" s="108">
        <v>1</v>
      </c>
      <c r="N154" s="110" t="s">
        <v>208</v>
      </c>
      <c r="O154" s="110">
        <f t="shared" si="18"/>
        <v>13.3</v>
      </c>
      <c r="P154" s="18">
        <v>44872</v>
      </c>
      <c r="Q154" s="124">
        <v>44882</v>
      </c>
      <c r="R154" s="111">
        <v>1</v>
      </c>
      <c r="S154" s="111">
        <v>1</v>
      </c>
      <c r="T154" s="111">
        <v>1</v>
      </c>
      <c r="U154" s="112">
        <f>IF(ISBLANK(Table1[[#This Row],[OHC Date]]),$B$7-Table1[[#This Row],[HOC Date]]+1,Table1[[#This Row],[OHC Date]]-Table1[[#This Row],[HOC Date]]+1)/7</f>
        <v>1.5714285714285714</v>
      </c>
      <c r="V154" s="113">
        <v>16.760000000000002</v>
      </c>
      <c r="W154" s="113">
        <v>0.77</v>
      </c>
      <c r="X154" s="113">
        <f>ROUND(0.7*Table1[[#This Row],[E&amp;D Rate per unit]]*R154*Table1[[#This Row],[Quantity]],2)</f>
        <v>156.04</v>
      </c>
      <c r="Y154" s="113">
        <f t="shared" si="19"/>
        <v>16.09</v>
      </c>
      <c r="Z154" s="113">
        <f>ROUND(0.3*T154*Table1[[#This Row],[E&amp;D Rate per unit]]*Table1[[#This Row],[Quantity]],2)</f>
        <v>66.87</v>
      </c>
      <c r="AA154" s="113">
        <v>239</v>
      </c>
      <c r="AB154" s="135"/>
      <c r="AC154" s="135">
        <v>239</v>
      </c>
      <c r="AD154" s="114"/>
      <c r="AE154" s="154"/>
      <c r="AF154" s="161">
        <f>Table1[[#This Row],[Certified Amount (Cum)]]-Table1[[#This Row],[Certified Amount (Previous)]]</f>
        <v>239</v>
      </c>
      <c r="AG154" s="160">
        <f t="shared" si="20"/>
        <v>239</v>
      </c>
      <c r="AH154" s="158">
        <f>Table1[[#This Row],[Certified Amount (Cum)]]-Table1[[#This Row],[Total Amount]]</f>
        <v>0</v>
      </c>
      <c r="AK154" s="167">
        <f>Table1[[#This Row],[E&amp;D Rate per unit]]+Table1[[#This Row],[Hire Rate per week]]</f>
        <v>17.53</v>
      </c>
      <c r="AL154" s="8">
        <f>SUM(Table1[[#This Row],[Erect Charges]:[Dismantle Charges]])</f>
        <v>239</v>
      </c>
    </row>
    <row r="155" spans="1:46" ht="30" customHeight="1" x14ac:dyDescent="0.3">
      <c r="A155" s="90" t="s">
        <v>91</v>
      </c>
      <c r="B155" s="90" t="s">
        <v>99</v>
      </c>
      <c r="C155" s="145">
        <v>59</v>
      </c>
      <c r="D155" s="108">
        <v>77566</v>
      </c>
      <c r="E155" s="108">
        <v>76794</v>
      </c>
      <c r="F155" s="109" t="s">
        <v>347</v>
      </c>
      <c r="G155" s="17" t="s">
        <v>228</v>
      </c>
      <c r="H155" s="108" t="s">
        <v>207</v>
      </c>
      <c r="I155" s="108">
        <v>1</v>
      </c>
      <c r="J155" s="108">
        <v>8.1</v>
      </c>
      <c r="K155" s="108">
        <v>1.3</v>
      </c>
      <c r="L155" s="108">
        <v>3</v>
      </c>
      <c r="M155" s="108">
        <v>1</v>
      </c>
      <c r="N155" s="110" t="s">
        <v>208</v>
      </c>
      <c r="O155" s="110">
        <f t="shared" si="18"/>
        <v>24.3</v>
      </c>
      <c r="P155" s="18">
        <v>44872</v>
      </c>
      <c r="Q155" s="124">
        <v>44873</v>
      </c>
      <c r="R155" s="111">
        <v>1</v>
      </c>
      <c r="S155" s="111">
        <v>1</v>
      </c>
      <c r="T155" s="111">
        <v>1</v>
      </c>
      <c r="U155" s="112">
        <f>IF(ISBLANK(Table1[[#This Row],[OHC Date]]),$B$7-Table1[[#This Row],[HOC Date]]+1,Table1[[#This Row],[OHC Date]]-Table1[[#This Row],[HOC Date]]+1)/7</f>
        <v>0.2857142857142857</v>
      </c>
      <c r="V155" s="113">
        <v>12.01</v>
      </c>
      <c r="W155" s="113">
        <v>0.49</v>
      </c>
      <c r="X155" s="113">
        <f>ROUND(0.7*Table1[[#This Row],[E&amp;D Rate per unit]]*R155*Table1[[#This Row],[Quantity]],2)</f>
        <v>204.29</v>
      </c>
      <c r="Y155" s="113">
        <f t="shared" si="19"/>
        <v>3.4</v>
      </c>
      <c r="Z155" s="113">
        <f>ROUND(0.3*T155*Table1[[#This Row],[E&amp;D Rate per unit]]*Table1[[#This Row],[Quantity]],2)</f>
        <v>87.55</v>
      </c>
      <c r="AA155" s="113">
        <v>295.24</v>
      </c>
      <c r="AB155" s="135"/>
      <c r="AC155" s="135">
        <v>295.24</v>
      </c>
      <c r="AD155" s="114"/>
      <c r="AE155" s="154"/>
      <c r="AF155" s="161">
        <f>Table1[[#This Row],[Certified Amount (Cum)]]-Table1[[#This Row],[Certified Amount (Previous)]]</f>
        <v>295.24</v>
      </c>
      <c r="AG155" s="160">
        <f t="shared" si="20"/>
        <v>295.24</v>
      </c>
      <c r="AH155" s="158">
        <f>Table1[[#This Row],[Certified Amount (Cum)]]-Table1[[#This Row],[Total Amount]]</f>
        <v>0</v>
      </c>
      <c r="AK155" s="167">
        <f>Table1[[#This Row],[E&amp;D Rate per unit]]+Table1[[#This Row],[Hire Rate per week]]</f>
        <v>12.5</v>
      </c>
      <c r="AL155" s="8">
        <f>SUM(Table1[[#This Row],[Erect Charges]:[Dismantle Charges]])</f>
        <v>295.24</v>
      </c>
    </row>
    <row r="156" spans="1:46" ht="30" customHeight="1" x14ac:dyDescent="0.3">
      <c r="A156" s="90" t="s">
        <v>91</v>
      </c>
      <c r="B156" s="90" t="s">
        <v>99</v>
      </c>
      <c r="C156" s="145" t="s">
        <v>348</v>
      </c>
      <c r="D156" s="108">
        <v>77567</v>
      </c>
      <c r="E156" s="108">
        <v>80533</v>
      </c>
      <c r="F156" s="109" t="s">
        <v>240</v>
      </c>
      <c r="G156" s="17" t="s">
        <v>192</v>
      </c>
      <c r="H156" s="108" t="s">
        <v>129</v>
      </c>
      <c r="I156" s="108">
        <v>1</v>
      </c>
      <c r="J156" s="108">
        <v>10.8</v>
      </c>
      <c r="K156" s="108">
        <v>1</v>
      </c>
      <c r="L156" s="108">
        <v>1</v>
      </c>
      <c r="M156" s="108">
        <v>1</v>
      </c>
      <c r="N156" s="110" t="s">
        <v>162</v>
      </c>
      <c r="O156" s="110">
        <f t="shared" si="18"/>
        <v>10.8</v>
      </c>
      <c r="P156" s="18">
        <v>44870</v>
      </c>
      <c r="Q156" s="124">
        <v>44890</v>
      </c>
      <c r="R156" s="111">
        <v>1</v>
      </c>
      <c r="S156" s="111">
        <v>1</v>
      </c>
      <c r="T156" s="111">
        <v>1</v>
      </c>
      <c r="U156" s="112">
        <f>IF(ISBLANK(Table1[[#This Row],[OHC Date]]),$B$7-Table1[[#This Row],[HOC Date]]+1,Table1[[#This Row],[OHC Date]]-Table1[[#This Row],[HOC Date]]+1)/7</f>
        <v>3</v>
      </c>
      <c r="V156" s="113">
        <v>36.520000000000003</v>
      </c>
      <c r="W156" s="113">
        <v>2.94</v>
      </c>
      <c r="X156" s="113">
        <f>ROUND(0.7*Table1[[#This Row],[E&amp;D Rate per unit]]*R156*Table1[[#This Row],[Quantity]],2)</f>
        <v>276.08999999999997</v>
      </c>
      <c r="Y156" s="113">
        <f t="shared" si="19"/>
        <v>95.26</v>
      </c>
      <c r="Z156" s="113">
        <f>ROUND(0.3*T156*Table1[[#This Row],[E&amp;D Rate per unit]]*Table1[[#This Row],[Quantity]],2)</f>
        <v>118.32</v>
      </c>
      <c r="AA156" s="113">
        <v>489.67</v>
      </c>
      <c r="AB156" s="135"/>
      <c r="AC156" s="135">
        <v>489.67</v>
      </c>
      <c r="AD156" s="114"/>
      <c r="AE156" s="154"/>
      <c r="AF156" s="161">
        <f>Table1[[#This Row],[Certified Amount (Cum)]]-Table1[[#This Row],[Certified Amount (Previous)]]</f>
        <v>489.66999999999996</v>
      </c>
      <c r="AG156" s="160">
        <f t="shared" si="20"/>
        <v>489.66999999999996</v>
      </c>
      <c r="AH156" s="158">
        <f>Table1[[#This Row],[Certified Amount (Cum)]]-Table1[[#This Row],[Total Amount]]</f>
        <v>0</v>
      </c>
      <c r="AK156" s="167">
        <f>Table1[[#This Row],[E&amp;D Rate per unit]]+Table1[[#This Row],[Hire Rate per week]]</f>
        <v>39.46</v>
      </c>
      <c r="AL156" s="8">
        <f>SUM(Table1[[#This Row],[Erect Charges]:[Dismantle Charges]])</f>
        <v>489.66999999999996</v>
      </c>
    </row>
    <row r="157" spans="1:46" ht="30" customHeight="1" x14ac:dyDescent="0.3">
      <c r="A157" s="90" t="s">
        <v>91</v>
      </c>
      <c r="B157" s="90" t="s">
        <v>99</v>
      </c>
      <c r="C157" s="145">
        <v>60</v>
      </c>
      <c r="D157" s="108">
        <v>77568</v>
      </c>
      <c r="E157" s="108">
        <v>80512</v>
      </c>
      <c r="F157" s="109" t="s">
        <v>341</v>
      </c>
      <c r="G157" s="17" t="s">
        <v>349</v>
      </c>
      <c r="H157" s="108" t="s">
        <v>290</v>
      </c>
      <c r="I157" s="108">
        <v>1</v>
      </c>
      <c r="J157" s="108">
        <v>2.5</v>
      </c>
      <c r="K157" s="108">
        <v>1.8</v>
      </c>
      <c r="L157" s="108">
        <v>2</v>
      </c>
      <c r="M157" s="108"/>
      <c r="N157" s="110" t="s">
        <v>226</v>
      </c>
      <c r="O157" s="110">
        <f t="shared" si="18"/>
        <v>9</v>
      </c>
      <c r="P157" s="18">
        <v>44872</v>
      </c>
      <c r="Q157" s="124">
        <v>44876</v>
      </c>
      <c r="R157" s="111">
        <v>1</v>
      </c>
      <c r="S157" s="111">
        <v>1</v>
      </c>
      <c r="T157" s="111">
        <v>1</v>
      </c>
      <c r="U157" s="112">
        <f>IF(ISBLANK(Table1[[#This Row],[OHC Date]]),$B$7-Table1[[#This Row],[HOC Date]]+1,Table1[[#This Row],[OHC Date]]-Table1[[#This Row],[HOC Date]]+1)/7</f>
        <v>0.7142857142857143</v>
      </c>
      <c r="V157" s="113">
        <v>5.29</v>
      </c>
      <c r="W157" s="113">
        <v>0.35</v>
      </c>
      <c r="X157" s="113">
        <f>ROUND(0.7*Table1[[#This Row],[E&amp;D Rate per unit]]*R157*Table1[[#This Row],[Quantity]],2)</f>
        <v>33.33</v>
      </c>
      <c r="Y157" s="113">
        <f t="shared" si="19"/>
        <v>2.25</v>
      </c>
      <c r="Z157" s="113">
        <f>ROUND(0.3*T157*Table1[[#This Row],[E&amp;D Rate per unit]]*Table1[[#This Row],[Quantity]],2)</f>
        <v>14.28</v>
      </c>
      <c r="AA157" s="113">
        <v>49.86</v>
      </c>
      <c r="AB157" s="135"/>
      <c r="AC157" s="135">
        <v>49.86</v>
      </c>
      <c r="AD157" s="114"/>
      <c r="AE157" s="154"/>
      <c r="AF157" s="161">
        <f>Table1[[#This Row],[Certified Amount (Cum)]]-Table1[[#This Row],[Certified Amount (Previous)]]</f>
        <v>49.86</v>
      </c>
      <c r="AG157" s="160">
        <f t="shared" si="20"/>
        <v>49.86</v>
      </c>
      <c r="AH157" s="158">
        <f>Table1[[#This Row],[Certified Amount (Cum)]]-Table1[[#This Row],[Total Amount]]</f>
        <v>0</v>
      </c>
      <c r="AK157" s="167">
        <f>Table1[[#This Row],[E&amp;D Rate per unit]]+Table1[[#This Row],[Hire Rate per week]]</f>
        <v>5.64</v>
      </c>
      <c r="AL157" s="8">
        <f>SUM(Table1[[#This Row],[Erect Charges]:[Dismantle Charges]])</f>
        <v>49.86</v>
      </c>
      <c r="AP157" s="170">
        <f>1572.35+64.15+1572.35+64.15+2694.96+100.8+651+68.73+836.66+6560+1230</f>
        <v>15415.15</v>
      </c>
      <c r="AR157" s="180" t="s">
        <v>491</v>
      </c>
      <c r="AS157" s="8" t="s">
        <v>489</v>
      </c>
      <c r="AT157" s="8" t="s">
        <v>492</v>
      </c>
    </row>
    <row r="158" spans="1:46" ht="30" customHeight="1" x14ac:dyDescent="0.3">
      <c r="A158" s="90" t="s">
        <v>91</v>
      </c>
      <c r="B158" s="90" t="s">
        <v>99</v>
      </c>
      <c r="C158" s="145" t="s">
        <v>350</v>
      </c>
      <c r="D158" s="108">
        <v>77569</v>
      </c>
      <c r="E158" s="108">
        <v>80512</v>
      </c>
      <c r="F158" s="109" t="s">
        <v>341</v>
      </c>
      <c r="G158" s="17" t="s">
        <v>349</v>
      </c>
      <c r="H158" s="108" t="s">
        <v>342</v>
      </c>
      <c r="I158" s="108">
        <v>1</v>
      </c>
      <c r="J158" s="108">
        <v>3</v>
      </c>
      <c r="K158" s="108"/>
      <c r="L158" s="108">
        <v>1.5</v>
      </c>
      <c r="M158" s="108"/>
      <c r="N158" s="110" t="s">
        <v>285</v>
      </c>
      <c r="O158" s="110">
        <f t="shared" si="18"/>
        <v>3</v>
      </c>
      <c r="P158" s="18">
        <v>44872</v>
      </c>
      <c r="Q158" s="124">
        <v>44876</v>
      </c>
      <c r="R158" s="111">
        <v>1</v>
      </c>
      <c r="S158" s="111">
        <v>1</v>
      </c>
      <c r="T158" s="111">
        <v>1</v>
      </c>
      <c r="U158" s="112">
        <f>IF(ISBLANK(Table1[[#This Row],[OHC Date]]),$B$7-Table1[[#This Row],[HOC Date]]+1,Table1[[#This Row],[OHC Date]]-Table1[[#This Row],[HOC Date]]+1)/7</f>
        <v>0.7142857142857143</v>
      </c>
      <c r="V158" s="113">
        <v>15</v>
      </c>
      <c r="W158" s="113">
        <v>0.91</v>
      </c>
      <c r="X158" s="113">
        <f>ROUND(0.7*Table1[[#This Row],[E&amp;D Rate per unit]]*R158*Table1[[#This Row],[Quantity]],2)</f>
        <v>31.5</v>
      </c>
      <c r="Y158" s="113">
        <f t="shared" si="19"/>
        <v>1.95</v>
      </c>
      <c r="Z158" s="113">
        <f>ROUND(0.3*T158*Table1[[#This Row],[E&amp;D Rate per unit]]*Table1[[#This Row],[Quantity]],2)</f>
        <v>13.5</v>
      </c>
      <c r="AA158" s="113">
        <v>46.95</v>
      </c>
      <c r="AB158" s="135"/>
      <c r="AC158" s="135">
        <v>46.95</v>
      </c>
      <c r="AD158" s="114"/>
      <c r="AE158" s="154"/>
      <c r="AF158" s="161">
        <f>Table1[[#This Row],[Certified Amount (Cum)]]-Table1[[#This Row],[Certified Amount (Previous)]]</f>
        <v>46.95</v>
      </c>
      <c r="AG158" s="160">
        <f t="shared" si="20"/>
        <v>46.95</v>
      </c>
      <c r="AH158" s="158">
        <f>Table1[[#This Row],[Certified Amount (Cum)]]-Table1[[#This Row],[Total Amount]]</f>
        <v>0</v>
      </c>
      <c r="AK158" s="167">
        <f>Table1[[#This Row],[E&amp;D Rate per unit]]+Table1[[#This Row],[Hire Rate per week]]</f>
        <v>15.91</v>
      </c>
      <c r="AL158" s="8">
        <f>SUM(Table1[[#This Row],[Erect Charges]:[Dismantle Charges]])</f>
        <v>46.95</v>
      </c>
      <c r="AR158" s="180" t="s">
        <v>490</v>
      </c>
      <c r="AS158" s="8">
        <v>1572.35</v>
      </c>
      <c r="AT158" s="8">
        <v>64.150000000000006</v>
      </c>
    </row>
    <row r="159" spans="1:46" s="146" customFormat="1" ht="30" customHeight="1" x14ac:dyDescent="0.3">
      <c r="A159" s="184" t="s">
        <v>351</v>
      </c>
      <c r="B159" s="90" t="s">
        <v>99</v>
      </c>
      <c r="C159" s="147">
        <v>61</v>
      </c>
      <c r="D159" s="16">
        <v>77578</v>
      </c>
      <c r="E159" s="16">
        <v>80513</v>
      </c>
      <c r="F159" s="17" t="s">
        <v>353</v>
      </c>
      <c r="G159" s="17" t="s">
        <v>354</v>
      </c>
      <c r="H159" s="16" t="s">
        <v>355</v>
      </c>
      <c r="I159" s="16">
        <v>1</v>
      </c>
      <c r="J159" s="16">
        <v>24.3</v>
      </c>
      <c r="K159" s="16">
        <v>1</v>
      </c>
      <c r="L159" s="16">
        <v>4</v>
      </c>
      <c r="M159" s="16">
        <v>1</v>
      </c>
      <c r="N159" s="91" t="s">
        <v>208</v>
      </c>
      <c r="O159" s="91">
        <f t="shared" si="18"/>
        <v>97.2</v>
      </c>
      <c r="P159" s="18">
        <v>44872</v>
      </c>
      <c r="Q159" s="18">
        <v>44879</v>
      </c>
      <c r="R159" s="19">
        <v>1</v>
      </c>
      <c r="S159" s="19">
        <v>1</v>
      </c>
      <c r="T159" s="19">
        <v>1</v>
      </c>
      <c r="U159" s="20">
        <f>IF(ISBLANK(Table1[[#This Row],[OHC Date]]),$B$7-Table1[[#This Row],[HOC Date]]+1,Table1[[#This Row],[OHC Date]]-Table1[[#This Row],[HOC Date]]+1)/7</f>
        <v>1.1428571428571428</v>
      </c>
      <c r="V159" s="21">
        <v>115.4699</v>
      </c>
      <c r="W159" s="21">
        <v>2.27</v>
      </c>
      <c r="X159" s="21">
        <f>ROUND(0.7*Table1[[#This Row],[E&amp;D Rate per unit]]*R159*Table1[[#This Row],[Quantity]],2)</f>
        <v>7856.57</v>
      </c>
      <c r="Y159" s="21">
        <f t="shared" si="19"/>
        <v>252.16</v>
      </c>
      <c r="Z159" s="21">
        <f>ROUND(0.3*T159*Table1[[#This Row],[E&amp;D Rate per unit]]*Table1[[#This Row],[Quantity]],2)</f>
        <v>3367.1</v>
      </c>
      <c r="AA159" s="21">
        <v>12234.44</v>
      </c>
      <c r="AB159" s="138"/>
      <c r="AC159" s="138">
        <v>12234.44</v>
      </c>
      <c r="AD159" s="141" t="s">
        <v>356</v>
      </c>
      <c r="AE159" s="176"/>
      <c r="AF159" s="177">
        <f>Table1[[#This Row],[Certified Amount (Cum)]]-Table1[[#This Row],[Certified Amount (Previous)]]</f>
        <v>11475.83</v>
      </c>
      <c r="AG159" s="160">
        <f t="shared" si="20"/>
        <v>11475.83</v>
      </c>
      <c r="AH159" s="178">
        <f>Table1[[#This Row],[Certified Amount (Cum)]]-Table1[[#This Row],[Total Amount]]</f>
        <v>-758.61000000000058</v>
      </c>
      <c r="AK159" s="179">
        <f>Table1[[#This Row],[E&amp;D Rate per unit]]*Table1[[#This Row],[Quantity]]+Table1[[#This Row],[Hire Charges]]+Table1[[#This Row],[Dismantle Charges]]</f>
        <v>14842.934279999999</v>
      </c>
      <c r="AL159" s="146">
        <f>SUM(Table1[[#This Row],[Erect Charges]:[Dismantle Charges]])</f>
        <v>11475.83</v>
      </c>
      <c r="AP159" s="146">
        <f>0.49+0.49+1.4+6.63+0/7</f>
        <v>9.01</v>
      </c>
      <c r="AR159" s="182" t="s">
        <v>177</v>
      </c>
      <c r="AS159" s="8">
        <v>1572.35</v>
      </c>
      <c r="AT159" s="146">
        <v>64.150000000000006</v>
      </c>
    </row>
    <row r="160" spans="1:46" ht="30" customHeight="1" x14ac:dyDescent="0.3">
      <c r="A160" s="107"/>
      <c r="B160" s="90" t="s">
        <v>99</v>
      </c>
      <c r="C160" s="108">
        <v>62</v>
      </c>
      <c r="D160" s="108">
        <v>77570</v>
      </c>
      <c r="E160" s="108"/>
      <c r="F160" s="17" t="s">
        <v>321</v>
      </c>
      <c r="G160" s="17" t="s">
        <v>228</v>
      </c>
      <c r="H160" s="16" t="s">
        <v>357</v>
      </c>
      <c r="I160" s="108">
        <v>1</v>
      </c>
      <c r="J160" s="108"/>
      <c r="K160" s="108"/>
      <c r="L160" s="108"/>
      <c r="M160" s="108"/>
      <c r="N160" s="110" t="s">
        <v>56</v>
      </c>
      <c r="O160" s="110">
        <f t="shared" si="18"/>
        <v>1</v>
      </c>
      <c r="P160" s="18">
        <v>44873</v>
      </c>
      <c r="Q160" s="124"/>
      <c r="R160" s="111">
        <v>1</v>
      </c>
      <c r="S160" s="111">
        <v>1</v>
      </c>
      <c r="T160" s="111">
        <v>0</v>
      </c>
      <c r="U160" s="112">
        <f>IF(ISBLANK(Table1[[#This Row],[OHC Date]]),$B$7-Table1[[#This Row],[HOC Date]]+1,Table1[[#This Row],[OHC Date]]-Table1[[#This Row],[HOC Date]]+1)/7</f>
        <v>2.5714285714285716</v>
      </c>
      <c r="V160" s="113"/>
      <c r="W160" s="113"/>
      <c r="X160" s="113">
        <f>ROUND(0.7*Table1[[#This Row],[E&amp;D Rate per unit]]*R160*Table1[[#This Row],[Quantity]],2)</f>
        <v>0</v>
      </c>
      <c r="Y160" s="113">
        <f t="shared" si="19"/>
        <v>0</v>
      </c>
      <c r="Z160" s="113">
        <f>ROUND(0.3*T160*Table1[[#This Row],[E&amp;D Rate per unit]]*Table1[[#This Row],[Quantity]],2)</f>
        <v>0</v>
      </c>
      <c r="AA160" s="113">
        <v>0</v>
      </c>
      <c r="AB160" s="135"/>
      <c r="AC160" s="135">
        <v>0</v>
      </c>
      <c r="AD160" s="114"/>
      <c r="AE160" s="153"/>
      <c r="AF160" s="161">
        <f>Table1[[#This Row],[Certified Amount (Cum)]]-Table1[[#This Row],[Certified Amount (Previous)]]</f>
        <v>0</v>
      </c>
      <c r="AG160" s="160">
        <f t="shared" si="20"/>
        <v>0</v>
      </c>
      <c r="AH160" s="158">
        <f>Table1[[#This Row],[Certified Amount (Cum)]]-Table1[[#This Row],[Total Amount]]</f>
        <v>0</v>
      </c>
      <c r="AK160" s="169">
        <f>Table1[[#This Row],[E&amp;D Rate per unit]]*Table1[[#This Row],[Quantity]]+Table1[[#This Row],[Hire Charges]]+Table1[[#This Row],[Dismantle Charges]]</f>
        <v>0</v>
      </c>
      <c r="AL160" s="8">
        <f>SUM(Table1[[#This Row],[Erect Charges]:[Dismantle Charges]])</f>
        <v>0</v>
      </c>
    </row>
    <row r="161" spans="1:46" ht="30" customHeight="1" x14ac:dyDescent="0.3">
      <c r="A161" s="107"/>
      <c r="B161" s="90" t="s">
        <v>99</v>
      </c>
      <c r="C161" s="108">
        <v>63</v>
      </c>
      <c r="D161" s="108">
        <v>77571</v>
      </c>
      <c r="E161" s="108"/>
      <c r="F161" s="17" t="s">
        <v>321</v>
      </c>
      <c r="G161" s="17" t="s">
        <v>228</v>
      </c>
      <c r="H161" s="16" t="s">
        <v>357</v>
      </c>
      <c r="I161" s="108">
        <v>1</v>
      </c>
      <c r="J161" s="108"/>
      <c r="K161" s="108"/>
      <c r="L161" s="108"/>
      <c r="M161" s="108"/>
      <c r="N161" s="91" t="s">
        <v>56</v>
      </c>
      <c r="O161" s="110">
        <f t="shared" si="18"/>
        <v>1</v>
      </c>
      <c r="P161" s="18">
        <v>44873</v>
      </c>
      <c r="Q161" s="124"/>
      <c r="R161" s="111">
        <v>1</v>
      </c>
      <c r="S161" s="111">
        <v>1</v>
      </c>
      <c r="T161" s="111">
        <v>0</v>
      </c>
      <c r="U161" s="112">
        <f>IF(ISBLANK(Table1[[#This Row],[OHC Date]]),$B$7-Table1[[#This Row],[HOC Date]]+1,Table1[[#This Row],[OHC Date]]-Table1[[#This Row],[HOC Date]]+1)/7</f>
        <v>2.5714285714285716</v>
      </c>
      <c r="V161" s="113"/>
      <c r="W161" s="113"/>
      <c r="X161" s="113">
        <f>ROUND(0.7*Table1[[#This Row],[E&amp;D Rate per unit]]*R161*Table1[[#This Row],[Quantity]],2)</f>
        <v>0</v>
      </c>
      <c r="Y161" s="113">
        <f t="shared" si="19"/>
        <v>0</v>
      </c>
      <c r="Z161" s="113">
        <f>ROUND(0.3*T161*Table1[[#This Row],[E&amp;D Rate per unit]]*Table1[[#This Row],[Quantity]],2)</f>
        <v>0</v>
      </c>
      <c r="AA161" s="113">
        <v>0</v>
      </c>
      <c r="AB161" s="135"/>
      <c r="AC161" s="135">
        <v>0</v>
      </c>
      <c r="AD161" s="114"/>
      <c r="AE161" s="153"/>
      <c r="AF161" s="161">
        <f>Table1[[#This Row],[Certified Amount (Cum)]]-Table1[[#This Row],[Certified Amount (Previous)]]</f>
        <v>0</v>
      </c>
      <c r="AG161" s="160">
        <f t="shared" si="20"/>
        <v>0</v>
      </c>
      <c r="AH161" s="158">
        <f>Table1[[#This Row],[Certified Amount (Cum)]]-Table1[[#This Row],[Total Amount]]</f>
        <v>0</v>
      </c>
      <c r="AK161" s="169">
        <f>Table1[[#This Row],[E&amp;D Rate per unit]]*Table1[[#This Row],[Quantity]]+Table1[[#This Row],[Hire Charges]]+Table1[[#This Row],[Dismantle Charges]]</f>
        <v>0</v>
      </c>
      <c r="AL161" s="8">
        <f>SUM(Table1[[#This Row],[Erect Charges]:[Dismantle Charges]])</f>
        <v>0</v>
      </c>
      <c r="AP161" s="170">
        <f>12.01+12.01+37.43+6.63+8.52+20.5</f>
        <v>97.1</v>
      </c>
      <c r="AQ161" s="8">
        <f>0.49+0.49+1.4+0.7</f>
        <v>3.08</v>
      </c>
    </row>
    <row r="162" spans="1:46" ht="30" customHeight="1" x14ac:dyDescent="0.3">
      <c r="A162" s="107"/>
      <c r="B162" s="90" t="s">
        <v>99</v>
      </c>
      <c r="C162" s="108">
        <v>64</v>
      </c>
      <c r="D162" s="108">
        <v>77572</v>
      </c>
      <c r="E162" s="108"/>
      <c r="F162" s="17" t="s">
        <v>321</v>
      </c>
      <c r="G162" s="17" t="s">
        <v>358</v>
      </c>
      <c r="H162" s="16" t="s">
        <v>368</v>
      </c>
      <c r="I162" s="108">
        <v>1</v>
      </c>
      <c r="J162" s="108"/>
      <c r="K162" s="108"/>
      <c r="L162" s="108"/>
      <c r="M162" s="108"/>
      <c r="N162" s="91" t="s">
        <v>56</v>
      </c>
      <c r="O162" s="110">
        <f t="shared" si="18"/>
        <v>1</v>
      </c>
      <c r="P162" s="18">
        <v>44874</v>
      </c>
      <c r="Q162" s="124"/>
      <c r="R162" s="111">
        <v>1</v>
      </c>
      <c r="S162" s="111">
        <v>1</v>
      </c>
      <c r="T162" s="111">
        <v>0</v>
      </c>
      <c r="U162" s="112">
        <f>IF(ISBLANK(Table1[[#This Row],[OHC Date]]),$B$7-Table1[[#This Row],[HOC Date]]+1,Table1[[#This Row],[OHC Date]]-Table1[[#This Row],[HOC Date]]+1)/7</f>
        <v>2.4285714285714284</v>
      </c>
      <c r="V162" s="113"/>
      <c r="W162" s="113"/>
      <c r="X162" s="113">
        <f>ROUND(0.7*Table1[[#This Row],[E&amp;D Rate per unit]]*R162*Table1[[#This Row],[Quantity]],2)</f>
        <v>0</v>
      </c>
      <c r="Y162" s="113">
        <f t="shared" si="19"/>
        <v>0</v>
      </c>
      <c r="Z162" s="113">
        <f>ROUND(0.3*T162*Table1[[#This Row],[E&amp;D Rate per unit]]*Table1[[#This Row],[Quantity]],2)</f>
        <v>0</v>
      </c>
      <c r="AA162" s="113">
        <v>0</v>
      </c>
      <c r="AB162" s="135"/>
      <c r="AC162" s="135">
        <v>0</v>
      </c>
      <c r="AD162" s="114"/>
      <c r="AE162" s="153"/>
      <c r="AF162" s="161">
        <f>Table1[[#This Row],[Certified Amount (Cum)]]-Table1[[#This Row],[Certified Amount (Previous)]]</f>
        <v>0</v>
      </c>
      <c r="AG162" s="160">
        <f t="shared" si="20"/>
        <v>0</v>
      </c>
      <c r="AH162" s="158">
        <f>Table1[[#This Row],[Certified Amount (Cum)]]-Table1[[#This Row],[Total Amount]]</f>
        <v>0</v>
      </c>
      <c r="AK162" s="169">
        <f>Table1[[#This Row],[E&amp;D Rate per unit]]*Table1[[#This Row],[Quantity]]+Table1[[#This Row],[Hire Charges]]+Table1[[#This Row],[Dismantle Charges]]</f>
        <v>0</v>
      </c>
      <c r="AL162" s="8">
        <f>SUM(Table1[[#This Row],[Erect Charges]:[Dismantle Charges]])</f>
        <v>0</v>
      </c>
    </row>
    <row r="163" spans="1:46" ht="30" customHeight="1" x14ac:dyDescent="0.3">
      <c r="A163" s="107"/>
      <c r="B163" s="90" t="s">
        <v>99</v>
      </c>
      <c r="C163" s="108">
        <v>65</v>
      </c>
      <c r="D163" s="108">
        <v>77573</v>
      </c>
      <c r="E163" s="108"/>
      <c r="F163" s="17" t="s">
        <v>321</v>
      </c>
      <c r="G163" s="17" t="s">
        <v>358</v>
      </c>
      <c r="H163" s="16" t="s">
        <v>368</v>
      </c>
      <c r="I163" s="108">
        <v>1</v>
      </c>
      <c r="J163" s="108"/>
      <c r="K163" s="108"/>
      <c r="L163" s="108"/>
      <c r="M163" s="108"/>
      <c r="N163" s="91" t="s">
        <v>56</v>
      </c>
      <c r="O163" s="110">
        <f t="shared" si="18"/>
        <v>1</v>
      </c>
      <c r="P163" s="18">
        <v>44874</v>
      </c>
      <c r="Q163" s="124"/>
      <c r="R163" s="111">
        <v>1</v>
      </c>
      <c r="S163" s="111">
        <v>1</v>
      </c>
      <c r="T163" s="111">
        <v>0</v>
      </c>
      <c r="U163" s="112">
        <f>IF(ISBLANK(Table1[[#This Row],[OHC Date]]),$B$7-Table1[[#This Row],[HOC Date]]+1,Table1[[#This Row],[OHC Date]]-Table1[[#This Row],[HOC Date]]+1)/7</f>
        <v>2.4285714285714284</v>
      </c>
      <c r="V163" s="113"/>
      <c r="W163" s="113"/>
      <c r="X163" s="113">
        <f>ROUND(0.7*Table1[[#This Row],[E&amp;D Rate per unit]]*R163*Table1[[#This Row],[Quantity]],2)</f>
        <v>0</v>
      </c>
      <c r="Y163" s="113">
        <f t="shared" si="19"/>
        <v>0</v>
      </c>
      <c r="Z163" s="113">
        <f>ROUND(0.3*T163*Table1[[#This Row],[E&amp;D Rate per unit]]*Table1[[#This Row],[Quantity]],2)</f>
        <v>0</v>
      </c>
      <c r="AA163" s="113">
        <v>0</v>
      </c>
      <c r="AB163" s="135"/>
      <c r="AC163" s="135">
        <v>0</v>
      </c>
      <c r="AD163" s="114"/>
      <c r="AE163" s="153"/>
      <c r="AF163" s="161">
        <f>Table1[[#This Row],[Certified Amount (Cum)]]-Table1[[#This Row],[Certified Amount (Previous)]]</f>
        <v>0</v>
      </c>
      <c r="AG163" s="160">
        <f t="shared" si="20"/>
        <v>0</v>
      </c>
      <c r="AH163" s="158">
        <f>Table1[[#This Row],[Certified Amount (Cum)]]-Table1[[#This Row],[Total Amount]]</f>
        <v>0</v>
      </c>
      <c r="AK163" s="169">
        <f>Table1[[#This Row],[E&amp;D Rate per unit]]*Table1[[#This Row],[Quantity]]+Table1[[#This Row],[Hire Charges]]+Table1[[#This Row],[Dismantle Charges]]</f>
        <v>0</v>
      </c>
      <c r="AL163" s="8">
        <f>SUM(Table1[[#This Row],[Erect Charges]:[Dismantle Charges]])</f>
        <v>0</v>
      </c>
    </row>
    <row r="164" spans="1:46" ht="30" customHeight="1" x14ac:dyDescent="0.3">
      <c r="A164" s="90" t="s">
        <v>91</v>
      </c>
      <c r="B164" s="90" t="s">
        <v>99</v>
      </c>
      <c r="C164" s="147" t="s">
        <v>359</v>
      </c>
      <c r="D164" s="108">
        <v>77574</v>
      </c>
      <c r="E164" s="108">
        <v>80522</v>
      </c>
      <c r="F164" s="17" t="s">
        <v>336</v>
      </c>
      <c r="G164" s="17" t="s">
        <v>192</v>
      </c>
      <c r="H164" s="108" t="s">
        <v>129</v>
      </c>
      <c r="I164" s="108">
        <v>1</v>
      </c>
      <c r="J164" s="108">
        <v>2</v>
      </c>
      <c r="K164" s="108">
        <v>1</v>
      </c>
      <c r="L164" s="108">
        <v>1</v>
      </c>
      <c r="M164" s="108">
        <v>1</v>
      </c>
      <c r="N164" s="110" t="s">
        <v>162</v>
      </c>
      <c r="O164" s="110">
        <f t="shared" si="18"/>
        <v>2</v>
      </c>
      <c r="P164" s="18">
        <v>44874</v>
      </c>
      <c r="Q164" s="124">
        <v>44879</v>
      </c>
      <c r="R164" s="111">
        <v>1</v>
      </c>
      <c r="S164" s="111">
        <v>1</v>
      </c>
      <c r="T164" s="111">
        <v>1</v>
      </c>
      <c r="U164" s="112">
        <f>IF(ISBLANK(Table1[[#This Row],[OHC Date]]),$B$7-Table1[[#This Row],[HOC Date]]+1,Table1[[#This Row],[OHC Date]]-Table1[[#This Row],[HOC Date]]+1)/7</f>
        <v>0.8571428571428571</v>
      </c>
      <c r="V164" s="113">
        <v>36.520000000000003</v>
      </c>
      <c r="W164" s="113">
        <v>2.94</v>
      </c>
      <c r="X164" s="113">
        <f>ROUND(0.7*Table1[[#This Row],[E&amp;D Rate per unit]]*R164*Table1[[#This Row],[Quantity]],2)</f>
        <v>51.13</v>
      </c>
      <c r="Y164" s="113">
        <f t="shared" si="19"/>
        <v>5.04</v>
      </c>
      <c r="Z164" s="113">
        <f>ROUND(0.3*T164*Table1[[#This Row],[E&amp;D Rate per unit]]*Table1[[#This Row],[Quantity]],2)</f>
        <v>21.91</v>
      </c>
      <c r="AA164" s="113">
        <v>78.08</v>
      </c>
      <c r="AB164" s="135"/>
      <c r="AC164" s="135">
        <v>78.08</v>
      </c>
      <c r="AD164" s="114"/>
      <c r="AE164" s="154"/>
      <c r="AF164" s="161">
        <f>Table1[[#This Row],[Certified Amount (Cum)]]-Table1[[#This Row],[Certified Amount (Previous)]]</f>
        <v>78.08</v>
      </c>
      <c r="AG164" s="160">
        <f t="shared" si="20"/>
        <v>78.08</v>
      </c>
      <c r="AH164" s="158">
        <f>Table1[[#This Row],[Certified Amount (Cum)]]-Table1[[#This Row],[Total Amount]]</f>
        <v>0</v>
      </c>
      <c r="AK164" s="169">
        <f>Table1[[#This Row],[E&amp;D Rate per unit]]*Table1[[#This Row],[Quantity]]+Table1[[#This Row],[Hire Charges]]+Table1[[#This Row],[Dismantle Charges]]</f>
        <v>99.990000000000009</v>
      </c>
      <c r="AL164" s="8">
        <f>SUM(Table1[[#This Row],[Erect Charges]:[Dismantle Charges]])</f>
        <v>78.08</v>
      </c>
      <c r="AR164" s="180" t="s">
        <v>185</v>
      </c>
      <c r="AS164" s="8">
        <v>2694.96</v>
      </c>
      <c r="AT164" s="8">
        <v>100.8</v>
      </c>
    </row>
    <row r="165" spans="1:46" ht="30" customHeight="1" x14ac:dyDescent="0.3">
      <c r="A165" s="90" t="s">
        <v>91</v>
      </c>
      <c r="B165" s="90" t="s">
        <v>99</v>
      </c>
      <c r="C165" s="147" t="s">
        <v>384</v>
      </c>
      <c r="D165" s="108">
        <v>77582</v>
      </c>
      <c r="E165" s="108">
        <v>80514</v>
      </c>
      <c r="F165" s="17" t="s">
        <v>385</v>
      </c>
      <c r="G165" s="17" t="s">
        <v>202</v>
      </c>
      <c r="H165" s="108" t="s">
        <v>120</v>
      </c>
      <c r="I165" s="108">
        <v>1</v>
      </c>
      <c r="J165" s="108">
        <v>4</v>
      </c>
      <c r="K165" s="108">
        <v>2.5</v>
      </c>
      <c r="L165" s="108">
        <v>4</v>
      </c>
      <c r="M165" s="108">
        <v>1</v>
      </c>
      <c r="N165" s="110" t="s">
        <v>208</v>
      </c>
      <c r="O165" s="110">
        <f>ROUND(IF(N165="m3",I165*J165*K165*L165,IF(N165="m2-LxH",I165*J165*L165,IF(N165="m2-LxW",I165*J165*K165,IF(N165="rm",I165*L165,IF(N165="lm",I165*J165,IF(N165="unit",I165,"NA")))))),2)</f>
        <v>16</v>
      </c>
      <c r="P165" s="18">
        <v>44874</v>
      </c>
      <c r="Q165" s="124">
        <v>44879</v>
      </c>
      <c r="R165" s="111">
        <v>1</v>
      </c>
      <c r="S165" s="111">
        <v>1</v>
      </c>
      <c r="T165" s="111">
        <v>1</v>
      </c>
      <c r="U165" s="112">
        <f>IF(ISBLANK(Table1[[#This Row],[OHC Date]]),$B$7-Table1[[#This Row],[HOC Date]]+1,Table1[[#This Row],[OHC Date]]-Table1[[#This Row],[HOC Date]]+1)/7</f>
        <v>0.8571428571428571</v>
      </c>
      <c r="V165" s="113">
        <v>16.760000000000002</v>
      </c>
      <c r="W165" s="113">
        <v>0.77</v>
      </c>
      <c r="X165" s="113">
        <f>ROUND(0.7*Table1[[#This Row],[E&amp;D Rate per unit]]*R165*Table1[[#This Row],[Quantity]],2)</f>
        <v>187.71</v>
      </c>
      <c r="Y165" s="113">
        <f>ROUND(O165*U165*W165*S165,2)</f>
        <v>10.56</v>
      </c>
      <c r="Z165" s="113">
        <f>ROUND(0.3*T165*Table1[[#This Row],[E&amp;D Rate per unit]]*Table1[[#This Row],[Quantity]],2)</f>
        <v>80.45</v>
      </c>
      <c r="AA165" s="113">
        <v>278.72000000000003</v>
      </c>
      <c r="AB165" s="135"/>
      <c r="AC165" s="135">
        <v>278.72000000000003</v>
      </c>
      <c r="AD165" s="114"/>
      <c r="AE165" s="154"/>
      <c r="AF165" s="161">
        <f>Table1[[#This Row],[Certified Amount (Cum)]]-Table1[[#This Row],[Certified Amount (Previous)]]</f>
        <v>278.72000000000003</v>
      </c>
      <c r="AG165" s="160">
        <f t="shared" si="20"/>
        <v>278.72000000000003</v>
      </c>
      <c r="AH165" s="158">
        <f>Table1[[#This Row],[Certified Amount (Cum)]]-Table1[[#This Row],[Total Amount]]</f>
        <v>0</v>
      </c>
      <c r="AK165" s="169">
        <f>Table1[[#This Row],[E&amp;D Rate per unit]]*Table1[[#This Row],[Quantity]]+Table1[[#This Row],[Hire Charges]]+Table1[[#This Row],[Dismantle Charges]]</f>
        <v>359.17</v>
      </c>
      <c r="AL165" s="8">
        <f>SUM(Table1[[#This Row],[Erect Charges]:[Dismantle Charges]])</f>
        <v>278.72000000000003</v>
      </c>
      <c r="AR165" s="180" t="s">
        <v>259</v>
      </c>
      <c r="AS165" s="8">
        <v>651</v>
      </c>
      <c r="AT165" s="8">
        <v>68.73</v>
      </c>
    </row>
    <row r="166" spans="1:46" ht="30" customHeight="1" x14ac:dyDescent="0.3">
      <c r="A166" s="90" t="s">
        <v>91</v>
      </c>
      <c r="B166" s="90" t="s">
        <v>99</v>
      </c>
      <c r="C166" s="147" t="s">
        <v>360</v>
      </c>
      <c r="D166" s="108">
        <v>77575</v>
      </c>
      <c r="E166" s="108">
        <v>80505</v>
      </c>
      <c r="F166" s="17" t="s">
        <v>336</v>
      </c>
      <c r="G166" s="17" t="s">
        <v>192</v>
      </c>
      <c r="H166" s="108" t="s">
        <v>129</v>
      </c>
      <c r="I166" s="108">
        <v>1</v>
      </c>
      <c r="J166" s="108">
        <v>1.5</v>
      </c>
      <c r="K166" s="108">
        <v>1</v>
      </c>
      <c r="L166" s="108">
        <v>1</v>
      </c>
      <c r="M166" s="108">
        <v>1</v>
      </c>
      <c r="N166" s="110" t="s">
        <v>162</v>
      </c>
      <c r="O166" s="110">
        <f t="shared" si="18"/>
        <v>1.5</v>
      </c>
      <c r="P166" s="18">
        <v>44875</v>
      </c>
      <c r="Q166" s="124">
        <v>44875</v>
      </c>
      <c r="R166" s="111">
        <v>1</v>
      </c>
      <c r="S166" s="111">
        <v>1</v>
      </c>
      <c r="T166" s="111">
        <v>1</v>
      </c>
      <c r="U166" s="112">
        <f>IF(ISBLANK(Table1[[#This Row],[OHC Date]]),$B$7-Table1[[#This Row],[HOC Date]]+1,Table1[[#This Row],[OHC Date]]-Table1[[#This Row],[HOC Date]]+1)/7</f>
        <v>0.14285714285714285</v>
      </c>
      <c r="V166" s="113">
        <v>36.520000000000003</v>
      </c>
      <c r="W166" s="113">
        <v>2.94</v>
      </c>
      <c r="X166" s="113">
        <f>ROUND(0.7*Table1[[#This Row],[E&amp;D Rate per unit]]*R166*Table1[[#This Row],[Quantity]],2)</f>
        <v>38.35</v>
      </c>
      <c r="Y166" s="113">
        <f t="shared" si="19"/>
        <v>0.63</v>
      </c>
      <c r="Z166" s="113">
        <f>ROUND(0.3*T166*Table1[[#This Row],[E&amp;D Rate per unit]]*Table1[[#This Row],[Quantity]],2)</f>
        <v>16.43</v>
      </c>
      <c r="AA166" s="113">
        <v>55.41</v>
      </c>
      <c r="AB166" s="135"/>
      <c r="AC166" s="135">
        <v>55.41</v>
      </c>
      <c r="AD166" s="114"/>
      <c r="AE166" s="154"/>
      <c r="AF166" s="161">
        <f>Table1[[#This Row],[Certified Amount (Cum)]]-Table1[[#This Row],[Certified Amount (Previous)]]</f>
        <v>55.410000000000004</v>
      </c>
      <c r="AG166" s="160">
        <f t="shared" si="20"/>
        <v>55.410000000000004</v>
      </c>
      <c r="AH166" s="158">
        <f>Table1[[#This Row],[Certified Amount (Cum)]]-Table1[[#This Row],[Total Amount]]</f>
        <v>0</v>
      </c>
      <c r="AK166" s="169">
        <f>Table1[[#This Row],[E&amp;D Rate per unit]]*Table1[[#This Row],[Quantity]]+Table1[[#This Row],[Hire Charges]]+Table1[[#This Row],[Dismantle Charges]]</f>
        <v>71.84</v>
      </c>
      <c r="AL166" s="8">
        <f>SUM(Table1[[#This Row],[Erect Charges]:[Dismantle Charges]])</f>
        <v>55.410000000000004</v>
      </c>
      <c r="AR166" s="180">
        <v>5</v>
      </c>
      <c r="AS166" s="8">
        <v>836.66</v>
      </c>
    </row>
    <row r="167" spans="1:46" ht="30" customHeight="1" x14ac:dyDescent="0.3">
      <c r="A167" s="90" t="s">
        <v>91</v>
      </c>
      <c r="B167" s="90" t="s">
        <v>99</v>
      </c>
      <c r="C167" s="147">
        <v>66</v>
      </c>
      <c r="D167" s="16">
        <v>77576</v>
      </c>
      <c r="E167" s="16"/>
      <c r="F167" s="17" t="s">
        <v>217</v>
      </c>
      <c r="G167" s="17" t="s">
        <v>218</v>
      </c>
      <c r="H167" s="16" t="s">
        <v>222</v>
      </c>
      <c r="I167" s="16">
        <v>1</v>
      </c>
      <c r="J167" s="16">
        <v>2.5</v>
      </c>
      <c r="K167" s="16">
        <v>1.8</v>
      </c>
      <c r="L167" s="16">
        <v>2</v>
      </c>
      <c r="M167" s="16">
        <v>1</v>
      </c>
      <c r="N167" s="91" t="s">
        <v>223</v>
      </c>
      <c r="O167" s="91">
        <f t="shared" si="18"/>
        <v>2</v>
      </c>
      <c r="P167" s="18">
        <v>44875</v>
      </c>
      <c r="Q167" s="18"/>
      <c r="R167" s="19">
        <v>1</v>
      </c>
      <c r="S167" s="19">
        <v>1</v>
      </c>
      <c r="T167" s="19">
        <v>0</v>
      </c>
      <c r="U167" s="20">
        <f>IF(ISBLANK(Table1[[#This Row],[OHC Date]]),$B$7-Table1[[#This Row],[HOC Date]]+1,Table1[[#This Row],[OHC Date]]-Table1[[#This Row],[HOC Date]]+1)/7</f>
        <v>2.2857142857142856</v>
      </c>
      <c r="V167" s="21">
        <v>63.34</v>
      </c>
      <c r="W167" s="21">
        <v>7.28</v>
      </c>
      <c r="X167" s="21">
        <f>ROUND(0.7*Table1[[#This Row],[E&amp;D Rate per unit]]*R167*Table1[[#This Row],[Quantity]],2)</f>
        <v>88.68</v>
      </c>
      <c r="Y167" s="21">
        <f t="shared" si="19"/>
        <v>33.28</v>
      </c>
      <c r="Z167" s="21">
        <f>ROUND(0.3*T167*Table1[[#This Row],[E&amp;D Rate per unit]]*Table1[[#This Row],[Quantity]],2)</f>
        <v>0</v>
      </c>
      <c r="AA167" s="21">
        <v>121.96</v>
      </c>
      <c r="AB167" s="138"/>
      <c r="AC167" s="138">
        <v>121.96</v>
      </c>
      <c r="AD167" s="136" t="s">
        <v>361</v>
      </c>
      <c r="AE167" s="154"/>
      <c r="AF167" s="161">
        <f>Table1[[#This Row],[Certified Amount (Cum)]]-Table1[[#This Row],[Certified Amount (Previous)]]</f>
        <v>121.96000000000001</v>
      </c>
      <c r="AG167" s="160">
        <f t="shared" si="20"/>
        <v>121.96000000000001</v>
      </c>
      <c r="AH167" s="158">
        <f>Table1[[#This Row],[Certified Amount (Cum)]]-Table1[[#This Row],[Total Amount]]</f>
        <v>0</v>
      </c>
      <c r="AK167" s="169">
        <f>Table1[[#This Row],[E&amp;D Rate per unit]]*Table1[[#This Row],[Quantity]]+Table1[[#This Row],[Hire Charges]]+Table1[[#This Row],[Dismantle Charges]]</f>
        <v>159.96</v>
      </c>
      <c r="AL167" s="8">
        <f>SUM(Table1[[#This Row],[Erect Charges]:[Dismantle Charges]])</f>
        <v>121.96000000000001</v>
      </c>
      <c r="AR167" s="180">
        <v>6</v>
      </c>
      <c r="AS167" s="8">
        <v>6560</v>
      </c>
    </row>
    <row r="168" spans="1:46" ht="30" customHeight="1" x14ac:dyDescent="0.3">
      <c r="A168" s="90" t="s">
        <v>91</v>
      </c>
      <c r="B168" s="90" t="s">
        <v>99</v>
      </c>
      <c r="C168" s="147">
        <v>67</v>
      </c>
      <c r="D168" s="16">
        <v>77577</v>
      </c>
      <c r="E168" s="16">
        <v>80530</v>
      </c>
      <c r="F168" s="17" t="s">
        <v>362</v>
      </c>
      <c r="G168" s="17" t="s">
        <v>202</v>
      </c>
      <c r="H168" s="16" t="s">
        <v>121</v>
      </c>
      <c r="I168" s="16">
        <v>1</v>
      </c>
      <c r="J168" s="16">
        <v>3.1</v>
      </c>
      <c r="K168" s="16">
        <v>2.6</v>
      </c>
      <c r="L168" s="16">
        <v>4</v>
      </c>
      <c r="M168" s="16">
        <v>1</v>
      </c>
      <c r="N168" s="91" t="s">
        <v>226</v>
      </c>
      <c r="O168" s="91">
        <f t="shared" si="18"/>
        <v>32.24</v>
      </c>
      <c r="P168" s="18">
        <v>44875</v>
      </c>
      <c r="Q168" s="18">
        <v>44884</v>
      </c>
      <c r="R168" s="19">
        <v>1</v>
      </c>
      <c r="S168" s="19">
        <v>1</v>
      </c>
      <c r="T168" s="19">
        <v>1</v>
      </c>
      <c r="U168" s="20">
        <f>IF(ISBLANK(Table1[[#This Row],[OHC Date]]),$B$7-Table1[[#This Row],[HOC Date]]+1,Table1[[#This Row],[OHC Date]]-Table1[[#This Row],[HOC Date]]+1)/7</f>
        <v>1.4285714285714286</v>
      </c>
      <c r="V168" s="21">
        <v>7.08</v>
      </c>
      <c r="W168" s="21">
        <v>0.49</v>
      </c>
      <c r="X168" s="21">
        <f>ROUND(0.7*Table1[[#This Row],[E&amp;D Rate per unit]]*R168*Table1[[#This Row],[Quantity]],2)</f>
        <v>159.78</v>
      </c>
      <c r="Y168" s="21">
        <f t="shared" si="19"/>
        <v>22.57</v>
      </c>
      <c r="Z168" s="21">
        <f>ROUND(0.3*T168*Table1[[#This Row],[E&amp;D Rate per unit]]*Table1[[#This Row],[Quantity]],2)</f>
        <v>68.48</v>
      </c>
      <c r="AA168" s="21">
        <v>250.83</v>
      </c>
      <c r="AB168" s="138"/>
      <c r="AC168" s="138">
        <v>250.83</v>
      </c>
      <c r="AD168" s="136" t="s">
        <v>363</v>
      </c>
      <c r="AE168" s="154"/>
      <c r="AF168" s="161">
        <f>Table1[[#This Row],[Certified Amount (Cum)]]-Table1[[#This Row],[Certified Amount (Previous)]]</f>
        <v>250.82999999999998</v>
      </c>
      <c r="AG168" s="160">
        <f t="shared" si="20"/>
        <v>250.82999999999998</v>
      </c>
      <c r="AH168" s="158">
        <f>Table1[[#This Row],[Certified Amount (Cum)]]-Table1[[#This Row],[Total Amount]]</f>
        <v>0</v>
      </c>
      <c r="AK168" s="169">
        <f>Table1[[#This Row],[E&amp;D Rate per unit]]*Table1[[#This Row],[Quantity]]+Table1[[#This Row],[Hire Charges]]+Table1[[#This Row],[Dismantle Charges]]</f>
        <v>319.30920000000003</v>
      </c>
      <c r="AL168" s="8">
        <f>SUM(Table1[[#This Row],[Erect Charges]:[Dismantle Charges]])</f>
        <v>250.82999999999998</v>
      </c>
      <c r="AO168" s="8">
        <f>15415.16-12334.44</f>
        <v>3080.7199999999993</v>
      </c>
    </row>
    <row r="169" spans="1:46" ht="30" customHeight="1" x14ac:dyDescent="0.3">
      <c r="A169" s="90" t="s">
        <v>91</v>
      </c>
      <c r="B169" s="90" t="s">
        <v>99</v>
      </c>
      <c r="C169" s="147">
        <v>68</v>
      </c>
      <c r="D169" s="16">
        <v>77579</v>
      </c>
      <c r="E169" s="16"/>
      <c r="F169" s="17" t="s">
        <v>364</v>
      </c>
      <c r="G169" s="17" t="s">
        <v>365</v>
      </c>
      <c r="H169" s="16" t="s">
        <v>207</v>
      </c>
      <c r="I169" s="16">
        <v>1</v>
      </c>
      <c r="J169" s="16">
        <v>6.3</v>
      </c>
      <c r="K169" s="16">
        <v>1.3</v>
      </c>
      <c r="L169" s="16">
        <v>3</v>
      </c>
      <c r="M169" s="16">
        <v>1</v>
      </c>
      <c r="N169" s="91" t="s">
        <v>208</v>
      </c>
      <c r="O169" s="91">
        <f t="shared" si="18"/>
        <v>18.899999999999999</v>
      </c>
      <c r="P169" s="18">
        <v>44875</v>
      </c>
      <c r="Q169" s="18"/>
      <c r="R169" s="19">
        <v>1</v>
      </c>
      <c r="S169" s="19">
        <v>1</v>
      </c>
      <c r="T169" s="19">
        <v>0</v>
      </c>
      <c r="U169" s="20">
        <f>IF(ISBLANK(Table1[[#This Row],[OHC Date]]),$B$7-Table1[[#This Row],[HOC Date]]+1,Table1[[#This Row],[OHC Date]]-Table1[[#This Row],[HOC Date]]+1)/7</f>
        <v>2.2857142857142856</v>
      </c>
      <c r="V169" s="21">
        <v>12.01</v>
      </c>
      <c r="W169" s="21">
        <v>0.49</v>
      </c>
      <c r="X169" s="21">
        <f>ROUND(0.7*Table1[[#This Row],[E&amp;D Rate per unit]]*R169*Table1[[#This Row],[Quantity]],2)</f>
        <v>158.88999999999999</v>
      </c>
      <c r="Y169" s="21">
        <f t="shared" si="19"/>
        <v>21.17</v>
      </c>
      <c r="Z169" s="21">
        <f>ROUND(0.3*T169*Table1[[#This Row],[E&amp;D Rate per unit]]*Table1[[#This Row],[Quantity]],2)</f>
        <v>0</v>
      </c>
      <c r="AA169" s="21">
        <v>180.06</v>
      </c>
      <c r="AB169" s="138"/>
      <c r="AC169" s="138">
        <v>180.06</v>
      </c>
      <c r="AD169" s="136" t="s">
        <v>361</v>
      </c>
      <c r="AE169" s="154"/>
      <c r="AF169" s="161">
        <f>Table1[[#This Row],[Certified Amount (Cum)]]-Table1[[#This Row],[Certified Amount (Previous)]]</f>
        <v>180.06</v>
      </c>
      <c r="AG169" s="160">
        <f t="shared" si="20"/>
        <v>180.06</v>
      </c>
      <c r="AH169" s="158">
        <f>Table1[[#This Row],[Certified Amount (Cum)]]-Table1[[#This Row],[Total Amount]]</f>
        <v>0</v>
      </c>
      <c r="AK169" s="169">
        <f>Table1[[#This Row],[E&amp;D Rate per unit]]*Table1[[#This Row],[Quantity]]+Table1[[#This Row],[Hire Charges]]+Table1[[#This Row],[Dismantle Charges]]</f>
        <v>248.15899999999999</v>
      </c>
      <c r="AL169" s="8">
        <f>SUM(Table1[[#This Row],[Erect Charges]:[Dismantle Charges]])</f>
        <v>180.06</v>
      </c>
      <c r="AS169" s="8">
        <f>SUM(AS158:AS167)</f>
        <v>13887.32</v>
      </c>
      <c r="AT169" s="8">
        <f>SUM(AT158:AT165)</f>
        <v>297.83000000000004</v>
      </c>
    </row>
    <row r="170" spans="1:46" ht="30" customHeight="1" x14ac:dyDescent="0.3">
      <c r="A170" s="90" t="s">
        <v>91</v>
      </c>
      <c r="B170" s="90" t="s">
        <v>99</v>
      </c>
      <c r="C170" s="147" t="s">
        <v>366</v>
      </c>
      <c r="D170" s="16">
        <v>77580</v>
      </c>
      <c r="E170" s="16"/>
      <c r="F170" s="17" t="s">
        <v>364</v>
      </c>
      <c r="G170" s="17" t="s">
        <v>365</v>
      </c>
      <c r="H170" s="16" t="s">
        <v>207</v>
      </c>
      <c r="I170" s="16">
        <v>1</v>
      </c>
      <c r="J170" s="16">
        <v>3.5</v>
      </c>
      <c r="K170" s="16">
        <v>1.3</v>
      </c>
      <c r="L170" s="16">
        <v>4.5</v>
      </c>
      <c r="M170" s="16">
        <v>1</v>
      </c>
      <c r="N170" s="91" t="s">
        <v>208</v>
      </c>
      <c r="O170" s="91">
        <f t="shared" si="18"/>
        <v>15.75</v>
      </c>
      <c r="P170" s="18">
        <v>44875</v>
      </c>
      <c r="Q170" s="18"/>
      <c r="R170" s="19">
        <v>1</v>
      </c>
      <c r="S170" s="19">
        <v>1</v>
      </c>
      <c r="T170" s="19">
        <v>0</v>
      </c>
      <c r="U170" s="20">
        <f>IF(ISBLANK(Table1[[#This Row],[OHC Date]]),$B$7-Table1[[#This Row],[HOC Date]]+1,Table1[[#This Row],[OHC Date]]-Table1[[#This Row],[HOC Date]]+1)/7</f>
        <v>2.2857142857142856</v>
      </c>
      <c r="V170" s="21">
        <v>12.01</v>
      </c>
      <c r="W170" s="21">
        <v>0.49</v>
      </c>
      <c r="X170" s="21">
        <f>ROUND(0.7*Table1[[#This Row],[E&amp;D Rate per unit]]*R170*Table1[[#This Row],[Quantity]],2)</f>
        <v>132.41</v>
      </c>
      <c r="Y170" s="21">
        <f t="shared" si="19"/>
        <v>17.64</v>
      </c>
      <c r="Z170" s="21">
        <f>ROUND(0.3*T170*Table1[[#This Row],[E&amp;D Rate per unit]]*Table1[[#This Row],[Quantity]],2)</f>
        <v>0</v>
      </c>
      <c r="AA170" s="21">
        <v>150.05000000000001</v>
      </c>
      <c r="AB170" s="138"/>
      <c r="AC170" s="138">
        <v>150.05000000000001</v>
      </c>
      <c r="AD170" s="136" t="s">
        <v>361</v>
      </c>
      <c r="AE170" s="154"/>
      <c r="AF170" s="161">
        <f>Table1[[#This Row],[Certified Amount (Cum)]]-Table1[[#This Row],[Certified Amount (Previous)]]</f>
        <v>150.05000000000001</v>
      </c>
      <c r="AG170" s="160">
        <f t="shared" si="20"/>
        <v>150.05000000000001</v>
      </c>
      <c r="AH170" s="158">
        <f>Table1[[#This Row],[Certified Amount (Cum)]]-Table1[[#This Row],[Total Amount]]</f>
        <v>0</v>
      </c>
      <c r="AK170" s="169">
        <f>Table1[[#This Row],[E&amp;D Rate per unit]]*Table1[[#This Row],[Quantity]]+Table1[[#This Row],[Hire Charges]]+Table1[[#This Row],[Dismantle Charges]]</f>
        <v>206.79750000000001</v>
      </c>
      <c r="AL170" s="8">
        <f>SUM(Table1[[#This Row],[Erect Charges]:[Dismantle Charges]])</f>
        <v>150.05000000000001</v>
      </c>
    </row>
    <row r="171" spans="1:46" ht="30" customHeight="1" x14ac:dyDescent="0.3">
      <c r="A171" s="90" t="s">
        <v>91</v>
      </c>
      <c r="B171" s="90" t="s">
        <v>99</v>
      </c>
      <c r="C171" s="147">
        <v>69</v>
      </c>
      <c r="D171" s="16">
        <v>77581</v>
      </c>
      <c r="E171" s="16">
        <v>80518</v>
      </c>
      <c r="F171" s="17" t="s">
        <v>367</v>
      </c>
      <c r="G171" s="17" t="s">
        <v>228</v>
      </c>
      <c r="H171" s="16" t="s">
        <v>222</v>
      </c>
      <c r="I171" s="16">
        <v>1</v>
      </c>
      <c r="J171" s="16">
        <v>2.5</v>
      </c>
      <c r="K171" s="16">
        <v>1.3</v>
      </c>
      <c r="L171" s="16">
        <v>4</v>
      </c>
      <c r="M171" s="16">
        <v>1</v>
      </c>
      <c r="N171" s="91" t="s">
        <v>223</v>
      </c>
      <c r="O171" s="91">
        <f t="shared" si="18"/>
        <v>4</v>
      </c>
      <c r="P171" s="18">
        <v>44876</v>
      </c>
      <c r="Q171" s="18">
        <v>44879</v>
      </c>
      <c r="R171" s="19">
        <v>1</v>
      </c>
      <c r="S171" s="19">
        <v>1</v>
      </c>
      <c r="T171" s="19">
        <v>1</v>
      </c>
      <c r="U171" s="20">
        <f>IF(ISBLANK(Table1[[#This Row],[OHC Date]]),$B$7-Table1[[#This Row],[HOC Date]]+1,Table1[[#This Row],[OHC Date]]-Table1[[#This Row],[HOC Date]]+1)/7</f>
        <v>0.5714285714285714</v>
      </c>
      <c r="V171" s="21">
        <v>63.34</v>
      </c>
      <c r="W171" s="21">
        <v>7.28</v>
      </c>
      <c r="X171" s="21">
        <f>ROUND(0.7*Table1[[#This Row],[E&amp;D Rate per unit]]*R171*Table1[[#This Row],[Quantity]],2)</f>
        <v>177.35</v>
      </c>
      <c r="Y171" s="21">
        <f t="shared" si="19"/>
        <v>16.64</v>
      </c>
      <c r="Z171" s="21">
        <f>ROUND(0.3*T171*Table1[[#This Row],[E&amp;D Rate per unit]]*Table1[[#This Row],[Quantity]],2)</f>
        <v>76.010000000000005</v>
      </c>
      <c r="AA171" s="21">
        <v>270</v>
      </c>
      <c r="AB171" s="138"/>
      <c r="AC171" s="138">
        <v>270</v>
      </c>
      <c r="AD171" s="136"/>
      <c r="AE171" s="154"/>
      <c r="AF171" s="161">
        <f>Table1[[#This Row],[Certified Amount (Cum)]]-Table1[[#This Row],[Certified Amount (Previous)]]</f>
        <v>270</v>
      </c>
      <c r="AG171" s="160">
        <f t="shared" si="20"/>
        <v>270</v>
      </c>
      <c r="AH171" s="158">
        <f>Table1[[#This Row],[Certified Amount (Cum)]]-Table1[[#This Row],[Total Amount]]</f>
        <v>0</v>
      </c>
      <c r="AK171" s="169">
        <f>Table1[[#This Row],[E&amp;D Rate per unit]]*Table1[[#This Row],[Quantity]]+Table1[[#This Row],[Hire Charges]]+Table1[[#This Row],[Dismantle Charges]]</f>
        <v>346.01</v>
      </c>
      <c r="AL171" s="8">
        <f>SUM(Table1[[#This Row],[Erect Charges]:[Dismantle Charges]])</f>
        <v>270</v>
      </c>
    </row>
    <row r="172" spans="1:46" ht="30" customHeight="1" x14ac:dyDescent="0.3">
      <c r="A172" s="90" t="s">
        <v>91</v>
      </c>
      <c r="B172" s="90" t="s">
        <v>99</v>
      </c>
      <c r="C172" s="145">
        <v>70</v>
      </c>
      <c r="D172" s="108">
        <v>77583</v>
      </c>
      <c r="E172" s="108"/>
      <c r="F172" s="109" t="s">
        <v>369</v>
      </c>
      <c r="G172" s="17" t="s">
        <v>202</v>
      </c>
      <c r="H172" s="108" t="s">
        <v>222</v>
      </c>
      <c r="I172" s="108">
        <v>1</v>
      </c>
      <c r="J172" s="108">
        <v>1.3</v>
      </c>
      <c r="K172" s="108">
        <v>0.9</v>
      </c>
      <c r="L172" s="108">
        <v>4</v>
      </c>
      <c r="M172" s="108">
        <v>1</v>
      </c>
      <c r="N172" s="110" t="s">
        <v>223</v>
      </c>
      <c r="O172" s="110">
        <f t="shared" ref="O172:O205" si="21">ROUND(IF(N172="m3",I172*J172*K172*L172,IF(N172="m2-LxH",I172*J172*L172,IF(N172="m2-LxW",I172*J172*K172,IF(N172="rm",I172*L172,IF(N172="lm",I172*J172,IF(N172="unit",I172,"NA")))))),2)</f>
        <v>4</v>
      </c>
      <c r="P172" s="18">
        <v>44876</v>
      </c>
      <c r="Q172" s="124"/>
      <c r="R172" s="111">
        <v>1</v>
      </c>
      <c r="S172" s="111">
        <v>1</v>
      </c>
      <c r="T172" s="111">
        <v>0</v>
      </c>
      <c r="U172" s="112">
        <f>IF(ISBLANK(Table1[[#This Row],[OHC Date]]),$B$7-Table1[[#This Row],[HOC Date]]+1,Table1[[#This Row],[OHC Date]]-Table1[[#This Row],[HOC Date]]+1)/7</f>
        <v>2.1428571428571428</v>
      </c>
      <c r="V172" s="113">
        <v>63.34</v>
      </c>
      <c r="W172" s="113">
        <v>7.28</v>
      </c>
      <c r="X172" s="113">
        <f>ROUND(0.7*Table1[[#This Row],[E&amp;D Rate per unit]]*R172*Table1[[#This Row],[Quantity]],2)</f>
        <v>177.35</v>
      </c>
      <c r="Y172" s="113">
        <f t="shared" ref="Y172:Y205" si="22">ROUND(O172*U172*W172*S172,2)</f>
        <v>62.4</v>
      </c>
      <c r="Z172" s="113">
        <f>ROUND(0.3*T172*Table1[[#This Row],[E&amp;D Rate per unit]]*Table1[[#This Row],[Quantity]],2)</f>
        <v>0</v>
      </c>
      <c r="AA172" s="113">
        <v>239.75</v>
      </c>
      <c r="AB172" s="135"/>
      <c r="AC172" s="135">
        <v>239.75</v>
      </c>
      <c r="AD172" s="114"/>
      <c r="AE172" s="154"/>
      <c r="AF172" s="161">
        <f>Table1[[#This Row],[Certified Amount (Cum)]]-Table1[[#This Row],[Certified Amount (Previous)]]</f>
        <v>239.75</v>
      </c>
      <c r="AG172" s="160">
        <f t="shared" si="20"/>
        <v>239.75</v>
      </c>
      <c r="AH172" s="158">
        <f>Table1[[#This Row],[Certified Amount (Cum)]]-Table1[[#This Row],[Total Amount]]</f>
        <v>0</v>
      </c>
      <c r="AK172" s="169">
        <f>Table1[[#This Row],[E&amp;D Rate per unit]]*Table1[[#This Row],[Quantity]]+Table1[[#This Row],[Hire Charges]]+Table1[[#This Row],[Dismantle Charges]]</f>
        <v>315.76</v>
      </c>
      <c r="AL172" s="8">
        <f>SUM(Table1[[#This Row],[Erect Charges]:[Dismantle Charges]])</f>
        <v>239.75</v>
      </c>
    </row>
    <row r="173" spans="1:46" ht="30" customHeight="1" x14ac:dyDescent="0.3">
      <c r="A173" s="90" t="s">
        <v>91</v>
      </c>
      <c r="B173" s="90" t="s">
        <v>99</v>
      </c>
      <c r="C173" s="145">
        <v>70</v>
      </c>
      <c r="D173" s="108">
        <v>77583</v>
      </c>
      <c r="E173" s="108"/>
      <c r="F173" s="109" t="s">
        <v>369</v>
      </c>
      <c r="G173" s="17" t="s">
        <v>202</v>
      </c>
      <c r="H173" s="108" t="s">
        <v>178</v>
      </c>
      <c r="I173" s="108">
        <v>1</v>
      </c>
      <c r="J173" s="108">
        <v>1.3</v>
      </c>
      <c r="K173" s="108">
        <v>0.9</v>
      </c>
      <c r="L173" s="108">
        <v>1</v>
      </c>
      <c r="M173" s="108">
        <v>1</v>
      </c>
      <c r="N173" s="110" t="s">
        <v>162</v>
      </c>
      <c r="O173" s="110">
        <f t="shared" si="21"/>
        <v>1.17</v>
      </c>
      <c r="P173" s="18">
        <v>44876</v>
      </c>
      <c r="Q173" s="124"/>
      <c r="R173" s="111">
        <v>1</v>
      </c>
      <c r="S173" s="111">
        <v>1</v>
      </c>
      <c r="T173" s="111">
        <v>0</v>
      </c>
      <c r="U173" s="112">
        <f>IF(ISBLANK(Table1[[#This Row],[OHC Date]]),$B$7-Table1[[#This Row],[HOC Date]]+1,Table1[[#This Row],[OHC Date]]-Table1[[#This Row],[HOC Date]]+1)/7</f>
        <v>2.1428571428571428</v>
      </c>
      <c r="V173" s="113">
        <v>6.63</v>
      </c>
      <c r="W173" s="113">
        <v>0.7</v>
      </c>
      <c r="X173" s="113">
        <f>ROUND(0.7*Table1[[#This Row],[E&amp;D Rate per unit]]*R173*Table1[[#This Row],[Quantity]],2)</f>
        <v>5.43</v>
      </c>
      <c r="Y173" s="113">
        <f t="shared" si="22"/>
        <v>1.76</v>
      </c>
      <c r="Z173" s="113">
        <f>ROUND(0.3*T173*Table1[[#This Row],[E&amp;D Rate per unit]]*Table1[[#This Row],[Quantity]],2)</f>
        <v>0</v>
      </c>
      <c r="AA173" s="113">
        <v>7.19</v>
      </c>
      <c r="AB173" s="135"/>
      <c r="AC173" s="135">
        <v>7.19</v>
      </c>
      <c r="AD173" s="114"/>
      <c r="AE173" s="154"/>
      <c r="AF173" s="161">
        <f>Table1[[#This Row],[Certified Amount (Cum)]]-Table1[[#This Row],[Certified Amount (Previous)]]</f>
        <v>7.1899999999999995</v>
      </c>
      <c r="AG173" s="160">
        <f t="shared" si="20"/>
        <v>7.1899999999999995</v>
      </c>
      <c r="AH173" s="158">
        <f>Table1[[#This Row],[Certified Amount (Cum)]]-Table1[[#This Row],[Total Amount]]</f>
        <v>0</v>
      </c>
      <c r="AK173" s="169">
        <f>Table1[[#This Row],[E&amp;D Rate per unit]]*Table1[[#This Row],[Quantity]]+Table1[[#This Row],[Hire Charges]]+Table1[[#This Row],[Dismantle Charges]]</f>
        <v>9.5170999999999992</v>
      </c>
      <c r="AL173" s="8">
        <f>SUM(Table1[[#This Row],[Erect Charges]:[Dismantle Charges]])</f>
        <v>7.1899999999999995</v>
      </c>
    </row>
    <row r="174" spans="1:46" ht="30" customHeight="1" x14ac:dyDescent="0.3">
      <c r="A174" s="90" t="s">
        <v>91</v>
      </c>
      <c r="B174" s="90" t="s">
        <v>99</v>
      </c>
      <c r="C174" s="145">
        <v>71</v>
      </c>
      <c r="D174" s="108">
        <v>77584</v>
      </c>
      <c r="E174" s="108">
        <v>80520</v>
      </c>
      <c r="F174" s="109" t="s">
        <v>370</v>
      </c>
      <c r="G174" s="17" t="s">
        <v>202</v>
      </c>
      <c r="H174" s="108" t="s">
        <v>222</v>
      </c>
      <c r="I174" s="108">
        <v>1</v>
      </c>
      <c r="J174" s="108">
        <v>2.5</v>
      </c>
      <c r="K174" s="108">
        <v>1.3</v>
      </c>
      <c r="L174" s="108">
        <v>4</v>
      </c>
      <c r="M174" s="108">
        <v>1</v>
      </c>
      <c r="N174" s="110" t="s">
        <v>223</v>
      </c>
      <c r="O174" s="110">
        <f t="shared" si="21"/>
        <v>4</v>
      </c>
      <c r="P174" s="18">
        <v>44876</v>
      </c>
      <c r="Q174" s="124">
        <v>44880</v>
      </c>
      <c r="R174" s="111">
        <v>1</v>
      </c>
      <c r="S174" s="111">
        <v>1</v>
      </c>
      <c r="T174" s="111">
        <v>1</v>
      </c>
      <c r="U174" s="112">
        <f>IF(ISBLANK(Table1[[#This Row],[OHC Date]]),$B$7-Table1[[#This Row],[HOC Date]]+1,Table1[[#This Row],[OHC Date]]-Table1[[#This Row],[HOC Date]]+1)/7</f>
        <v>0.7142857142857143</v>
      </c>
      <c r="V174" s="113">
        <v>63.34</v>
      </c>
      <c r="W174" s="113">
        <v>7.28</v>
      </c>
      <c r="X174" s="113">
        <f>ROUND(0.7*Table1[[#This Row],[E&amp;D Rate per unit]]*R174*Table1[[#This Row],[Quantity]],2)</f>
        <v>177.35</v>
      </c>
      <c r="Y174" s="113">
        <f t="shared" si="22"/>
        <v>20.8</v>
      </c>
      <c r="Z174" s="113">
        <f>ROUND(0.3*T174*Table1[[#This Row],[E&amp;D Rate per unit]]*Table1[[#This Row],[Quantity]],2)</f>
        <v>76.010000000000005</v>
      </c>
      <c r="AA174" s="113">
        <v>274.16000000000003</v>
      </c>
      <c r="AB174" s="135"/>
      <c r="AC174" s="135">
        <v>274.16000000000003</v>
      </c>
      <c r="AD174" s="114"/>
      <c r="AE174" s="154"/>
      <c r="AF174" s="161">
        <f>Table1[[#This Row],[Certified Amount (Cum)]]-Table1[[#This Row],[Certified Amount (Previous)]]</f>
        <v>274.16000000000003</v>
      </c>
      <c r="AG174" s="160">
        <f t="shared" si="20"/>
        <v>274.16000000000003</v>
      </c>
      <c r="AH174" s="158">
        <f>Table1[[#This Row],[Certified Amount (Cum)]]-Table1[[#This Row],[Total Amount]]</f>
        <v>0</v>
      </c>
      <c r="AK174" s="169">
        <f>Table1[[#This Row],[E&amp;D Rate per unit]]*Table1[[#This Row],[Quantity]]+Table1[[#This Row],[Hire Charges]]+Table1[[#This Row],[Dismantle Charges]]</f>
        <v>350.17</v>
      </c>
      <c r="AL174" s="8">
        <f>SUM(Table1[[#This Row],[Erect Charges]:[Dismantle Charges]])</f>
        <v>274.16000000000003</v>
      </c>
    </row>
    <row r="175" spans="1:46" ht="30" customHeight="1" x14ac:dyDescent="0.3">
      <c r="A175" s="90" t="s">
        <v>91</v>
      </c>
      <c r="B175" s="90" t="s">
        <v>99</v>
      </c>
      <c r="C175" s="145">
        <v>71</v>
      </c>
      <c r="D175" s="108">
        <v>77584</v>
      </c>
      <c r="E175" s="108">
        <v>80520</v>
      </c>
      <c r="F175" s="109" t="s">
        <v>370</v>
      </c>
      <c r="G175" s="17" t="s">
        <v>202</v>
      </c>
      <c r="H175" s="108" t="s">
        <v>178</v>
      </c>
      <c r="I175" s="108">
        <v>1</v>
      </c>
      <c r="J175" s="108">
        <v>2.5</v>
      </c>
      <c r="K175" s="108">
        <v>1.3</v>
      </c>
      <c r="L175" s="108">
        <v>1</v>
      </c>
      <c r="M175" s="108">
        <v>1</v>
      </c>
      <c r="N175" s="110" t="s">
        <v>162</v>
      </c>
      <c r="O175" s="110">
        <f t="shared" si="21"/>
        <v>3.25</v>
      </c>
      <c r="P175" s="18">
        <v>44876</v>
      </c>
      <c r="Q175" s="124">
        <v>44880</v>
      </c>
      <c r="R175" s="111">
        <v>1</v>
      </c>
      <c r="S175" s="111">
        <v>1</v>
      </c>
      <c r="T175" s="111">
        <v>1</v>
      </c>
      <c r="U175" s="112">
        <f>IF(ISBLANK(Table1[[#This Row],[OHC Date]]),$B$7-Table1[[#This Row],[HOC Date]]+1,Table1[[#This Row],[OHC Date]]-Table1[[#This Row],[HOC Date]]+1)/7</f>
        <v>0.7142857142857143</v>
      </c>
      <c r="V175" s="113">
        <v>6.63</v>
      </c>
      <c r="W175" s="113">
        <v>0.7</v>
      </c>
      <c r="X175" s="113">
        <f>ROUND(0.7*Table1[[#This Row],[E&amp;D Rate per unit]]*R175*Table1[[#This Row],[Quantity]],2)</f>
        <v>15.08</v>
      </c>
      <c r="Y175" s="113">
        <f t="shared" si="22"/>
        <v>1.63</v>
      </c>
      <c r="Z175" s="113">
        <f>ROUND(0.3*T175*Table1[[#This Row],[E&amp;D Rate per unit]]*Table1[[#This Row],[Quantity]],2)</f>
        <v>6.46</v>
      </c>
      <c r="AA175" s="113">
        <v>23.17</v>
      </c>
      <c r="AB175" s="135"/>
      <c r="AC175" s="135">
        <v>23.17</v>
      </c>
      <c r="AD175" s="114"/>
      <c r="AE175" s="154"/>
      <c r="AF175" s="161">
        <f>Table1[[#This Row],[Certified Amount (Cum)]]-Table1[[#This Row],[Certified Amount (Previous)]]</f>
        <v>23.17</v>
      </c>
      <c r="AG175" s="160">
        <f t="shared" si="20"/>
        <v>23.17</v>
      </c>
      <c r="AH175" s="158">
        <f>Table1[[#This Row],[Certified Amount (Cum)]]-Table1[[#This Row],[Total Amount]]</f>
        <v>0</v>
      </c>
      <c r="AK175" s="169">
        <f>Table1[[#This Row],[E&amp;D Rate per unit]]*Table1[[#This Row],[Quantity]]+Table1[[#This Row],[Hire Charges]]+Table1[[#This Row],[Dismantle Charges]]</f>
        <v>29.637499999999999</v>
      </c>
      <c r="AL175" s="8">
        <f>SUM(Table1[[#This Row],[Erect Charges]:[Dismantle Charges]])</f>
        <v>23.17</v>
      </c>
    </row>
    <row r="176" spans="1:46" ht="30" customHeight="1" x14ac:dyDescent="0.3">
      <c r="A176" s="90" t="s">
        <v>91</v>
      </c>
      <c r="B176" s="90" t="s">
        <v>99</v>
      </c>
      <c r="C176" s="145">
        <v>72</v>
      </c>
      <c r="D176" s="108">
        <v>77585</v>
      </c>
      <c r="E176" s="108"/>
      <c r="F176" s="109" t="s">
        <v>371</v>
      </c>
      <c r="G176" s="17" t="s">
        <v>202</v>
      </c>
      <c r="H176" s="108" t="s">
        <v>222</v>
      </c>
      <c r="I176" s="108">
        <v>1</v>
      </c>
      <c r="J176" s="108">
        <v>2.5</v>
      </c>
      <c r="K176" s="108">
        <v>1.3</v>
      </c>
      <c r="L176" s="108">
        <v>2.2000000000000002</v>
      </c>
      <c r="M176" s="108">
        <v>1</v>
      </c>
      <c r="N176" s="110" t="s">
        <v>223</v>
      </c>
      <c r="O176" s="110">
        <f t="shared" si="21"/>
        <v>2.2000000000000002</v>
      </c>
      <c r="P176" s="18">
        <v>44876</v>
      </c>
      <c r="Q176" s="124"/>
      <c r="R176" s="111">
        <v>1</v>
      </c>
      <c r="S176" s="111">
        <v>1</v>
      </c>
      <c r="T176" s="111">
        <v>0</v>
      </c>
      <c r="U176" s="112">
        <f>IF(ISBLANK(Table1[[#This Row],[OHC Date]]),$B$7-Table1[[#This Row],[HOC Date]]+1,Table1[[#This Row],[OHC Date]]-Table1[[#This Row],[HOC Date]]+1)/7</f>
        <v>2.1428571428571428</v>
      </c>
      <c r="V176" s="113">
        <v>63.34</v>
      </c>
      <c r="W176" s="113">
        <v>7.28</v>
      </c>
      <c r="X176" s="113">
        <f>ROUND(0.7*Table1[[#This Row],[E&amp;D Rate per unit]]*R176*Table1[[#This Row],[Quantity]],2)</f>
        <v>97.54</v>
      </c>
      <c r="Y176" s="113">
        <f t="shared" si="22"/>
        <v>34.32</v>
      </c>
      <c r="Z176" s="113">
        <f>ROUND(0.3*T176*Table1[[#This Row],[E&amp;D Rate per unit]]*Table1[[#This Row],[Quantity]],2)</f>
        <v>0</v>
      </c>
      <c r="AA176" s="113">
        <v>131.86000000000001</v>
      </c>
      <c r="AB176" s="135"/>
      <c r="AC176" s="135">
        <v>131.86000000000001</v>
      </c>
      <c r="AD176" s="114"/>
      <c r="AE176" s="154"/>
      <c r="AF176" s="161">
        <f>Table1[[#This Row],[Certified Amount (Cum)]]-Table1[[#This Row],[Certified Amount (Previous)]]</f>
        <v>131.86000000000001</v>
      </c>
      <c r="AG176" s="160">
        <f t="shared" si="20"/>
        <v>131.86000000000001</v>
      </c>
      <c r="AH176" s="158">
        <f>Table1[[#This Row],[Certified Amount (Cum)]]-Table1[[#This Row],[Total Amount]]</f>
        <v>0</v>
      </c>
      <c r="AK176" s="169">
        <f>Table1[[#This Row],[E&amp;D Rate per unit]]*Table1[[#This Row],[Quantity]]+Table1[[#This Row],[Hire Charges]]+Table1[[#This Row],[Dismantle Charges]]</f>
        <v>173.66800000000001</v>
      </c>
      <c r="AL176" s="8">
        <f>SUM(Table1[[#This Row],[Erect Charges]:[Dismantle Charges]])</f>
        <v>131.86000000000001</v>
      </c>
    </row>
    <row r="177" spans="1:38" ht="30" customHeight="1" x14ac:dyDescent="0.3">
      <c r="A177" s="90" t="s">
        <v>91</v>
      </c>
      <c r="B177" s="90" t="s">
        <v>99</v>
      </c>
      <c r="C177" s="145">
        <v>73</v>
      </c>
      <c r="D177" s="108">
        <v>77586</v>
      </c>
      <c r="E177" s="108">
        <v>80521</v>
      </c>
      <c r="F177" s="109" t="s">
        <v>370</v>
      </c>
      <c r="G177" s="17" t="s">
        <v>202</v>
      </c>
      <c r="H177" s="108" t="s">
        <v>222</v>
      </c>
      <c r="I177" s="108">
        <v>1</v>
      </c>
      <c r="J177" s="108">
        <v>1.8</v>
      </c>
      <c r="K177" s="108">
        <v>1.3</v>
      </c>
      <c r="L177" s="108">
        <v>4.5</v>
      </c>
      <c r="M177" s="108">
        <v>1</v>
      </c>
      <c r="N177" s="110" t="s">
        <v>223</v>
      </c>
      <c r="O177" s="110">
        <f t="shared" si="21"/>
        <v>4.5</v>
      </c>
      <c r="P177" s="18">
        <v>44876</v>
      </c>
      <c r="Q177" s="124">
        <v>44880</v>
      </c>
      <c r="R177" s="111">
        <v>1</v>
      </c>
      <c r="S177" s="111">
        <v>1</v>
      </c>
      <c r="T177" s="111">
        <v>1</v>
      </c>
      <c r="U177" s="112">
        <f>IF(ISBLANK(Table1[[#This Row],[OHC Date]]),$B$7-Table1[[#This Row],[HOC Date]]+1,Table1[[#This Row],[OHC Date]]-Table1[[#This Row],[HOC Date]]+1)/7</f>
        <v>0.7142857142857143</v>
      </c>
      <c r="V177" s="113">
        <v>63.34</v>
      </c>
      <c r="W177" s="113">
        <v>7.28</v>
      </c>
      <c r="X177" s="113">
        <f>ROUND(0.7*Table1[[#This Row],[E&amp;D Rate per unit]]*R177*Table1[[#This Row],[Quantity]],2)</f>
        <v>199.52</v>
      </c>
      <c r="Y177" s="113">
        <f t="shared" si="22"/>
        <v>23.4</v>
      </c>
      <c r="Z177" s="113">
        <f>ROUND(0.3*T177*Table1[[#This Row],[E&amp;D Rate per unit]]*Table1[[#This Row],[Quantity]],2)</f>
        <v>85.51</v>
      </c>
      <c r="AA177" s="113">
        <v>308.43</v>
      </c>
      <c r="AB177" s="135"/>
      <c r="AC177" s="135">
        <v>308.43</v>
      </c>
      <c r="AD177" s="114"/>
      <c r="AE177" s="154"/>
      <c r="AF177" s="161">
        <f>Table1[[#This Row],[Certified Amount (Cum)]]-Table1[[#This Row],[Certified Amount (Previous)]]</f>
        <v>308.43</v>
      </c>
      <c r="AG177" s="160">
        <f t="shared" si="20"/>
        <v>308.43</v>
      </c>
      <c r="AH177" s="158">
        <f>Table1[[#This Row],[Certified Amount (Cum)]]-Table1[[#This Row],[Total Amount]]</f>
        <v>0</v>
      </c>
      <c r="AK177" s="169">
        <f>Table1[[#This Row],[E&amp;D Rate per unit]]*Table1[[#This Row],[Quantity]]+Table1[[#This Row],[Hire Charges]]+Table1[[#This Row],[Dismantle Charges]]</f>
        <v>393.94</v>
      </c>
      <c r="AL177" s="8">
        <f>SUM(Table1[[#This Row],[Erect Charges]:[Dismantle Charges]])</f>
        <v>308.43</v>
      </c>
    </row>
    <row r="178" spans="1:38" ht="30" customHeight="1" x14ac:dyDescent="0.3">
      <c r="A178" s="90" t="s">
        <v>91</v>
      </c>
      <c r="B178" s="90" t="s">
        <v>99</v>
      </c>
      <c r="C178" s="145">
        <v>73</v>
      </c>
      <c r="D178" s="108">
        <v>77586</v>
      </c>
      <c r="E178" s="108">
        <v>80521</v>
      </c>
      <c r="F178" s="109" t="s">
        <v>370</v>
      </c>
      <c r="G178" s="17" t="s">
        <v>202</v>
      </c>
      <c r="H178" s="108" t="s">
        <v>178</v>
      </c>
      <c r="I178" s="108">
        <v>1</v>
      </c>
      <c r="J178" s="108">
        <v>1.8</v>
      </c>
      <c r="K178" s="108">
        <v>1.3</v>
      </c>
      <c r="L178" s="108">
        <v>1</v>
      </c>
      <c r="M178" s="108">
        <v>1</v>
      </c>
      <c r="N178" s="110" t="s">
        <v>162</v>
      </c>
      <c r="O178" s="110">
        <f t="shared" si="21"/>
        <v>2.34</v>
      </c>
      <c r="P178" s="18">
        <v>44876</v>
      </c>
      <c r="Q178" s="124">
        <v>44880</v>
      </c>
      <c r="R178" s="111">
        <v>1</v>
      </c>
      <c r="S178" s="111">
        <v>1</v>
      </c>
      <c r="T178" s="111">
        <v>1</v>
      </c>
      <c r="U178" s="112">
        <f>IF(ISBLANK(Table1[[#This Row],[OHC Date]]),$B$7-Table1[[#This Row],[HOC Date]]+1,Table1[[#This Row],[OHC Date]]-Table1[[#This Row],[HOC Date]]+1)/7</f>
        <v>0.7142857142857143</v>
      </c>
      <c r="V178" s="113">
        <v>6.63</v>
      </c>
      <c r="W178" s="113">
        <v>0.7</v>
      </c>
      <c r="X178" s="113">
        <f>ROUND(0.7*Table1[[#This Row],[E&amp;D Rate per unit]]*R178*Table1[[#This Row],[Quantity]],2)</f>
        <v>10.86</v>
      </c>
      <c r="Y178" s="113">
        <f t="shared" si="22"/>
        <v>1.17</v>
      </c>
      <c r="Z178" s="113">
        <f>ROUND(0.3*T178*Table1[[#This Row],[E&amp;D Rate per unit]]*Table1[[#This Row],[Quantity]],2)</f>
        <v>4.6500000000000004</v>
      </c>
      <c r="AA178" s="113">
        <v>16.68</v>
      </c>
      <c r="AB178" s="135"/>
      <c r="AC178" s="135">
        <v>16.68</v>
      </c>
      <c r="AD178" s="114"/>
      <c r="AE178" s="154"/>
      <c r="AF178" s="161">
        <f>Table1[[#This Row],[Certified Amount (Cum)]]-Table1[[#This Row],[Certified Amount (Previous)]]</f>
        <v>16.68</v>
      </c>
      <c r="AG178" s="160">
        <f t="shared" si="20"/>
        <v>16.68</v>
      </c>
      <c r="AH178" s="158">
        <f>Table1[[#This Row],[Certified Amount (Cum)]]-Table1[[#This Row],[Total Amount]]</f>
        <v>0</v>
      </c>
      <c r="AK178" s="169">
        <f>Table1[[#This Row],[E&amp;D Rate per unit]]*Table1[[#This Row],[Quantity]]+Table1[[#This Row],[Hire Charges]]+Table1[[#This Row],[Dismantle Charges]]</f>
        <v>21.334199999999996</v>
      </c>
      <c r="AL178" s="8">
        <f>SUM(Table1[[#This Row],[Erect Charges]:[Dismantle Charges]])</f>
        <v>16.68</v>
      </c>
    </row>
    <row r="179" spans="1:38" ht="30" customHeight="1" x14ac:dyDescent="0.3">
      <c r="A179" s="90" t="s">
        <v>91</v>
      </c>
      <c r="B179" s="90" t="s">
        <v>99</v>
      </c>
      <c r="C179" s="145">
        <v>74</v>
      </c>
      <c r="D179" s="108">
        <v>77587</v>
      </c>
      <c r="E179" s="108">
        <v>80524</v>
      </c>
      <c r="F179" s="109" t="s">
        <v>372</v>
      </c>
      <c r="G179" s="17" t="s">
        <v>202</v>
      </c>
      <c r="H179" s="108" t="s">
        <v>222</v>
      </c>
      <c r="I179" s="108">
        <v>1</v>
      </c>
      <c r="J179" s="108">
        <v>1.8</v>
      </c>
      <c r="K179" s="108">
        <v>1.3</v>
      </c>
      <c r="L179" s="108">
        <v>4</v>
      </c>
      <c r="M179" s="108">
        <v>1</v>
      </c>
      <c r="N179" s="110" t="s">
        <v>223</v>
      </c>
      <c r="O179" s="110">
        <f t="shared" si="21"/>
        <v>4</v>
      </c>
      <c r="P179" s="18">
        <v>44876</v>
      </c>
      <c r="Q179" s="124">
        <v>44881</v>
      </c>
      <c r="R179" s="111">
        <v>1</v>
      </c>
      <c r="S179" s="111">
        <v>1</v>
      </c>
      <c r="T179" s="111">
        <v>1</v>
      </c>
      <c r="U179" s="112">
        <f>IF(ISBLANK(Table1[[#This Row],[OHC Date]]),$B$7-Table1[[#This Row],[HOC Date]]+1,Table1[[#This Row],[OHC Date]]-Table1[[#This Row],[HOC Date]]+1)/7</f>
        <v>0.8571428571428571</v>
      </c>
      <c r="V179" s="113">
        <v>63.34</v>
      </c>
      <c r="W179" s="113">
        <v>7.28</v>
      </c>
      <c r="X179" s="113">
        <f>ROUND(0.7*Table1[[#This Row],[E&amp;D Rate per unit]]*R179*Table1[[#This Row],[Quantity]],2)</f>
        <v>177.35</v>
      </c>
      <c r="Y179" s="113">
        <f t="shared" si="22"/>
        <v>24.96</v>
      </c>
      <c r="Z179" s="113">
        <f>ROUND(0.3*T179*Table1[[#This Row],[E&amp;D Rate per unit]]*Table1[[#This Row],[Quantity]],2)</f>
        <v>76.010000000000005</v>
      </c>
      <c r="AA179" s="113">
        <v>278.32</v>
      </c>
      <c r="AB179" s="135"/>
      <c r="AC179" s="135">
        <v>278.32</v>
      </c>
      <c r="AD179" s="114"/>
      <c r="AE179" s="154"/>
      <c r="AF179" s="161">
        <f>Table1[[#This Row],[Certified Amount (Cum)]]-Table1[[#This Row],[Certified Amount (Previous)]]</f>
        <v>278.32</v>
      </c>
      <c r="AG179" s="160">
        <f t="shared" si="20"/>
        <v>278.32</v>
      </c>
      <c r="AH179" s="158">
        <f>Table1[[#This Row],[Certified Amount (Cum)]]-Table1[[#This Row],[Total Amount]]</f>
        <v>0</v>
      </c>
      <c r="AK179" s="169">
        <f>Table1[[#This Row],[E&amp;D Rate per unit]]*Table1[[#This Row],[Quantity]]+Table1[[#This Row],[Hire Charges]]+Table1[[#This Row],[Dismantle Charges]]</f>
        <v>354.33</v>
      </c>
      <c r="AL179" s="8">
        <f>SUM(Table1[[#This Row],[Erect Charges]:[Dismantle Charges]])</f>
        <v>278.32</v>
      </c>
    </row>
    <row r="180" spans="1:38" ht="30" customHeight="1" x14ac:dyDescent="0.3">
      <c r="A180" s="90" t="s">
        <v>91</v>
      </c>
      <c r="B180" s="90" t="s">
        <v>99</v>
      </c>
      <c r="C180" s="145">
        <v>74</v>
      </c>
      <c r="D180" s="108">
        <v>77587</v>
      </c>
      <c r="E180" s="108">
        <v>80524</v>
      </c>
      <c r="F180" s="109" t="s">
        <v>372</v>
      </c>
      <c r="G180" s="17" t="s">
        <v>202</v>
      </c>
      <c r="H180" s="108" t="s">
        <v>178</v>
      </c>
      <c r="I180" s="108">
        <v>1</v>
      </c>
      <c r="J180" s="108">
        <v>1.8</v>
      </c>
      <c r="K180" s="108">
        <v>1.3</v>
      </c>
      <c r="L180" s="108">
        <v>1</v>
      </c>
      <c r="M180" s="108">
        <v>2</v>
      </c>
      <c r="N180" s="110" t="s">
        <v>162</v>
      </c>
      <c r="O180" s="110">
        <f t="shared" si="21"/>
        <v>2.34</v>
      </c>
      <c r="P180" s="18">
        <v>44876</v>
      </c>
      <c r="Q180" s="124">
        <v>44881</v>
      </c>
      <c r="R180" s="111">
        <v>1</v>
      </c>
      <c r="S180" s="111">
        <v>1</v>
      </c>
      <c r="T180" s="111">
        <v>1</v>
      </c>
      <c r="U180" s="112">
        <f>IF(ISBLANK(Table1[[#This Row],[OHC Date]]),$B$7-Table1[[#This Row],[HOC Date]]+1,Table1[[#This Row],[OHC Date]]-Table1[[#This Row],[HOC Date]]+1)/7</f>
        <v>0.8571428571428571</v>
      </c>
      <c r="V180" s="113">
        <v>6.63</v>
      </c>
      <c r="W180" s="113">
        <v>0.7</v>
      </c>
      <c r="X180" s="113">
        <f>ROUND(0.7*Table1[[#This Row],[E&amp;D Rate per unit]]*R180*Table1[[#This Row],[Quantity]],2)</f>
        <v>10.86</v>
      </c>
      <c r="Y180" s="113">
        <f t="shared" si="22"/>
        <v>1.4</v>
      </c>
      <c r="Z180" s="113">
        <f>ROUND(0.3*T180*Table1[[#This Row],[E&amp;D Rate per unit]]*Table1[[#This Row],[Quantity]],2)</f>
        <v>4.6500000000000004</v>
      </c>
      <c r="AA180" s="113">
        <v>16.91</v>
      </c>
      <c r="AB180" s="135"/>
      <c r="AC180" s="135">
        <v>16.91</v>
      </c>
      <c r="AD180" s="114"/>
      <c r="AE180" s="154"/>
      <c r="AF180" s="161">
        <f>Table1[[#This Row],[Certified Amount (Cum)]]-Table1[[#This Row],[Certified Amount (Previous)]]</f>
        <v>16.91</v>
      </c>
      <c r="AG180" s="160">
        <f t="shared" si="20"/>
        <v>16.91</v>
      </c>
      <c r="AH180" s="158">
        <f>Table1[[#This Row],[Certified Amount (Cum)]]-Table1[[#This Row],[Total Amount]]</f>
        <v>0</v>
      </c>
      <c r="AK180" s="169">
        <f>Table1[[#This Row],[E&amp;D Rate per unit]]*Table1[[#This Row],[Quantity]]+Table1[[#This Row],[Hire Charges]]+Table1[[#This Row],[Dismantle Charges]]</f>
        <v>21.5642</v>
      </c>
      <c r="AL180" s="8">
        <f>SUM(Table1[[#This Row],[Erect Charges]:[Dismantle Charges]])</f>
        <v>16.91</v>
      </c>
    </row>
    <row r="181" spans="1:38" ht="30" customHeight="1" x14ac:dyDescent="0.3">
      <c r="A181" s="90" t="s">
        <v>91</v>
      </c>
      <c r="B181" s="90" t="s">
        <v>99</v>
      </c>
      <c r="C181" s="145">
        <v>75</v>
      </c>
      <c r="D181" s="108">
        <v>77588</v>
      </c>
      <c r="E181" s="108">
        <v>80519</v>
      </c>
      <c r="F181" s="109" t="s">
        <v>344</v>
      </c>
      <c r="G181" s="17" t="s">
        <v>228</v>
      </c>
      <c r="H181" s="108" t="s">
        <v>222</v>
      </c>
      <c r="I181" s="108">
        <v>1</v>
      </c>
      <c r="J181" s="108">
        <v>2.5</v>
      </c>
      <c r="K181" s="108">
        <v>1.3</v>
      </c>
      <c r="L181" s="108">
        <v>2</v>
      </c>
      <c r="M181" s="108">
        <v>1</v>
      </c>
      <c r="N181" s="110" t="s">
        <v>223</v>
      </c>
      <c r="O181" s="110">
        <f t="shared" si="21"/>
        <v>2</v>
      </c>
      <c r="P181" s="18">
        <v>44877</v>
      </c>
      <c r="Q181" s="124">
        <v>44880</v>
      </c>
      <c r="R181" s="111">
        <v>1</v>
      </c>
      <c r="S181" s="111">
        <v>1</v>
      </c>
      <c r="T181" s="111">
        <v>1</v>
      </c>
      <c r="U181" s="112">
        <f>IF(ISBLANK(Table1[[#This Row],[OHC Date]]),$B$7-Table1[[#This Row],[HOC Date]]+1,Table1[[#This Row],[OHC Date]]-Table1[[#This Row],[HOC Date]]+1)/7</f>
        <v>0.5714285714285714</v>
      </c>
      <c r="V181" s="113">
        <v>63.34</v>
      </c>
      <c r="W181" s="113">
        <v>7.28</v>
      </c>
      <c r="X181" s="113">
        <f>ROUND(0.7*Table1[[#This Row],[E&amp;D Rate per unit]]*R181*Table1[[#This Row],[Quantity]],2)</f>
        <v>88.68</v>
      </c>
      <c r="Y181" s="113">
        <f t="shared" si="22"/>
        <v>8.32</v>
      </c>
      <c r="Z181" s="113">
        <f>ROUND(0.3*T181*Table1[[#This Row],[E&amp;D Rate per unit]]*Table1[[#This Row],[Quantity]],2)</f>
        <v>38</v>
      </c>
      <c r="AA181" s="113">
        <v>135</v>
      </c>
      <c r="AB181" s="135"/>
      <c r="AC181" s="135">
        <v>135</v>
      </c>
      <c r="AD181" s="114"/>
      <c r="AE181" s="154"/>
      <c r="AF181" s="161">
        <f>Table1[[#This Row],[Certified Amount (Cum)]]-Table1[[#This Row],[Certified Amount (Previous)]]</f>
        <v>135</v>
      </c>
      <c r="AG181" s="160">
        <f t="shared" si="20"/>
        <v>135</v>
      </c>
      <c r="AH181" s="158">
        <f>Table1[[#This Row],[Certified Amount (Cum)]]-Table1[[#This Row],[Total Amount]]</f>
        <v>0</v>
      </c>
      <c r="AK181" s="169">
        <f>Table1[[#This Row],[E&amp;D Rate per unit]]*Table1[[#This Row],[Quantity]]+Table1[[#This Row],[Hire Charges]]+Table1[[#This Row],[Dismantle Charges]]</f>
        <v>173</v>
      </c>
      <c r="AL181" s="8">
        <f>SUM(Table1[[#This Row],[Erect Charges]:[Dismantle Charges]])</f>
        <v>135</v>
      </c>
    </row>
    <row r="182" spans="1:38" ht="30" customHeight="1" x14ac:dyDescent="0.3">
      <c r="A182" s="90" t="s">
        <v>91</v>
      </c>
      <c r="B182" s="90" t="s">
        <v>99</v>
      </c>
      <c r="C182" s="145">
        <v>76</v>
      </c>
      <c r="D182" s="108">
        <v>77589</v>
      </c>
      <c r="E182" s="108"/>
      <c r="F182" s="109" t="s">
        <v>373</v>
      </c>
      <c r="G182" s="17" t="s">
        <v>228</v>
      </c>
      <c r="H182" s="108" t="s">
        <v>222</v>
      </c>
      <c r="I182" s="108">
        <v>1</v>
      </c>
      <c r="J182" s="108">
        <v>2.5</v>
      </c>
      <c r="K182" s="108">
        <v>1.3</v>
      </c>
      <c r="L182" s="108">
        <v>3.5</v>
      </c>
      <c r="M182" s="108">
        <v>1</v>
      </c>
      <c r="N182" s="110" t="s">
        <v>223</v>
      </c>
      <c r="O182" s="110">
        <f t="shared" si="21"/>
        <v>3.5</v>
      </c>
      <c r="P182" s="18">
        <v>44879</v>
      </c>
      <c r="Q182" s="124"/>
      <c r="R182" s="111">
        <v>1</v>
      </c>
      <c r="S182" s="111">
        <v>1</v>
      </c>
      <c r="T182" s="111">
        <v>0</v>
      </c>
      <c r="U182" s="112">
        <f>IF(ISBLANK(Table1[[#This Row],[OHC Date]]),$B$7-Table1[[#This Row],[HOC Date]]+1,Table1[[#This Row],[OHC Date]]-Table1[[#This Row],[HOC Date]]+1)/7</f>
        <v>1.7142857142857142</v>
      </c>
      <c r="V182" s="113">
        <v>63.34</v>
      </c>
      <c r="W182" s="113">
        <v>7.28</v>
      </c>
      <c r="X182" s="113">
        <f>ROUND(0.7*Table1[[#This Row],[E&amp;D Rate per unit]]*R182*Table1[[#This Row],[Quantity]],2)</f>
        <v>155.18</v>
      </c>
      <c r="Y182" s="113">
        <f t="shared" si="22"/>
        <v>43.68</v>
      </c>
      <c r="Z182" s="113">
        <f>ROUND(0.3*T182*Table1[[#This Row],[E&amp;D Rate per unit]]*Table1[[#This Row],[Quantity]],2)</f>
        <v>0</v>
      </c>
      <c r="AA182" s="113">
        <v>198.86</v>
      </c>
      <c r="AB182" s="135"/>
      <c r="AC182" s="135">
        <v>198.86</v>
      </c>
      <c r="AD182" s="114"/>
      <c r="AE182" s="154"/>
      <c r="AF182" s="161">
        <f>Table1[[#This Row],[Certified Amount (Cum)]]-Table1[[#This Row],[Certified Amount (Previous)]]</f>
        <v>198.86</v>
      </c>
      <c r="AG182" s="160">
        <f t="shared" si="20"/>
        <v>198.86</v>
      </c>
      <c r="AH182" s="158">
        <f>Table1[[#This Row],[Certified Amount (Cum)]]-Table1[[#This Row],[Total Amount]]</f>
        <v>0</v>
      </c>
      <c r="AK182" s="169">
        <f>Table1[[#This Row],[E&amp;D Rate per unit]]*Table1[[#This Row],[Quantity]]+Table1[[#This Row],[Hire Charges]]+Table1[[#This Row],[Dismantle Charges]]</f>
        <v>265.37</v>
      </c>
      <c r="AL182" s="8">
        <f>SUM(Table1[[#This Row],[Erect Charges]:[Dismantle Charges]])</f>
        <v>198.86</v>
      </c>
    </row>
    <row r="183" spans="1:38" ht="30" customHeight="1" x14ac:dyDescent="0.3">
      <c r="A183" s="90" t="s">
        <v>91</v>
      </c>
      <c r="B183" s="90" t="s">
        <v>99</v>
      </c>
      <c r="C183" s="145" t="s">
        <v>457</v>
      </c>
      <c r="D183" s="108">
        <v>77501</v>
      </c>
      <c r="E183" s="108"/>
      <c r="F183" s="109" t="s">
        <v>458</v>
      </c>
      <c r="G183" s="17" t="s">
        <v>192</v>
      </c>
      <c r="H183" s="108" t="s">
        <v>129</v>
      </c>
      <c r="I183" s="108">
        <v>1</v>
      </c>
      <c r="J183" s="108">
        <v>1.8</v>
      </c>
      <c r="K183" s="108">
        <v>1</v>
      </c>
      <c r="L183" s="108">
        <v>1</v>
      </c>
      <c r="M183" s="108">
        <v>1</v>
      </c>
      <c r="N183" s="110" t="s">
        <v>162</v>
      </c>
      <c r="O183" s="110">
        <f>ROUND(IF(N183="m3",I183*J183*K183*L183,IF(N183="m2-LxH",I183*J183*L183,IF(N183="m2-LxW",I183*J183*K183,IF(N183="rm",I183*L183,IF(N183="lm",I183*J183,IF(N183="unit",I183,"NA")))))),2)</f>
        <v>1.8</v>
      </c>
      <c r="P183" s="18">
        <v>44879</v>
      </c>
      <c r="Q183" s="124"/>
      <c r="R183" s="111">
        <v>1</v>
      </c>
      <c r="S183" s="111">
        <v>1</v>
      </c>
      <c r="T183" s="111">
        <v>0</v>
      </c>
      <c r="U183" s="112">
        <f>IF(ISBLANK(Table1[[#This Row],[OHC Date]]),$B$7-Table1[[#This Row],[HOC Date]]+1,Table1[[#This Row],[OHC Date]]-Table1[[#This Row],[HOC Date]]+1)/7</f>
        <v>1.7142857142857142</v>
      </c>
      <c r="V183" s="113">
        <v>36.520000000000003</v>
      </c>
      <c r="W183" s="113">
        <v>2.94</v>
      </c>
      <c r="X183" s="113">
        <f>ROUND(0.7*Table1[[#This Row],[E&amp;D Rate per unit]]*R183*Table1[[#This Row],[Quantity]],2)</f>
        <v>46.02</v>
      </c>
      <c r="Y183" s="113">
        <f>ROUND(O183*U183*W183*S183,2)</f>
        <v>9.07</v>
      </c>
      <c r="Z183" s="113">
        <f>ROUND(0.3*T183*Table1[[#This Row],[E&amp;D Rate per unit]]*Table1[[#This Row],[Quantity]],2)</f>
        <v>0</v>
      </c>
      <c r="AA183" s="113">
        <v>55.09</v>
      </c>
      <c r="AB183" s="135"/>
      <c r="AC183" s="135">
        <v>55.09</v>
      </c>
      <c r="AD183" s="114"/>
      <c r="AE183" s="154"/>
      <c r="AF183" s="161">
        <f>Table1[[#This Row],[Certified Amount (Cum)]]-Table1[[#This Row],[Certified Amount (Previous)]]</f>
        <v>55.09</v>
      </c>
      <c r="AG183" s="160">
        <f t="shared" si="20"/>
        <v>55.09</v>
      </c>
      <c r="AH183" s="158">
        <f>Table1[[#This Row],[Certified Amount (Cum)]]-Table1[[#This Row],[Total Amount]]</f>
        <v>0</v>
      </c>
      <c r="AK183" s="169">
        <f>Table1[[#This Row],[E&amp;D Rate per unit]]*Table1[[#This Row],[Quantity]]+Table1[[#This Row],[Hire Charges]]+Table1[[#This Row],[Dismantle Charges]]</f>
        <v>74.806000000000012</v>
      </c>
      <c r="AL183" s="8">
        <f>SUM(Table1[[#This Row],[Erect Charges]:[Dismantle Charges]])</f>
        <v>55.09</v>
      </c>
    </row>
    <row r="184" spans="1:38" ht="30" customHeight="1" x14ac:dyDescent="0.3">
      <c r="A184" s="90" t="s">
        <v>91</v>
      </c>
      <c r="B184" s="90" t="s">
        <v>99</v>
      </c>
      <c r="C184" s="145">
        <v>77</v>
      </c>
      <c r="D184" s="108">
        <v>77503</v>
      </c>
      <c r="E184" s="108"/>
      <c r="F184" s="109" t="s">
        <v>374</v>
      </c>
      <c r="G184" s="17" t="s">
        <v>225</v>
      </c>
      <c r="H184" s="108" t="s">
        <v>120</v>
      </c>
      <c r="I184" s="108">
        <v>1</v>
      </c>
      <c r="J184" s="108">
        <v>4</v>
      </c>
      <c r="K184" s="108">
        <v>2.5</v>
      </c>
      <c r="L184" s="108">
        <v>1.5</v>
      </c>
      <c r="M184" s="108">
        <v>1</v>
      </c>
      <c r="N184" s="110" t="s">
        <v>208</v>
      </c>
      <c r="O184" s="110">
        <f t="shared" si="21"/>
        <v>6</v>
      </c>
      <c r="P184" s="18">
        <v>44880</v>
      </c>
      <c r="Q184" s="124"/>
      <c r="R184" s="111">
        <v>1</v>
      </c>
      <c r="S184" s="111">
        <v>1</v>
      </c>
      <c r="T184" s="111">
        <v>0</v>
      </c>
      <c r="U184" s="112">
        <f>IF(ISBLANK(Table1[[#This Row],[OHC Date]]),$B$7-Table1[[#This Row],[HOC Date]]+1,Table1[[#This Row],[OHC Date]]-Table1[[#This Row],[HOC Date]]+1)/7</f>
        <v>1.5714285714285714</v>
      </c>
      <c r="V184" s="113">
        <v>16.760000000000002</v>
      </c>
      <c r="W184" s="113">
        <v>0.77</v>
      </c>
      <c r="X184" s="113">
        <f>ROUND(0.7*Table1[[#This Row],[E&amp;D Rate per unit]]*R184*Table1[[#This Row],[Quantity]],2)</f>
        <v>70.39</v>
      </c>
      <c r="Y184" s="113">
        <f t="shared" si="22"/>
        <v>7.26</v>
      </c>
      <c r="Z184" s="113">
        <f>ROUND(0.3*T184*Table1[[#This Row],[E&amp;D Rate per unit]]*Table1[[#This Row],[Quantity]],2)</f>
        <v>0</v>
      </c>
      <c r="AA184" s="113">
        <v>77.650000000000006</v>
      </c>
      <c r="AB184" s="135"/>
      <c r="AC184" s="135">
        <v>77.650000000000006</v>
      </c>
      <c r="AD184" s="114"/>
      <c r="AE184" s="154"/>
      <c r="AF184" s="161">
        <f>Table1[[#This Row],[Certified Amount (Cum)]]-Table1[[#This Row],[Certified Amount (Previous)]]</f>
        <v>77.650000000000006</v>
      </c>
      <c r="AG184" s="160">
        <f t="shared" si="20"/>
        <v>77.650000000000006</v>
      </c>
      <c r="AH184" s="158">
        <f>Table1[[#This Row],[Certified Amount (Cum)]]-Table1[[#This Row],[Total Amount]]</f>
        <v>0</v>
      </c>
      <c r="AK184" s="169">
        <f>Table1[[#This Row],[E&amp;D Rate per unit]]*Table1[[#This Row],[Quantity]]+Table1[[#This Row],[Hire Charges]]+Table1[[#This Row],[Dismantle Charges]]</f>
        <v>107.82000000000001</v>
      </c>
      <c r="AL184" s="8">
        <f>SUM(Table1[[#This Row],[Erect Charges]:[Dismantle Charges]])</f>
        <v>77.650000000000006</v>
      </c>
    </row>
    <row r="185" spans="1:38" ht="30" customHeight="1" x14ac:dyDescent="0.3">
      <c r="A185" s="90" t="s">
        <v>91</v>
      </c>
      <c r="B185" s="90" t="s">
        <v>99</v>
      </c>
      <c r="C185" s="145">
        <v>78</v>
      </c>
      <c r="D185" s="108">
        <v>77504</v>
      </c>
      <c r="E185" s="108">
        <v>80532</v>
      </c>
      <c r="F185" s="109" t="s">
        <v>375</v>
      </c>
      <c r="G185" s="17" t="s">
        <v>225</v>
      </c>
      <c r="H185" s="108" t="s">
        <v>222</v>
      </c>
      <c r="I185" s="108">
        <v>1</v>
      </c>
      <c r="J185" s="108">
        <v>1.8</v>
      </c>
      <c r="K185" s="108">
        <v>1.3</v>
      </c>
      <c r="L185" s="108">
        <v>2</v>
      </c>
      <c r="M185" s="108">
        <v>1</v>
      </c>
      <c r="N185" s="110" t="s">
        <v>223</v>
      </c>
      <c r="O185" s="110">
        <f t="shared" si="21"/>
        <v>2</v>
      </c>
      <c r="P185" s="18">
        <v>44880</v>
      </c>
      <c r="Q185" s="124">
        <v>44884</v>
      </c>
      <c r="R185" s="111">
        <v>1</v>
      </c>
      <c r="S185" s="111">
        <v>1</v>
      </c>
      <c r="T185" s="111">
        <v>1</v>
      </c>
      <c r="U185" s="112">
        <f>IF(ISBLANK(Table1[[#This Row],[OHC Date]]),$B$7-Table1[[#This Row],[HOC Date]]+1,Table1[[#This Row],[OHC Date]]-Table1[[#This Row],[HOC Date]]+1)/7</f>
        <v>0.7142857142857143</v>
      </c>
      <c r="V185" s="113">
        <v>63.34</v>
      </c>
      <c r="W185" s="113">
        <v>7.28</v>
      </c>
      <c r="X185" s="113">
        <f>ROUND(0.7*Table1[[#This Row],[E&amp;D Rate per unit]]*R185*Table1[[#This Row],[Quantity]],2)</f>
        <v>88.68</v>
      </c>
      <c r="Y185" s="113">
        <f t="shared" si="22"/>
        <v>10.4</v>
      </c>
      <c r="Z185" s="113">
        <f>ROUND(0.3*T185*Table1[[#This Row],[E&amp;D Rate per unit]]*Table1[[#This Row],[Quantity]],2)</f>
        <v>38</v>
      </c>
      <c r="AA185" s="113">
        <v>137.08000000000001</v>
      </c>
      <c r="AB185" s="135"/>
      <c r="AC185" s="135">
        <v>137.08000000000001</v>
      </c>
      <c r="AD185" s="114"/>
      <c r="AE185" s="154"/>
      <c r="AF185" s="161">
        <f>Table1[[#This Row],[Certified Amount (Cum)]]-Table1[[#This Row],[Certified Amount (Previous)]]</f>
        <v>137.08000000000001</v>
      </c>
      <c r="AG185" s="160">
        <f t="shared" si="20"/>
        <v>137.08000000000001</v>
      </c>
      <c r="AH185" s="158">
        <f>Table1[[#This Row],[Certified Amount (Cum)]]-Table1[[#This Row],[Total Amount]]</f>
        <v>0</v>
      </c>
      <c r="AK185" s="169">
        <f>Table1[[#This Row],[E&amp;D Rate per unit]]*Table1[[#This Row],[Quantity]]+Table1[[#This Row],[Hire Charges]]+Table1[[#This Row],[Dismantle Charges]]</f>
        <v>175.08</v>
      </c>
      <c r="AL185" s="8">
        <f>SUM(Table1[[#This Row],[Erect Charges]:[Dismantle Charges]])</f>
        <v>137.08000000000001</v>
      </c>
    </row>
    <row r="186" spans="1:38" ht="30" customHeight="1" x14ac:dyDescent="0.3">
      <c r="A186" s="90" t="s">
        <v>91</v>
      </c>
      <c r="B186" s="90" t="s">
        <v>99</v>
      </c>
      <c r="C186" s="145">
        <v>79</v>
      </c>
      <c r="D186" s="108">
        <v>77590</v>
      </c>
      <c r="E186" s="108"/>
      <c r="F186" s="109" t="s">
        <v>373</v>
      </c>
      <c r="G186" s="17" t="s">
        <v>228</v>
      </c>
      <c r="H186" s="108" t="s">
        <v>222</v>
      </c>
      <c r="I186" s="108">
        <v>1</v>
      </c>
      <c r="J186" s="108">
        <v>2.5</v>
      </c>
      <c r="K186" s="108">
        <v>2.5</v>
      </c>
      <c r="L186" s="108">
        <v>2.5</v>
      </c>
      <c r="M186" s="108">
        <v>1</v>
      </c>
      <c r="N186" s="110" t="s">
        <v>223</v>
      </c>
      <c r="O186" s="110">
        <f t="shared" si="21"/>
        <v>2.5</v>
      </c>
      <c r="P186" s="18">
        <v>44880</v>
      </c>
      <c r="Q186" s="124"/>
      <c r="R186" s="111">
        <v>1</v>
      </c>
      <c r="S186" s="111">
        <v>1</v>
      </c>
      <c r="T186" s="111">
        <v>0</v>
      </c>
      <c r="U186" s="112">
        <f>IF(ISBLANK(Table1[[#This Row],[OHC Date]]),$B$7-Table1[[#This Row],[HOC Date]]+1,Table1[[#This Row],[OHC Date]]-Table1[[#This Row],[HOC Date]]+1)/7</f>
        <v>1.5714285714285714</v>
      </c>
      <c r="V186" s="113">
        <v>63.34</v>
      </c>
      <c r="W186" s="113">
        <v>7.28</v>
      </c>
      <c r="X186" s="113">
        <f>ROUND(0.7*Table1[[#This Row],[E&amp;D Rate per unit]]*R186*Table1[[#This Row],[Quantity]],2)</f>
        <v>110.85</v>
      </c>
      <c r="Y186" s="113">
        <f t="shared" si="22"/>
        <v>28.6</v>
      </c>
      <c r="Z186" s="113">
        <f>ROUND(0.3*T186*Table1[[#This Row],[E&amp;D Rate per unit]]*Table1[[#This Row],[Quantity]],2)</f>
        <v>0</v>
      </c>
      <c r="AA186" s="113">
        <v>139.44999999999999</v>
      </c>
      <c r="AB186" s="135"/>
      <c r="AC186" s="135">
        <v>139.44999999999999</v>
      </c>
      <c r="AD186" s="114"/>
      <c r="AE186" s="154"/>
      <c r="AF186" s="161">
        <f>Table1[[#This Row],[Certified Amount (Cum)]]-Table1[[#This Row],[Certified Amount (Previous)]]</f>
        <v>139.44999999999999</v>
      </c>
      <c r="AG186" s="160">
        <f t="shared" si="20"/>
        <v>139.44999999999999</v>
      </c>
      <c r="AH186" s="158">
        <f>Table1[[#This Row],[Certified Amount (Cum)]]-Table1[[#This Row],[Total Amount]]</f>
        <v>0</v>
      </c>
      <c r="AK186" s="169">
        <f>Table1[[#This Row],[E&amp;D Rate per unit]]*Table1[[#This Row],[Quantity]]+Table1[[#This Row],[Hire Charges]]+Table1[[#This Row],[Dismantle Charges]]</f>
        <v>186.95000000000002</v>
      </c>
      <c r="AL186" s="8">
        <f>SUM(Table1[[#This Row],[Erect Charges]:[Dismantle Charges]])</f>
        <v>139.44999999999999</v>
      </c>
    </row>
    <row r="187" spans="1:38" ht="30" customHeight="1" x14ac:dyDescent="0.3">
      <c r="A187" s="90" t="s">
        <v>91</v>
      </c>
      <c r="B187" s="90" t="s">
        <v>99</v>
      </c>
      <c r="C187" s="145" t="s">
        <v>376</v>
      </c>
      <c r="D187" s="108">
        <v>77591</v>
      </c>
      <c r="E187" s="108"/>
      <c r="F187" s="109" t="s">
        <v>373</v>
      </c>
      <c r="G187" s="17" t="s">
        <v>228</v>
      </c>
      <c r="H187" s="108" t="s">
        <v>222</v>
      </c>
      <c r="I187" s="108">
        <v>1</v>
      </c>
      <c r="J187" s="108">
        <v>2</v>
      </c>
      <c r="K187" s="108">
        <v>1</v>
      </c>
      <c r="L187" s="108">
        <v>3</v>
      </c>
      <c r="M187" s="108">
        <v>1</v>
      </c>
      <c r="N187" s="110" t="s">
        <v>223</v>
      </c>
      <c r="O187" s="110">
        <f>ROUND(IF(N187="m3",I187*J187*K187*L187,IF(N187="m2-LxH",I187*J187*L187,IF(N187="m2-LxW",I187*J187*K187,IF(N187="rm",I187*L187,IF(N187="lm",I187*J187,IF(N187="unit",I187,"NA")))))),2)</f>
        <v>3</v>
      </c>
      <c r="P187" s="18">
        <v>44880</v>
      </c>
      <c r="Q187" s="124"/>
      <c r="R187" s="111">
        <v>1</v>
      </c>
      <c r="S187" s="111">
        <v>1</v>
      </c>
      <c r="T187" s="111">
        <v>0</v>
      </c>
      <c r="U187" s="112">
        <f>IF(ISBLANK(Table1[[#This Row],[OHC Date]]),$B$7-Table1[[#This Row],[HOC Date]]+1,Table1[[#This Row],[OHC Date]]-Table1[[#This Row],[HOC Date]]+1)/7</f>
        <v>1.5714285714285714</v>
      </c>
      <c r="V187" s="113">
        <v>63.34</v>
      </c>
      <c r="W187" s="113">
        <v>7.28</v>
      </c>
      <c r="X187" s="113">
        <f>ROUND(0.7*Table1[[#This Row],[E&amp;D Rate per unit]]*R187*Table1[[#This Row],[Quantity]],2)</f>
        <v>133.01</v>
      </c>
      <c r="Y187" s="113">
        <f t="shared" si="22"/>
        <v>34.32</v>
      </c>
      <c r="Z187" s="113">
        <f>ROUND(0.3*T187*Table1[[#This Row],[E&amp;D Rate per unit]]*Table1[[#This Row],[Quantity]],2)</f>
        <v>0</v>
      </c>
      <c r="AA187" s="113">
        <v>167.33</v>
      </c>
      <c r="AB187" s="135"/>
      <c r="AC187" s="135">
        <v>167.33</v>
      </c>
      <c r="AD187" s="114"/>
      <c r="AE187" s="154"/>
      <c r="AF187" s="161">
        <f>Table1[[#This Row],[Certified Amount (Cum)]]-Table1[[#This Row],[Certified Amount (Previous)]]</f>
        <v>167.32999999999998</v>
      </c>
      <c r="AG187" s="160">
        <f t="shared" si="20"/>
        <v>167.32999999999998</v>
      </c>
      <c r="AH187" s="158">
        <f>Table1[[#This Row],[Certified Amount (Cum)]]-Table1[[#This Row],[Total Amount]]</f>
        <v>0</v>
      </c>
      <c r="AK187" s="169">
        <f>Table1[[#This Row],[E&amp;D Rate per unit]]*Table1[[#This Row],[Quantity]]+Table1[[#This Row],[Hire Charges]]+Table1[[#This Row],[Dismantle Charges]]</f>
        <v>224.34</v>
      </c>
      <c r="AL187" s="8">
        <f>SUM(Table1[[#This Row],[Erect Charges]:[Dismantle Charges]])</f>
        <v>167.32999999999998</v>
      </c>
    </row>
    <row r="188" spans="1:38" ht="30" customHeight="1" x14ac:dyDescent="0.3">
      <c r="A188" s="90" t="s">
        <v>91</v>
      </c>
      <c r="B188" s="90" t="s">
        <v>99</v>
      </c>
      <c r="C188" s="145">
        <v>80</v>
      </c>
      <c r="D188" s="108">
        <v>77592</v>
      </c>
      <c r="E188" s="108"/>
      <c r="F188" s="109" t="s">
        <v>373</v>
      </c>
      <c r="G188" s="17" t="s">
        <v>228</v>
      </c>
      <c r="H188" s="108" t="s">
        <v>222</v>
      </c>
      <c r="I188" s="108">
        <v>1</v>
      </c>
      <c r="J188" s="108">
        <v>2.5</v>
      </c>
      <c r="K188" s="108">
        <v>1.8</v>
      </c>
      <c r="L188" s="108">
        <v>3.7</v>
      </c>
      <c r="M188" s="108">
        <v>1</v>
      </c>
      <c r="N188" s="110" t="s">
        <v>223</v>
      </c>
      <c r="O188" s="110">
        <f t="shared" si="21"/>
        <v>3.7</v>
      </c>
      <c r="P188" s="18">
        <v>44880</v>
      </c>
      <c r="Q188" s="124"/>
      <c r="R188" s="111">
        <v>1</v>
      </c>
      <c r="S188" s="111">
        <v>1</v>
      </c>
      <c r="T188" s="111">
        <v>0</v>
      </c>
      <c r="U188" s="112">
        <f>IF(ISBLANK(Table1[[#This Row],[OHC Date]]),$B$7-Table1[[#This Row],[HOC Date]]+1,Table1[[#This Row],[OHC Date]]-Table1[[#This Row],[HOC Date]]+1)/7</f>
        <v>1.5714285714285714</v>
      </c>
      <c r="V188" s="113">
        <v>63.34</v>
      </c>
      <c r="W188" s="113">
        <v>7.28</v>
      </c>
      <c r="X188" s="113">
        <f>ROUND(0.7*Table1[[#This Row],[E&amp;D Rate per unit]]*R188*Table1[[#This Row],[Quantity]],2)</f>
        <v>164.05</v>
      </c>
      <c r="Y188" s="113">
        <f t="shared" si="22"/>
        <v>42.33</v>
      </c>
      <c r="Z188" s="113">
        <f>ROUND(0.3*T188*Table1[[#This Row],[E&amp;D Rate per unit]]*Table1[[#This Row],[Quantity]],2)</f>
        <v>0</v>
      </c>
      <c r="AA188" s="113">
        <v>206.38</v>
      </c>
      <c r="AB188" s="135"/>
      <c r="AC188" s="135">
        <v>206.38</v>
      </c>
      <c r="AD188" s="114"/>
      <c r="AE188" s="154"/>
      <c r="AF188" s="161">
        <f>Table1[[#This Row],[Certified Amount (Cum)]]-Table1[[#This Row],[Certified Amount (Previous)]]</f>
        <v>206.38</v>
      </c>
      <c r="AG188" s="160">
        <f t="shared" si="20"/>
        <v>206.38</v>
      </c>
      <c r="AH188" s="158">
        <f>Table1[[#This Row],[Certified Amount (Cum)]]-Table1[[#This Row],[Total Amount]]</f>
        <v>0</v>
      </c>
      <c r="AK188" s="169">
        <f>Table1[[#This Row],[E&amp;D Rate per unit]]*Table1[[#This Row],[Quantity]]+Table1[[#This Row],[Hire Charges]]+Table1[[#This Row],[Dismantle Charges]]</f>
        <v>276.68800000000005</v>
      </c>
      <c r="AL188" s="8">
        <f>SUM(Table1[[#This Row],[Erect Charges]:[Dismantle Charges]])</f>
        <v>206.38</v>
      </c>
    </row>
    <row r="189" spans="1:38" ht="30" customHeight="1" x14ac:dyDescent="0.3">
      <c r="A189" s="90" t="s">
        <v>91</v>
      </c>
      <c r="B189" s="90" t="s">
        <v>99</v>
      </c>
      <c r="C189" s="145">
        <v>81</v>
      </c>
      <c r="D189" s="108">
        <v>77593</v>
      </c>
      <c r="E189" s="108"/>
      <c r="F189" s="109" t="s">
        <v>373</v>
      </c>
      <c r="G189" s="17" t="s">
        <v>228</v>
      </c>
      <c r="H189" s="108" t="s">
        <v>222</v>
      </c>
      <c r="I189" s="108">
        <v>1</v>
      </c>
      <c r="J189" s="108">
        <v>2.5</v>
      </c>
      <c r="K189" s="108">
        <v>1.3</v>
      </c>
      <c r="L189" s="108">
        <v>3.7</v>
      </c>
      <c r="M189" s="108">
        <v>1</v>
      </c>
      <c r="N189" s="110" t="s">
        <v>223</v>
      </c>
      <c r="O189" s="110">
        <f t="shared" si="21"/>
        <v>3.7</v>
      </c>
      <c r="P189" s="18">
        <v>44880</v>
      </c>
      <c r="Q189" s="124"/>
      <c r="R189" s="111">
        <v>1</v>
      </c>
      <c r="S189" s="111">
        <v>1</v>
      </c>
      <c r="T189" s="111">
        <v>0</v>
      </c>
      <c r="U189" s="112">
        <f>IF(ISBLANK(Table1[[#This Row],[OHC Date]]),$B$7-Table1[[#This Row],[HOC Date]]+1,Table1[[#This Row],[OHC Date]]-Table1[[#This Row],[HOC Date]]+1)/7</f>
        <v>1.5714285714285714</v>
      </c>
      <c r="V189" s="113">
        <v>63.34</v>
      </c>
      <c r="W189" s="113">
        <v>7.28</v>
      </c>
      <c r="X189" s="113">
        <f>ROUND(0.7*Table1[[#This Row],[E&amp;D Rate per unit]]*R189*Table1[[#This Row],[Quantity]],2)</f>
        <v>164.05</v>
      </c>
      <c r="Y189" s="113">
        <f t="shared" si="22"/>
        <v>42.33</v>
      </c>
      <c r="Z189" s="113">
        <f>ROUND(0.3*T189*Table1[[#This Row],[E&amp;D Rate per unit]]*Table1[[#This Row],[Quantity]],2)</f>
        <v>0</v>
      </c>
      <c r="AA189" s="113">
        <v>206.38</v>
      </c>
      <c r="AB189" s="135"/>
      <c r="AC189" s="135">
        <v>206.38</v>
      </c>
      <c r="AD189" s="114"/>
      <c r="AE189" s="154"/>
      <c r="AF189" s="161">
        <f>Table1[[#This Row],[Certified Amount (Cum)]]-Table1[[#This Row],[Certified Amount (Previous)]]</f>
        <v>206.38</v>
      </c>
      <c r="AG189" s="160">
        <f t="shared" si="20"/>
        <v>206.38</v>
      </c>
      <c r="AH189" s="158">
        <f>Table1[[#This Row],[Certified Amount (Cum)]]-Table1[[#This Row],[Total Amount]]</f>
        <v>0</v>
      </c>
      <c r="AK189" s="169">
        <f>Table1[[#This Row],[E&amp;D Rate per unit]]*Table1[[#This Row],[Quantity]]+Table1[[#This Row],[Hire Charges]]+Table1[[#This Row],[Dismantle Charges]]</f>
        <v>276.68800000000005</v>
      </c>
      <c r="AL189" s="8">
        <f>SUM(Table1[[#This Row],[Erect Charges]:[Dismantle Charges]])</f>
        <v>206.38</v>
      </c>
    </row>
    <row r="190" spans="1:38" ht="30" customHeight="1" x14ac:dyDescent="0.3">
      <c r="A190" s="90" t="s">
        <v>91</v>
      </c>
      <c r="B190" s="90" t="s">
        <v>99</v>
      </c>
      <c r="C190" s="145">
        <v>81</v>
      </c>
      <c r="D190" s="108">
        <v>77593</v>
      </c>
      <c r="E190" s="108"/>
      <c r="F190" s="109" t="s">
        <v>373</v>
      </c>
      <c r="G190" s="17" t="s">
        <v>228</v>
      </c>
      <c r="H190" s="108" t="s">
        <v>178</v>
      </c>
      <c r="I190" s="108">
        <v>1</v>
      </c>
      <c r="J190" s="108">
        <v>2.5</v>
      </c>
      <c r="K190" s="108">
        <v>1.3</v>
      </c>
      <c r="L190" s="108">
        <v>1</v>
      </c>
      <c r="M190" s="108">
        <v>1</v>
      </c>
      <c r="N190" s="110" t="s">
        <v>162</v>
      </c>
      <c r="O190" s="110">
        <f t="shared" si="21"/>
        <v>3.25</v>
      </c>
      <c r="P190" s="18">
        <v>44880</v>
      </c>
      <c r="Q190" s="124"/>
      <c r="R190" s="111">
        <v>1</v>
      </c>
      <c r="S190" s="111">
        <v>1</v>
      </c>
      <c r="T190" s="111">
        <v>0</v>
      </c>
      <c r="U190" s="112">
        <f>IF(ISBLANK(Table1[[#This Row],[OHC Date]]),$B$7-Table1[[#This Row],[HOC Date]]+1,Table1[[#This Row],[OHC Date]]-Table1[[#This Row],[HOC Date]]+1)/7</f>
        <v>1.5714285714285714</v>
      </c>
      <c r="V190" s="113">
        <v>6.63</v>
      </c>
      <c r="W190" s="113">
        <v>0.7</v>
      </c>
      <c r="X190" s="113">
        <f>ROUND(0.7*Table1[[#This Row],[E&amp;D Rate per unit]]*R190*Table1[[#This Row],[Quantity]],2)</f>
        <v>15.08</v>
      </c>
      <c r="Y190" s="113">
        <f t="shared" si="22"/>
        <v>3.58</v>
      </c>
      <c r="Z190" s="113">
        <f>ROUND(0.3*T190*Table1[[#This Row],[E&amp;D Rate per unit]]*Table1[[#This Row],[Quantity]],2)</f>
        <v>0</v>
      </c>
      <c r="AA190" s="113">
        <v>18.66</v>
      </c>
      <c r="AB190" s="135"/>
      <c r="AC190" s="135">
        <v>18.66</v>
      </c>
      <c r="AD190" s="114"/>
      <c r="AE190" s="154"/>
      <c r="AF190" s="161">
        <f>Table1[[#This Row],[Certified Amount (Cum)]]-Table1[[#This Row],[Certified Amount (Previous)]]</f>
        <v>18.66</v>
      </c>
      <c r="AG190" s="160">
        <f t="shared" si="20"/>
        <v>18.66</v>
      </c>
      <c r="AH190" s="158">
        <f>Table1[[#This Row],[Certified Amount (Cum)]]-Table1[[#This Row],[Total Amount]]</f>
        <v>0</v>
      </c>
      <c r="AK190" s="169">
        <f>Table1[[#This Row],[E&amp;D Rate per unit]]*Table1[[#This Row],[Quantity]]+Table1[[#This Row],[Hire Charges]]+Table1[[#This Row],[Dismantle Charges]]</f>
        <v>25.127499999999998</v>
      </c>
      <c r="AL190" s="8">
        <f>SUM(Table1[[#This Row],[Erect Charges]:[Dismantle Charges]])</f>
        <v>18.66</v>
      </c>
    </row>
    <row r="191" spans="1:38" ht="30" customHeight="1" x14ac:dyDescent="0.3">
      <c r="A191" s="90" t="s">
        <v>91</v>
      </c>
      <c r="B191" s="90" t="s">
        <v>99</v>
      </c>
      <c r="C191" s="145">
        <v>82</v>
      </c>
      <c r="D191" s="108">
        <v>77594</v>
      </c>
      <c r="E191" s="108"/>
      <c r="F191" s="109" t="s">
        <v>373</v>
      </c>
      <c r="G191" s="17" t="s">
        <v>228</v>
      </c>
      <c r="H191" s="108" t="s">
        <v>222</v>
      </c>
      <c r="I191" s="108">
        <v>1</v>
      </c>
      <c r="J191" s="108">
        <v>2.5</v>
      </c>
      <c r="K191" s="108">
        <v>1.3</v>
      </c>
      <c r="L191" s="108">
        <v>3</v>
      </c>
      <c r="M191" s="108">
        <v>1</v>
      </c>
      <c r="N191" s="110" t="s">
        <v>223</v>
      </c>
      <c r="O191" s="110">
        <f t="shared" si="21"/>
        <v>3</v>
      </c>
      <c r="P191" s="18">
        <v>44880</v>
      </c>
      <c r="Q191" s="124"/>
      <c r="R191" s="111">
        <v>1</v>
      </c>
      <c r="S191" s="111">
        <v>1</v>
      </c>
      <c r="T191" s="111">
        <v>0</v>
      </c>
      <c r="U191" s="112">
        <f>IF(ISBLANK(Table1[[#This Row],[OHC Date]]),$B$7-Table1[[#This Row],[HOC Date]]+1,Table1[[#This Row],[OHC Date]]-Table1[[#This Row],[HOC Date]]+1)/7</f>
        <v>1.5714285714285714</v>
      </c>
      <c r="V191" s="113">
        <v>63.34</v>
      </c>
      <c r="W191" s="113">
        <v>7.28</v>
      </c>
      <c r="X191" s="113">
        <f>ROUND(0.7*Table1[[#This Row],[E&amp;D Rate per unit]]*R191*Table1[[#This Row],[Quantity]],2)</f>
        <v>133.01</v>
      </c>
      <c r="Y191" s="113">
        <f t="shared" si="22"/>
        <v>34.32</v>
      </c>
      <c r="Z191" s="113">
        <f>ROUND(0.3*T191*Table1[[#This Row],[E&amp;D Rate per unit]]*Table1[[#This Row],[Quantity]],2)</f>
        <v>0</v>
      </c>
      <c r="AA191" s="113">
        <v>167.33</v>
      </c>
      <c r="AB191" s="135"/>
      <c r="AC191" s="135">
        <v>167.33</v>
      </c>
      <c r="AD191" s="114"/>
      <c r="AE191" s="154"/>
      <c r="AF191" s="161">
        <f>Table1[[#This Row],[Certified Amount (Cum)]]-Table1[[#This Row],[Certified Amount (Previous)]]</f>
        <v>167.32999999999998</v>
      </c>
      <c r="AG191" s="160">
        <f t="shared" si="20"/>
        <v>167.32999999999998</v>
      </c>
      <c r="AH191" s="158">
        <f>Table1[[#This Row],[Certified Amount (Cum)]]-Table1[[#This Row],[Total Amount]]</f>
        <v>0</v>
      </c>
      <c r="AK191" s="169">
        <f>Table1[[#This Row],[E&amp;D Rate per unit]]*Table1[[#This Row],[Quantity]]+Table1[[#This Row],[Hire Charges]]+Table1[[#This Row],[Dismantle Charges]]</f>
        <v>224.34</v>
      </c>
      <c r="AL191" s="8">
        <f>SUM(Table1[[#This Row],[Erect Charges]:[Dismantle Charges]])</f>
        <v>167.32999999999998</v>
      </c>
    </row>
    <row r="192" spans="1:38" ht="30" customHeight="1" x14ac:dyDescent="0.3">
      <c r="A192" s="90" t="s">
        <v>91</v>
      </c>
      <c r="B192" s="90" t="s">
        <v>99</v>
      </c>
      <c r="C192" s="145">
        <v>83</v>
      </c>
      <c r="D192" s="108">
        <v>77595</v>
      </c>
      <c r="E192" s="108"/>
      <c r="F192" s="109" t="s">
        <v>373</v>
      </c>
      <c r="G192" s="17" t="s">
        <v>228</v>
      </c>
      <c r="H192" s="108" t="s">
        <v>222</v>
      </c>
      <c r="I192" s="108">
        <v>1</v>
      </c>
      <c r="J192" s="108">
        <v>2.5</v>
      </c>
      <c r="K192" s="108">
        <v>1.3</v>
      </c>
      <c r="L192" s="108">
        <v>3.5</v>
      </c>
      <c r="M192" s="108">
        <v>1</v>
      </c>
      <c r="N192" s="110" t="s">
        <v>223</v>
      </c>
      <c r="O192" s="110">
        <f t="shared" si="21"/>
        <v>3.5</v>
      </c>
      <c r="P192" s="18">
        <v>44880</v>
      </c>
      <c r="Q192" s="124"/>
      <c r="R192" s="111">
        <v>1</v>
      </c>
      <c r="S192" s="111">
        <v>1</v>
      </c>
      <c r="T192" s="111">
        <v>0</v>
      </c>
      <c r="U192" s="112">
        <f>IF(ISBLANK(Table1[[#This Row],[OHC Date]]),$B$7-Table1[[#This Row],[HOC Date]]+1,Table1[[#This Row],[OHC Date]]-Table1[[#This Row],[HOC Date]]+1)/7</f>
        <v>1.5714285714285714</v>
      </c>
      <c r="V192" s="113">
        <v>63.34</v>
      </c>
      <c r="W192" s="113">
        <v>7.28</v>
      </c>
      <c r="X192" s="113">
        <f>ROUND(0.7*Table1[[#This Row],[E&amp;D Rate per unit]]*R192*Table1[[#This Row],[Quantity]],2)</f>
        <v>155.18</v>
      </c>
      <c r="Y192" s="113">
        <f t="shared" si="22"/>
        <v>40.04</v>
      </c>
      <c r="Z192" s="113">
        <f>ROUND(0.3*T192*Table1[[#This Row],[E&amp;D Rate per unit]]*Table1[[#This Row],[Quantity]],2)</f>
        <v>0</v>
      </c>
      <c r="AA192" s="113">
        <v>195.22</v>
      </c>
      <c r="AB192" s="135"/>
      <c r="AC192" s="135">
        <v>195.22</v>
      </c>
      <c r="AD192" s="114"/>
      <c r="AE192" s="154"/>
      <c r="AF192" s="161">
        <f>Table1[[#This Row],[Certified Amount (Cum)]]-Table1[[#This Row],[Certified Amount (Previous)]]</f>
        <v>195.22</v>
      </c>
      <c r="AG192" s="160">
        <f t="shared" si="20"/>
        <v>195.22</v>
      </c>
      <c r="AH192" s="158">
        <f>Table1[[#This Row],[Certified Amount (Cum)]]-Table1[[#This Row],[Total Amount]]</f>
        <v>0</v>
      </c>
      <c r="AK192" s="169">
        <f>Table1[[#This Row],[E&amp;D Rate per unit]]*Table1[[#This Row],[Quantity]]+Table1[[#This Row],[Hire Charges]]+Table1[[#This Row],[Dismantle Charges]]</f>
        <v>261.73</v>
      </c>
      <c r="AL192" s="8">
        <f>SUM(Table1[[#This Row],[Erect Charges]:[Dismantle Charges]])</f>
        <v>195.22</v>
      </c>
    </row>
    <row r="193" spans="1:38" ht="30" customHeight="1" x14ac:dyDescent="0.3">
      <c r="A193" s="90" t="s">
        <v>91</v>
      </c>
      <c r="B193" s="90" t="s">
        <v>99</v>
      </c>
      <c r="C193" s="145" t="s">
        <v>377</v>
      </c>
      <c r="D193" s="108">
        <v>77502</v>
      </c>
      <c r="E193" s="108"/>
      <c r="F193" s="109" t="s">
        <v>378</v>
      </c>
      <c r="G193" s="17" t="s">
        <v>192</v>
      </c>
      <c r="H193" s="108" t="s">
        <v>128</v>
      </c>
      <c r="I193" s="108">
        <v>1</v>
      </c>
      <c r="J193" s="108">
        <v>4.5</v>
      </c>
      <c r="K193" s="108">
        <v>0.5</v>
      </c>
      <c r="L193" s="108">
        <v>1</v>
      </c>
      <c r="M193" s="108">
        <v>1</v>
      </c>
      <c r="N193" s="110" t="s">
        <v>162</v>
      </c>
      <c r="O193" s="110">
        <f t="shared" si="21"/>
        <v>2.25</v>
      </c>
      <c r="P193" s="18">
        <v>44879</v>
      </c>
      <c r="Q193" s="124"/>
      <c r="R193" s="111">
        <v>1</v>
      </c>
      <c r="S193" s="111">
        <v>1</v>
      </c>
      <c r="T193" s="111">
        <v>0</v>
      </c>
      <c r="U193" s="112">
        <f>IF(ISBLANK(Table1[[#This Row],[OHC Date]]),$B$7-Table1[[#This Row],[HOC Date]]+1,Table1[[#This Row],[OHC Date]]-Table1[[#This Row],[HOC Date]]+1)/7</f>
        <v>1.7142857142857142</v>
      </c>
      <c r="V193" s="113">
        <v>32.75</v>
      </c>
      <c r="W193" s="113">
        <v>1.05</v>
      </c>
      <c r="X193" s="113">
        <f>ROUND(0.7*Table1[[#This Row],[E&amp;D Rate per unit]]*R193*Table1[[#This Row],[Quantity]],2)</f>
        <v>51.58</v>
      </c>
      <c r="Y193" s="113">
        <f t="shared" si="22"/>
        <v>4.05</v>
      </c>
      <c r="Z193" s="113">
        <f>ROUND(0.3*T193*Table1[[#This Row],[E&amp;D Rate per unit]]*Table1[[#This Row],[Quantity]],2)</f>
        <v>0</v>
      </c>
      <c r="AA193" s="113">
        <v>55.63</v>
      </c>
      <c r="AB193" s="135"/>
      <c r="AC193" s="135">
        <v>55.63</v>
      </c>
      <c r="AD193" s="114"/>
      <c r="AE193" s="154"/>
      <c r="AF193" s="161">
        <f>Table1[[#This Row],[Certified Amount (Cum)]]-Table1[[#This Row],[Certified Amount (Previous)]]</f>
        <v>55.629999999999995</v>
      </c>
      <c r="AG193" s="160">
        <f t="shared" si="20"/>
        <v>55.629999999999995</v>
      </c>
      <c r="AH193" s="158">
        <f>Table1[[#This Row],[Certified Amount (Cum)]]-Table1[[#This Row],[Total Amount]]</f>
        <v>0</v>
      </c>
      <c r="AK193" s="169">
        <f>Table1[[#This Row],[E&amp;D Rate per unit]]*Table1[[#This Row],[Quantity]]+Table1[[#This Row],[Hire Charges]]+Table1[[#This Row],[Dismantle Charges]]</f>
        <v>77.737499999999997</v>
      </c>
      <c r="AL193" s="8">
        <f>SUM(Table1[[#This Row],[Erect Charges]:[Dismantle Charges]])</f>
        <v>55.629999999999995</v>
      </c>
    </row>
    <row r="194" spans="1:38" ht="30" customHeight="1" x14ac:dyDescent="0.3">
      <c r="A194" s="90" t="s">
        <v>91</v>
      </c>
      <c r="B194" s="90" t="s">
        <v>99</v>
      </c>
      <c r="C194" s="145">
        <v>84</v>
      </c>
      <c r="D194" s="108">
        <v>77505</v>
      </c>
      <c r="E194" s="108"/>
      <c r="F194" s="109" t="s">
        <v>379</v>
      </c>
      <c r="G194" s="17" t="s">
        <v>202</v>
      </c>
      <c r="H194" s="108" t="s">
        <v>115</v>
      </c>
      <c r="I194" s="108">
        <v>1</v>
      </c>
      <c r="J194" s="108">
        <v>2.5</v>
      </c>
      <c r="K194" s="108">
        <v>1.8</v>
      </c>
      <c r="L194" s="108">
        <v>3.7</v>
      </c>
      <c r="M194" s="108">
        <v>1</v>
      </c>
      <c r="N194" s="110" t="s">
        <v>223</v>
      </c>
      <c r="O194" s="110">
        <f t="shared" si="21"/>
        <v>3.7</v>
      </c>
      <c r="P194" s="18">
        <v>44881</v>
      </c>
      <c r="Q194" s="124"/>
      <c r="R194" s="111">
        <v>1</v>
      </c>
      <c r="S194" s="111">
        <v>1</v>
      </c>
      <c r="T194" s="111">
        <v>0</v>
      </c>
      <c r="U194" s="112">
        <f>IF(ISBLANK(Table1[[#This Row],[OHC Date]]),$B$7-Table1[[#This Row],[HOC Date]]+1,Table1[[#This Row],[OHC Date]]-Table1[[#This Row],[HOC Date]]+1)/7</f>
        <v>1.4285714285714286</v>
      </c>
      <c r="V194" s="113">
        <v>103.33</v>
      </c>
      <c r="W194" s="113">
        <v>10.29</v>
      </c>
      <c r="X194" s="113">
        <f>ROUND(0.7*Table1[[#This Row],[E&amp;D Rate per unit]]*R194*Table1[[#This Row],[Quantity]],2)</f>
        <v>267.62</v>
      </c>
      <c r="Y194" s="113">
        <f t="shared" si="22"/>
        <v>54.39</v>
      </c>
      <c r="Z194" s="113">
        <f>ROUND(0.3*T194*Table1[[#This Row],[E&amp;D Rate per unit]]*Table1[[#This Row],[Quantity]],2)</f>
        <v>0</v>
      </c>
      <c r="AA194" s="113">
        <v>322.01</v>
      </c>
      <c r="AB194" s="135"/>
      <c r="AC194" s="135">
        <v>322.01</v>
      </c>
      <c r="AD194" s="114"/>
      <c r="AE194" s="154"/>
      <c r="AF194" s="161">
        <f>Table1[[#This Row],[Certified Amount (Cum)]]-Table1[[#This Row],[Certified Amount (Previous)]]</f>
        <v>322.01</v>
      </c>
      <c r="AG194" s="160">
        <f t="shared" si="20"/>
        <v>322.01</v>
      </c>
      <c r="AH194" s="158">
        <f>Table1[[#This Row],[Certified Amount (Cum)]]-Table1[[#This Row],[Total Amount]]</f>
        <v>0</v>
      </c>
      <c r="AK194" s="169">
        <f>Table1[[#This Row],[E&amp;D Rate per unit]]*Table1[[#This Row],[Quantity]]+Table1[[#This Row],[Hire Charges]]+Table1[[#This Row],[Dismantle Charges]]</f>
        <v>436.71100000000001</v>
      </c>
      <c r="AL194" s="8">
        <f>SUM(Table1[[#This Row],[Erect Charges]:[Dismantle Charges]])</f>
        <v>322.01</v>
      </c>
    </row>
    <row r="195" spans="1:38" ht="30" customHeight="1" x14ac:dyDescent="0.3">
      <c r="A195" s="90" t="s">
        <v>91</v>
      </c>
      <c r="B195" s="90" t="s">
        <v>99</v>
      </c>
      <c r="C195" s="145">
        <v>85</v>
      </c>
      <c r="D195" s="108">
        <v>77506</v>
      </c>
      <c r="E195" s="108"/>
      <c r="F195" s="109" t="s">
        <v>380</v>
      </c>
      <c r="G195" s="17" t="s">
        <v>228</v>
      </c>
      <c r="H195" s="108" t="s">
        <v>207</v>
      </c>
      <c r="I195" s="108">
        <v>1</v>
      </c>
      <c r="J195" s="108">
        <v>6.3</v>
      </c>
      <c r="K195" s="108">
        <v>1.3</v>
      </c>
      <c r="L195" s="108">
        <v>2</v>
      </c>
      <c r="M195" s="108">
        <v>1</v>
      </c>
      <c r="N195" s="110" t="s">
        <v>208</v>
      </c>
      <c r="O195" s="110">
        <f t="shared" si="21"/>
        <v>12.6</v>
      </c>
      <c r="P195" s="18">
        <v>44881</v>
      </c>
      <c r="Q195" s="124"/>
      <c r="R195" s="111">
        <v>1</v>
      </c>
      <c r="S195" s="111">
        <v>1</v>
      </c>
      <c r="T195" s="111">
        <v>0</v>
      </c>
      <c r="U195" s="112">
        <f>IF(ISBLANK(Table1[[#This Row],[OHC Date]]),$B$7-Table1[[#This Row],[HOC Date]]+1,Table1[[#This Row],[OHC Date]]-Table1[[#This Row],[HOC Date]]+1)/7</f>
        <v>1.4285714285714286</v>
      </c>
      <c r="V195" s="113">
        <v>12.01</v>
      </c>
      <c r="W195" s="113">
        <v>0.49</v>
      </c>
      <c r="X195" s="113">
        <f>ROUND(0.7*Table1[[#This Row],[E&amp;D Rate per unit]]*R195*Table1[[#This Row],[Quantity]],2)</f>
        <v>105.93</v>
      </c>
      <c r="Y195" s="113">
        <f t="shared" si="22"/>
        <v>8.82</v>
      </c>
      <c r="Z195" s="113">
        <f>ROUND(0.3*T195*Table1[[#This Row],[E&amp;D Rate per unit]]*Table1[[#This Row],[Quantity]],2)</f>
        <v>0</v>
      </c>
      <c r="AA195" s="113">
        <v>114.75</v>
      </c>
      <c r="AB195" s="135"/>
      <c r="AC195" s="135">
        <v>114.75</v>
      </c>
      <c r="AD195" s="114"/>
      <c r="AE195" s="154"/>
      <c r="AF195" s="161">
        <f>Table1[[#This Row],[Certified Amount (Cum)]]-Table1[[#This Row],[Certified Amount (Previous)]]</f>
        <v>114.75</v>
      </c>
      <c r="AG195" s="160">
        <f t="shared" si="20"/>
        <v>114.75</v>
      </c>
      <c r="AH195" s="158">
        <f>Table1[[#This Row],[Certified Amount (Cum)]]-Table1[[#This Row],[Total Amount]]</f>
        <v>0</v>
      </c>
      <c r="AK195" s="169">
        <f>Table1[[#This Row],[E&amp;D Rate per unit]]*Table1[[#This Row],[Quantity]]+Table1[[#This Row],[Hire Charges]]+Table1[[#This Row],[Dismantle Charges]]</f>
        <v>160.14599999999999</v>
      </c>
      <c r="AL195" s="8">
        <f>SUM(Table1[[#This Row],[Erect Charges]:[Dismantle Charges]])</f>
        <v>114.75</v>
      </c>
    </row>
    <row r="196" spans="1:38" ht="30" customHeight="1" x14ac:dyDescent="0.3">
      <c r="A196" s="90" t="s">
        <v>91</v>
      </c>
      <c r="B196" s="90" t="s">
        <v>99</v>
      </c>
      <c r="C196" s="145">
        <v>86</v>
      </c>
      <c r="D196" s="108">
        <v>77507</v>
      </c>
      <c r="E196" s="108">
        <v>80531</v>
      </c>
      <c r="F196" s="109" t="s">
        <v>375</v>
      </c>
      <c r="G196" s="17" t="s">
        <v>225</v>
      </c>
      <c r="H196" s="108" t="s">
        <v>222</v>
      </c>
      <c r="I196" s="108">
        <v>1</v>
      </c>
      <c r="J196" s="108">
        <v>1.3</v>
      </c>
      <c r="K196" s="108">
        <v>0.9</v>
      </c>
      <c r="L196" s="108">
        <v>2</v>
      </c>
      <c r="M196" s="108">
        <v>1</v>
      </c>
      <c r="N196" s="110" t="s">
        <v>223</v>
      </c>
      <c r="O196" s="110">
        <f t="shared" si="21"/>
        <v>2</v>
      </c>
      <c r="P196" s="18">
        <v>44881</v>
      </c>
      <c r="Q196" s="124">
        <v>44884</v>
      </c>
      <c r="R196" s="111">
        <v>1</v>
      </c>
      <c r="S196" s="111">
        <v>1</v>
      </c>
      <c r="T196" s="111">
        <v>1</v>
      </c>
      <c r="U196" s="112">
        <f>IF(ISBLANK(Table1[[#This Row],[OHC Date]]),$B$7-Table1[[#This Row],[HOC Date]]+1,Table1[[#This Row],[OHC Date]]-Table1[[#This Row],[HOC Date]]+1)/7</f>
        <v>0.5714285714285714</v>
      </c>
      <c r="V196" s="113">
        <v>63.34</v>
      </c>
      <c r="W196" s="113">
        <v>7.28</v>
      </c>
      <c r="X196" s="113">
        <f>ROUND(0.7*Table1[[#This Row],[E&amp;D Rate per unit]]*R196*Table1[[#This Row],[Quantity]],2)</f>
        <v>88.68</v>
      </c>
      <c r="Y196" s="113">
        <f t="shared" si="22"/>
        <v>8.32</v>
      </c>
      <c r="Z196" s="113">
        <f>ROUND(0.3*T196*Table1[[#This Row],[E&amp;D Rate per unit]]*Table1[[#This Row],[Quantity]],2)</f>
        <v>38</v>
      </c>
      <c r="AA196" s="113">
        <v>135</v>
      </c>
      <c r="AB196" s="135"/>
      <c r="AC196" s="135">
        <v>135</v>
      </c>
      <c r="AD196" s="114"/>
      <c r="AE196" s="154"/>
      <c r="AF196" s="161">
        <f>Table1[[#This Row],[Certified Amount (Cum)]]-Table1[[#This Row],[Certified Amount (Previous)]]</f>
        <v>135</v>
      </c>
      <c r="AG196" s="160">
        <f t="shared" si="20"/>
        <v>135</v>
      </c>
      <c r="AH196" s="158">
        <f>Table1[[#This Row],[Certified Amount (Cum)]]-Table1[[#This Row],[Total Amount]]</f>
        <v>0</v>
      </c>
      <c r="AK196" s="169">
        <f>Table1[[#This Row],[E&amp;D Rate per unit]]*Table1[[#This Row],[Quantity]]+Table1[[#This Row],[Hire Charges]]+Table1[[#This Row],[Dismantle Charges]]</f>
        <v>173</v>
      </c>
      <c r="AL196" s="8">
        <f>SUM(Table1[[#This Row],[Erect Charges]:[Dismantle Charges]])</f>
        <v>135</v>
      </c>
    </row>
    <row r="197" spans="1:38" ht="30" customHeight="1" x14ac:dyDescent="0.3">
      <c r="A197" s="90" t="s">
        <v>91</v>
      </c>
      <c r="B197" s="90" t="s">
        <v>99</v>
      </c>
      <c r="C197" s="145">
        <v>87</v>
      </c>
      <c r="D197" s="108">
        <v>77508</v>
      </c>
      <c r="E197" s="108"/>
      <c r="F197" s="109" t="s">
        <v>381</v>
      </c>
      <c r="G197" s="17" t="s">
        <v>202</v>
      </c>
      <c r="H197" s="108" t="s">
        <v>222</v>
      </c>
      <c r="I197" s="108">
        <v>1</v>
      </c>
      <c r="J197" s="108">
        <v>2.5</v>
      </c>
      <c r="K197" s="108">
        <v>1.3</v>
      </c>
      <c r="L197" s="108">
        <v>4</v>
      </c>
      <c r="M197" s="108">
        <v>1</v>
      </c>
      <c r="N197" s="110" t="s">
        <v>223</v>
      </c>
      <c r="O197" s="110">
        <f t="shared" si="21"/>
        <v>4</v>
      </c>
      <c r="P197" s="18">
        <v>44882</v>
      </c>
      <c r="Q197" s="124"/>
      <c r="R197" s="111">
        <v>1</v>
      </c>
      <c r="S197" s="111">
        <v>1</v>
      </c>
      <c r="T197" s="111">
        <v>0</v>
      </c>
      <c r="U197" s="112">
        <f>IF(ISBLANK(Table1[[#This Row],[OHC Date]]),$B$7-Table1[[#This Row],[HOC Date]]+1,Table1[[#This Row],[OHC Date]]-Table1[[#This Row],[HOC Date]]+1)/7</f>
        <v>1.2857142857142858</v>
      </c>
      <c r="V197" s="113">
        <v>63.34</v>
      </c>
      <c r="W197" s="113">
        <v>7.28</v>
      </c>
      <c r="X197" s="113">
        <f>ROUND(0.7*Table1[[#This Row],[E&amp;D Rate per unit]]*R197*Table1[[#This Row],[Quantity]],2)</f>
        <v>177.35</v>
      </c>
      <c r="Y197" s="113">
        <f t="shared" si="22"/>
        <v>37.44</v>
      </c>
      <c r="Z197" s="113">
        <f>ROUND(0.3*T197*Table1[[#This Row],[E&amp;D Rate per unit]]*Table1[[#This Row],[Quantity]],2)</f>
        <v>0</v>
      </c>
      <c r="AA197" s="113">
        <v>214.79</v>
      </c>
      <c r="AB197" s="135"/>
      <c r="AC197" s="135">
        <v>214.79</v>
      </c>
      <c r="AD197" s="114"/>
      <c r="AE197" s="154"/>
      <c r="AF197" s="161">
        <f>Table1[[#This Row],[Certified Amount (Cum)]]-Table1[[#This Row],[Certified Amount (Previous)]]</f>
        <v>214.79</v>
      </c>
      <c r="AG197" s="160">
        <f t="shared" si="20"/>
        <v>214.79</v>
      </c>
      <c r="AH197" s="158">
        <f>Table1[[#This Row],[Certified Amount (Cum)]]-Table1[[#This Row],[Total Amount]]</f>
        <v>0</v>
      </c>
      <c r="AK197" s="169">
        <f>Table1[[#This Row],[E&amp;D Rate per unit]]*Table1[[#This Row],[Quantity]]+Table1[[#This Row],[Hire Charges]]+Table1[[#This Row],[Dismantle Charges]]</f>
        <v>290.8</v>
      </c>
      <c r="AL197" s="8">
        <f>SUM(Table1[[#This Row],[Erect Charges]:[Dismantle Charges]])</f>
        <v>214.79</v>
      </c>
    </row>
    <row r="198" spans="1:38" ht="30" customHeight="1" x14ac:dyDescent="0.3">
      <c r="A198" s="90" t="s">
        <v>91</v>
      </c>
      <c r="B198" s="90" t="s">
        <v>99</v>
      </c>
      <c r="C198" s="145">
        <v>87</v>
      </c>
      <c r="D198" s="108">
        <v>77508</v>
      </c>
      <c r="E198" s="108"/>
      <c r="F198" s="109" t="s">
        <v>381</v>
      </c>
      <c r="G198" s="17" t="s">
        <v>202</v>
      </c>
      <c r="H198" s="108" t="s">
        <v>178</v>
      </c>
      <c r="I198" s="108">
        <v>1</v>
      </c>
      <c r="J198" s="108">
        <v>2.5</v>
      </c>
      <c r="K198" s="108">
        <v>1.3</v>
      </c>
      <c r="L198" s="108">
        <v>1</v>
      </c>
      <c r="M198" s="108">
        <v>1</v>
      </c>
      <c r="N198" s="110" t="s">
        <v>162</v>
      </c>
      <c r="O198" s="110">
        <f t="shared" si="21"/>
        <v>3.25</v>
      </c>
      <c r="P198" s="18">
        <v>44882</v>
      </c>
      <c r="Q198" s="124"/>
      <c r="R198" s="111">
        <v>1</v>
      </c>
      <c r="S198" s="111">
        <v>1</v>
      </c>
      <c r="T198" s="111">
        <v>0</v>
      </c>
      <c r="U198" s="112">
        <f>IF(ISBLANK(Table1[[#This Row],[OHC Date]]),$B$7-Table1[[#This Row],[HOC Date]]+1,Table1[[#This Row],[OHC Date]]-Table1[[#This Row],[HOC Date]]+1)/7</f>
        <v>1.2857142857142858</v>
      </c>
      <c r="V198" s="113">
        <v>6.63</v>
      </c>
      <c r="W198" s="113">
        <v>0.7</v>
      </c>
      <c r="X198" s="113">
        <f>ROUND(0.7*Table1[[#This Row],[E&amp;D Rate per unit]]*R198*Table1[[#This Row],[Quantity]],2)</f>
        <v>15.08</v>
      </c>
      <c r="Y198" s="113">
        <f t="shared" si="22"/>
        <v>2.93</v>
      </c>
      <c r="Z198" s="113">
        <f>ROUND(0.3*T198*Table1[[#This Row],[E&amp;D Rate per unit]]*Table1[[#This Row],[Quantity]],2)</f>
        <v>0</v>
      </c>
      <c r="AA198" s="113">
        <v>18.010000000000002</v>
      </c>
      <c r="AB198" s="135"/>
      <c r="AC198" s="135">
        <v>18.010000000000002</v>
      </c>
      <c r="AD198" s="114"/>
      <c r="AE198" s="154"/>
      <c r="AF198" s="161">
        <f>Table1[[#This Row],[Certified Amount (Cum)]]-Table1[[#This Row],[Certified Amount (Previous)]]</f>
        <v>18.010000000000002</v>
      </c>
      <c r="AG198" s="160">
        <f t="shared" si="20"/>
        <v>18.010000000000002</v>
      </c>
      <c r="AH198" s="158">
        <f>Table1[[#This Row],[Certified Amount (Cum)]]-Table1[[#This Row],[Total Amount]]</f>
        <v>0</v>
      </c>
      <c r="AK198" s="169">
        <f>Table1[[#This Row],[E&amp;D Rate per unit]]*Table1[[#This Row],[Quantity]]+Table1[[#This Row],[Hire Charges]]+Table1[[#This Row],[Dismantle Charges]]</f>
        <v>24.477499999999999</v>
      </c>
      <c r="AL198" s="8">
        <f>SUM(Table1[[#This Row],[Erect Charges]:[Dismantle Charges]])</f>
        <v>18.010000000000002</v>
      </c>
    </row>
    <row r="199" spans="1:38" ht="29.25" customHeight="1" x14ac:dyDescent="0.3">
      <c r="A199" s="90" t="s">
        <v>91</v>
      </c>
      <c r="B199" s="90" t="s">
        <v>99</v>
      </c>
      <c r="C199" s="145">
        <v>88</v>
      </c>
      <c r="D199" s="108">
        <v>77509</v>
      </c>
      <c r="E199" s="108"/>
      <c r="F199" s="109" t="s">
        <v>382</v>
      </c>
      <c r="G199" s="17" t="s">
        <v>202</v>
      </c>
      <c r="H199" s="108" t="s">
        <v>207</v>
      </c>
      <c r="I199" s="108">
        <v>1</v>
      </c>
      <c r="J199" s="108">
        <v>14.6</v>
      </c>
      <c r="K199" s="108">
        <v>1.3</v>
      </c>
      <c r="L199" s="108">
        <v>4</v>
      </c>
      <c r="M199" s="108">
        <v>1</v>
      </c>
      <c r="N199" s="110" t="s">
        <v>208</v>
      </c>
      <c r="O199" s="110">
        <f t="shared" si="21"/>
        <v>58.4</v>
      </c>
      <c r="P199" s="18">
        <v>44882</v>
      </c>
      <c r="Q199" s="124"/>
      <c r="R199" s="111">
        <v>1</v>
      </c>
      <c r="S199" s="111">
        <v>1</v>
      </c>
      <c r="T199" s="111">
        <v>0</v>
      </c>
      <c r="U199" s="112">
        <f>IF(ISBLANK(Table1[[#This Row],[OHC Date]]),$B$7-Table1[[#This Row],[HOC Date]]+1,Table1[[#This Row],[OHC Date]]-Table1[[#This Row],[HOC Date]]+1)/7</f>
        <v>1.2857142857142858</v>
      </c>
      <c r="V199" s="113">
        <v>12.01</v>
      </c>
      <c r="W199" s="113">
        <v>0.49</v>
      </c>
      <c r="X199" s="113">
        <f>ROUND(0.7*Table1[[#This Row],[E&amp;D Rate per unit]]*R199*Table1[[#This Row],[Quantity]],2)</f>
        <v>490.97</v>
      </c>
      <c r="Y199" s="113">
        <f t="shared" si="22"/>
        <v>36.79</v>
      </c>
      <c r="Z199" s="113">
        <f>ROUND(0.3*T199*Table1[[#This Row],[E&amp;D Rate per unit]]*Table1[[#This Row],[Quantity]],2)</f>
        <v>0</v>
      </c>
      <c r="AA199" s="113">
        <v>527.76</v>
      </c>
      <c r="AB199" s="135"/>
      <c r="AC199" s="135">
        <v>527.76</v>
      </c>
      <c r="AD199" s="114"/>
      <c r="AE199" s="154"/>
      <c r="AF199" s="161">
        <f>Table1[[#This Row],[Certified Amount (Cum)]]-Table1[[#This Row],[Certified Amount (Previous)]]</f>
        <v>527.76</v>
      </c>
      <c r="AG199" s="160">
        <f t="shared" si="20"/>
        <v>527.76</v>
      </c>
      <c r="AH199" s="158">
        <f>Table1[[#This Row],[Certified Amount (Cum)]]-Table1[[#This Row],[Total Amount]]</f>
        <v>0</v>
      </c>
      <c r="AK199" s="169">
        <f>Table1[[#This Row],[E&amp;D Rate per unit]]*Table1[[#This Row],[Quantity]]+Table1[[#This Row],[Hire Charges]]+Table1[[#This Row],[Dismantle Charges]]</f>
        <v>738.17399999999998</v>
      </c>
      <c r="AL199" s="8">
        <f>SUM(Table1[[#This Row],[Erect Charges]:[Dismantle Charges]])</f>
        <v>527.76</v>
      </c>
    </row>
    <row r="200" spans="1:38" ht="29.25" customHeight="1" x14ac:dyDescent="0.3">
      <c r="A200" s="90" t="s">
        <v>91</v>
      </c>
      <c r="B200" s="90" t="s">
        <v>99</v>
      </c>
      <c r="C200" s="145">
        <v>88</v>
      </c>
      <c r="D200" s="108">
        <v>77509</v>
      </c>
      <c r="E200" s="108"/>
      <c r="F200" s="109" t="s">
        <v>382</v>
      </c>
      <c r="G200" s="17" t="s">
        <v>202</v>
      </c>
      <c r="H200" s="108" t="s">
        <v>178</v>
      </c>
      <c r="I200" s="108">
        <v>1</v>
      </c>
      <c r="J200" s="108">
        <v>14.6</v>
      </c>
      <c r="K200" s="108">
        <v>1.3</v>
      </c>
      <c r="L200" s="108">
        <v>1</v>
      </c>
      <c r="M200" s="108">
        <v>1</v>
      </c>
      <c r="N200" s="110" t="s">
        <v>162</v>
      </c>
      <c r="O200" s="110">
        <f t="shared" si="21"/>
        <v>18.98</v>
      </c>
      <c r="P200" s="18">
        <v>44882</v>
      </c>
      <c r="Q200" s="124"/>
      <c r="R200" s="111">
        <v>1</v>
      </c>
      <c r="S200" s="111">
        <v>1</v>
      </c>
      <c r="T200" s="111">
        <v>0</v>
      </c>
      <c r="U200" s="112">
        <f>IF(ISBLANK(Table1[[#This Row],[OHC Date]]),$B$7-Table1[[#This Row],[HOC Date]]+1,Table1[[#This Row],[OHC Date]]-Table1[[#This Row],[HOC Date]]+1)/7</f>
        <v>1.2857142857142858</v>
      </c>
      <c r="V200" s="113">
        <v>6.63</v>
      </c>
      <c r="W200" s="113">
        <v>0.7</v>
      </c>
      <c r="X200" s="113">
        <f>ROUND(0.7*Table1[[#This Row],[E&amp;D Rate per unit]]*R200*Table1[[#This Row],[Quantity]],2)</f>
        <v>88.09</v>
      </c>
      <c r="Y200" s="113">
        <f t="shared" si="22"/>
        <v>17.079999999999998</v>
      </c>
      <c r="Z200" s="113">
        <f>ROUND(0.3*T200*Table1[[#This Row],[E&amp;D Rate per unit]]*Table1[[#This Row],[Quantity]],2)</f>
        <v>0</v>
      </c>
      <c r="AA200" s="113">
        <v>105.17</v>
      </c>
      <c r="AB200" s="135"/>
      <c r="AC200" s="135">
        <v>105.17</v>
      </c>
      <c r="AD200" s="114"/>
      <c r="AE200" s="153"/>
      <c r="AF200" s="161">
        <f>Table1[[#This Row],[Certified Amount (Cum)]]-Table1[[#This Row],[Certified Amount (Previous)]]</f>
        <v>105.17</v>
      </c>
      <c r="AG200" s="160">
        <f t="shared" si="20"/>
        <v>105.17</v>
      </c>
      <c r="AH200" s="158">
        <f>Table1[[#This Row],[Certified Amount (Cum)]]-Table1[[#This Row],[Total Amount]]</f>
        <v>0</v>
      </c>
      <c r="AK200" s="169">
        <f>Table1[[#This Row],[E&amp;D Rate per unit]]*Table1[[#This Row],[Quantity]]+Table1[[#This Row],[Hire Charges]]+Table1[[#This Row],[Dismantle Charges]]</f>
        <v>142.91739999999999</v>
      </c>
      <c r="AL200" s="8">
        <f>SUM(Table1[[#This Row],[Erect Charges]:[Dismantle Charges]])</f>
        <v>105.17</v>
      </c>
    </row>
    <row r="201" spans="1:38" ht="29.25" customHeight="1" x14ac:dyDescent="0.3">
      <c r="A201" s="90" t="s">
        <v>91</v>
      </c>
      <c r="B201" s="90" t="s">
        <v>99</v>
      </c>
      <c r="C201" s="145" t="s">
        <v>459</v>
      </c>
      <c r="D201" s="108">
        <v>77510</v>
      </c>
      <c r="E201" s="108"/>
      <c r="F201" s="109" t="s">
        <v>240</v>
      </c>
      <c r="G201" s="17" t="s">
        <v>192</v>
      </c>
      <c r="H201" s="108" t="s">
        <v>129</v>
      </c>
      <c r="I201" s="108">
        <v>1</v>
      </c>
      <c r="J201" s="108">
        <v>3.5</v>
      </c>
      <c r="K201" s="108">
        <v>1</v>
      </c>
      <c r="L201" s="108">
        <v>1</v>
      </c>
      <c r="M201" s="108">
        <v>1</v>
      </c>
      <c r="N201" s="110" t="s">
        <v>162</v>
      </c>
      <c r="O201" s="110">
        <f>ROUND(IF(N201="m3",I201*J201*K201*L201,IF(N201="m2-LxH",I201*J201*L201,IF(N201="m2-LxW",I201*J201*K201,IF(N201="rm",I201*L201,IF(N201="lm",I201*J201,IF(N201="unit",I201,"NA")))))),2)</f>
        <v>3.5</v>
      </c>
      <c r="P201" s="18">
        <v>44882</v>
      </c>
      <c r="Q201" s="124"/>
      <c r="R201" s="111">
        <v>1</v>
      </c>
      <c r="S201" s="111">
        <v>1</v>
      </c>
      <c r="T201" s="111">
        <v>0</v>
      </c>
      <c r="U201" s="112">
        <f>IF(ISBLANK(Table1[[#This Row],[OHC Date]]),$B$7-Table1[[#This Row],[HOC Date]]+1,Table1[[#This Row],[OHC Date]]-Table1[[#This Row],[HOC Date]]+1)/7</f>
        <v>1.2857142857142858</v>
      </c>
      <c r="V201" s="113">
        <v>36.520000000000003</v>
      </c>
      <c r="W201" s="113">
        <v>2.94</v>
      </c>
      <c r="X201" s="113">
        <f>ROUND(0.7*Table1[[#This Row],[E&amp;D Rate per unit]]*R201*Table1[[#This Row],[Quantity]],2)</f>
        <v>89.47</v>
      </c>
      <c r="Y201" s="113">
        <f>ROUND(O201*U201*W201*S201,2)</f>
        <v>13.23</v>
      </c>
      <c r="Z201" s="113">
        <f>ROUND(0.3*T201*Table1[[#This Row],[E&amp;D Rate per unit]]*Table1[[#This Row],[Quantity]],2)</f>
        <v>0</v>
      </c>
      <c r="AA201" s="113">
        <v>102.7</v>
      </c>
      <c r="AB201" s="135"/>
      <c r="AC201" s="135">
        <v>102.7</v>
      </c>
      <c r="AD201" s="114"/>
      <c r="AE201" s="153"/>
      <c r="AF201" s="161">
        <f>Table1[[#This Row],[Certified Amount (Cum)]]-Table1[[#This Row],[Certified Amount (Previous)]]</f>
        <v>102.7</v>
      </c>
      <c r="AG201" s="160">
        <f t="shared" si="20"/>
        <v>102.7</v>
      </c>
      <c r="AH201" s="158">
        <f>Table1[[#This Row],[Certified Amount (Cum)]]-Table1[[#This Row],[Total Amount]]</f>
        <v>0</v>
      </c>
      <c r="AK201" s="169">
        <f>Table1[[#This Row],[E&amp;D Rate per unit]]*Table1[[#This Row],[Quantity]]+Table1[[#This Row],[Hire Charges]]+Table1[[#This Row],[Dismantle Charges]]</f>
        <v>141.05000000000001</v>
      </c>
      <c r="AL201" s="8">
        <f>SUM(Table1[[#This Row],[Erect Charges]:[Dismantle Charges]])</f>
        <v>102.7</v>
      </c>
    </row>
    <row r="202" spans="1:38" ht="30" customHeight="1" x14ac:dyDescent="0.3">
      <c r="A202" s="90" t="s">
        <v>91</v>
      </c>
      <c r="B202" s="90" t="s">
        <v>99</v>
      </c>
      <c r="C202" s="145">
        <v>89</v>
      </c>
      <c r="D202" s="108">
        <v>77511</v>
      </c>
      <c r="E202" s="108"/>
      <c r="F202" s="109" t="s">
        <v>382</v>
      </c>
      <c r="G202" s="17" t="s">
        <v>202</v>
      </c>
      <c r="H202" s="108" t="s">
        <v>120</v>
      </c>
      <c r="I202" s="108">
        <v>1</v>
      </c>
      <c r="J202" s="108">
        <v>5.8</v>
      </c>
      <c r="K202" s="108">
        <v>2.5</v>
      </c>
      <c r="L202" s="108">
        <v>4</v>
      </c>
      <c r="M202" s="108">
        <v>1</v>
      </c>
      <c r="N202" s="110" t="s">
        <v>208</v>
      </c>
      <c r="O202" s="110">
        <f t="shared" si="21"/>
        <v>23.2</v>
      </c>
      <c r="P202" s="18">
        <v>44883</v>
      </c>
      <c r="Q202" s="124"/>
      <c r="R202" s="111">
        <v>1</v>
      </c>
      <c r="S202" s="111">
        <v>1</v>
      </c>
      <c r="T202" s="111">
        <v>0</v>
      </c>
      <c r="U202" s="112">
        <f>IF(ISBLANK(Table1[[#This Row],[OHC Date]]),$B$7-Table1[[#This Row],[HOC Date]]+1,Table1[[#This Row],[OHC Date]]-Table1[[#This Row],[HOC Date]]+1)/7</f>
        <v>1.1428571428571428</v>
      </c>
      <c r="V202" s="113">
        <v>16.760000000000002</v>
      </c>
      <c r="W202" s="113">
        <v>0.77</v>
      </c>
      <c r="X202" s="113">
        <f>ROUND(0.7*Table1[[#This Row],[E&amp;D Rate per unit]]*R202*Table1[[#This Row],[Quantity]],2)</f>
        <v>272.18</v>
      </c>
      <c r="Y202" s="113">
        <f t="shared" si="22"/>
        <v>20.420000000000002</v>
      </c>
      <c r="Z202" s="113">
        <f>ROUND(0.3*T202*Table1[[#This Row],[E&amp;D Rate per unit]]*Table1[[#This Row],[Quantity]],2)</f>
        <v>0</v>
      </c>
      <c r="AA202" s="113">
        <v>292.60000000000002</v>
      </c>
      <c r="AB202" s="135"/>
      <c r="AC202" s="135">
        <v>292.60000000000002</v>
      </c>
      <c r="AD202" s="114"/>
      <c r="AE202" s="153"/>
      <c r="AF202" s="161">
        <f>Table1[[#This Row],[Certified Amount (Cum)]]-Table1[[#This Row],[Certified Amount (Previous)]]</f>
        <v>292.60000000000002</v>
      </c>
      <c r="AG202" s="160">
        <f t="shared" ref="AG202:AG265" si="23">SUM(X202,Y202,Z202)</f>
        <v>292.60000000000002</v>
      </c>
      <c r="AH202" s="158">
        <f>Table1[[#This Row],[Certified Amount (Cum)]]-Table1[[#This Row],[Total Amount]]</f>
        <v>0</v>
      </c>
      <c r="AK202" s="169">
        <f>Table1[[#This Row],[E&amp;D Rate per unit]]*Table1[[#This Row],[Quantity]]+Table1[[#This Row],[Hire Charges]]+Table1[[#This Row],[Dismantle Charges]]</f>
        <v>409.25200000000007</v>
      </c>
      <c r="AL202" s="8">
        <f>SUM(Table1[[#This Row],[Erect Charges]:[Dismantle Charges]])</f>
        <v>292.60000000000002</v>
      </c>
    </row>
    <row r="203" spans="1:38" ht="30" customHeight="1" x14ac:dyDescent="0.3">
      <c r="A203" s="90" t="s">
        <v>91</v>
      </c>
      <c r="B203" s="90" t="s">
        <v>99</v>
      </c>
      <c r="C203" s="145">
        <v>89</v>
      </c>
      <c r="D203" s="108">
        <v>77511</v>
      </c>
      <c r="E203" s="108"/>
      <c r="F203" s="109" t="s">
        <v>382</v>
      </c>
      <c r="G203" s="17" t="s">
        <v>202</v>
      </c>
      <c r="H203" s="108" t="s">
        <v>178</v>
      </c>
      <c r="I203" s="108">
        <v>1</v>
      </c>
      <c r="J203" s="108">
        <v>5.8</v>
      </c>
      <c r="K203" s="108">
        <v>2.5</v>
      </c>
      <c r="L203" s="108">
        <v>1</v>
      </c>
      <c r="M203" s="108">
        <v>1</v>
      </c>
      <c r="N203" s="110" t="s">
        <v>162</v>
      </c>
      <c r="O203" s="110">
        <f t="shared" si="21"/>
        <v>14.5</v>
      </c>
      <c r="P203" s="18">
        <v>44883</v>
      </c>
      <c r="Q203" s="124"/>
      <c r="R203" s="111">
        <v>1</v>
      </c>
      <c r="S203" s="111">
        <v>1</v>
      </c>
      <c r="T203" s="111">
        <v>0</v>
      </c>
      <c r="U203" s="112">
        <f>IF(ISBLANK(Table1[[#This Row],[OHC Date]]),$B$7-Table1[[#This Row],[HOC Date]]+1,Table1[[#This Row],[OHC Date]]-Table1[[#This Row],[HOC Date]]+1)/7</f>
        <v>1.1428571428571428</v>
      </c>
      <c r="V203" s="113">
        <v>6.63</v>
      </c>
      <c r="W203" s="113">
        <v>0.7</v>
      </c>
      <c r="X203" s="113">
        <f>ROUND(0.7*Table1[[#This Row],[E&amp;D Rate per unit]]*R203*Table1[[#This Row],[Quantity]],2)</f>
        <v>67.290000000000006</v>
      </c>
      <c r="Y203" s="113">
        <f t="shared" si="22"/>
        <v>11.6</v>
      </c>
      <c r="Z203" s="113">
        <f>ROUND(0.3*T203*Table1[[#This Row],[E&amp;D Rate per unit]]*Table1[[#This Row],[Quantity]],2)</f>
        <v>0</v>
      </c>
      <c r="AA203" s="113">
        <v>78.89</v>
      </c>
      <c r="AB203" s="135"/>
      <c r="AC203" s="135">
        <v>78.89</v>
      </c>
      <c r="AD203" s="114"/>
      <c r="AE203" s="153"/>
      <c r="AF203" s="161">
        <f>Table1[[#This Row],[Certified Amount (Cum)]]-Table1[[#This Row],[Certified Amount (Previous)]]</f>
        <v>78.89</v>
      </c>
      <c r="AG203" s="160">
        <f t="shared" si="23"/>
        <v>78.89</v>
      </c>
      <c r="AH203" s="158">
        <f>Table1[[#This Row],[Certified Amount (Cum)]]-Table1[[#This Row],[Total Amount]]</f>
        <v>0</v>
      </c>
      <c r="AK203" s="169">
        <f>Table1[[#This Row],[E&amp;D Rate per unit]]*Table1[[#This Row],[Quantity]]+Table1[[#This Row],[Hire Charges]]+Table1[[#This Row],[Dismantle Charges]]</f>
        <v>107.735</v>
      </c>
      <c r="AL203" s="8">
        <f>SUM(Table1[[#This Row],[Erect Charges]:[Dismantle Charges]])</f>
        <v>78.89</v>
      </c>
    </row>
    <row r="204" spans="1:38" ht="30" customHeight="1" x14ac:dyDescent="0.3">
      <c r="A204" s="90" t="s">
        <v>91</v>
      </c>
      <c r="B204" s="90" t="s">
        <v>99</v>
      </c>
      <c r="C204" s="145" t="s">
        <v>383</v>
      </c>
      <c r="D204" s="108">
        <v>77512</v>
      </c>
      <c r="E204" s="108"/>
      <c r="F204" s="109" t="s">
        <v>382</v>
      </c>
      <c r="G204" s="17" t="s">
        <v>202</v>
      </c>
      <c r="H204" s="108" t="s">
        <v>222</v>
      </c>
      <c r="I204" s="108">
        <v>1</v>
      </c>
      <c r="J204" s="108">
        <v>1</v>
      </c>
      <c r="K204" s="108">
        <v>0.9</v>
      </c>
      <c r="L204" s="108">
        <v>4</v>
      </c>
      <c r="M204" s="108">
        <v>1</v>
      </c>
      <c r="N204" s="110" t="s">
        <v>223</v>
      </c>
      <c r="O204" s="110">
        <f t="shared" si="21"/>
        <v>4</v>
      </c>
      <c r="P204" s="18">
        <v>44883</v>
      </c>
      <c r="Q204" s="124"/>
      <c r="R204" s="111">
        <v>1</v>
      </c>
      <c r="S204" s="111">
        <v>1</v>
      </c>
      <c r="T204" s="111">
        <v>0</v>
      </c>
      <c r="U204" s="112">
        <f>IF(ISBLANK(Table1[[#This Row],[OHC Date]]),$B$7-Table1[[#This Row],[HOC Date]]+1,Table1[[#This Row],[OHC Date]]-Table1[[#This Row],[HOC Date]]+1)/7</f>
        <v>1.1428571428571428</v>
      </c>
      <c r="V204" s="113">
        <v>63.34</v>
      </c>
      <c r="W204" s="113">
        <v>7.28</v>
      </c>
      <c r="X204" s="113">
        <f>ROUND(0.7*Table1[[#This Row],[E&amp;D Rate per unit]]*R204*Table1[[#This Row],[Quantity]],2)</f>
        <v>177.35</v>
      </c>
      <c r="Y204" s="113">
        <f t="shared" si="22"/>
        <v>33.28</v>
      </c>
      <c r="Z204" s="113">
        <f>ROUND(0.3*T204*Table1[[#This Row],[E&amp;D Rate per unit]]*Table1[[#This Row],[Quantity]],2)</f>
        <v>0</v>
      </c>
      <c r="AA204" s="113">
        <v>210.63</v>
      </c>
      <c r="AB204" s="135"/>
      <c r="AC204" s="135">
        <v>210.63</v>
      </c>
      <c r="AD204" s="114"/>
      <c r="AE204" s="153"/>
      <c r="AF204" s="161">
        <f>Table1[[#This Row],[Certified Amount (Cum)]]-Table1[[#This Row],[Certified Amount (Previous)]]</f>
        <v>210.63</v>
      </c>
      <c r="AG204" s="160">
        <f t="shared" si="23"/>
        <v>210.63</v>
      </c>
      <c r="AH204" s="158">
        <f>Table1[[#This Row],[Certified Amount (Cum)]]-Table1[[#This Row],[Total Amount]]</f>
        <v>0</v>
      </c>
      <c r="AK204" s="169">
        <f>Table1[[#This Row],[E&amp;D Rate per unit]]*Table1[[#This Row],[Quantity]]+Table1[[#This Row],[Hire Charges]]+Table1[[#This Row],[Dismantle Charges]]</f>
        <v>286.64</v>
      </c>
      <c r="AL204" s="8">
        <f>SUM(Table1[[#This Row],[Erect Charges]:[Dismantle Charges]])</f>
        <v>210.63</v>
      </c>
    </row>
    <row r="205" spans="1:38" ht="30" customHeight="1" x14ac:dyDescent="0.3">
      <c r="A205" s="90" t="s">
        <v>91</v>
      </c>
      <c r="B205" s="90" t="s">
        <v>99</v>
      </c>
      <c r="C205" s="145" t="s">
        <v>383</v>
      </c>
      <c r="D205" s="108">
        <v>77512</v>
      </c>
      <c r="E205" s="108"/>
      <c r="F205" s="109" t="s">
        <v>382</v>
      </c>
      <c r="G205" s="17" t="s">
        <v>202</v>
      </c>
      <c r="H205" s="108" t="s">
        <v>178</v>
      </c>
      <c r="I205" s="108">
        <v>1</v>
      </c>
      <c r="J205" s="108">
        <v>1</v>
      </c>
      <c r="K205" s="108">
        <v>0.9</v>
      </c>
      <c r="L205" s="108">
        <v>1</v>
      </c>
      <c r="M205" s="108">
        <v>1</v>
      </c>
      <c r="N205" s="110" t="s">
        <v>162</v>
      </c>
      <c r="O205" s="110">
        <f t="shared" si="21"/>
        <v>0.9</v>
      </c>
      <c r="P205" s="18">
        <v>44883</v>
      </c>
      <c r="Q205" s="124"/>
      <c r="R205" s="111">
        <v>1</v>
      </c>
      <c r="S205" s="111">
        <v>1</v>
      </c>
      <c r="T205" s="111">
        <v>0</v>
      </c>
      <c r="U205" s="112">
        <f>IF(ISBLANK(Table1[[#This Row],[OHC Date]]),$B$7-Table1[[#This Row],[HOC Date]]+1,Table1[[#This Row],[OHC Date]]-Table1[[#This Row],[HOC Date]]+1)/7</f>
        <v>1.1428571428571428</v>
      </c>
      <c r="V205" s="113">
        <v>6.63</v>
      </c>
      <c r="W205" s="113">
        <v>0.7</v>
      </c>
      <c r="X205" s="113">
        <f>ROUND(0.7*Table1[[#This Row],[E&amp;D Rate per unit]]*R205*Table1[[#This Row],[Quantity]],2)</f>
        <v>4.18</v>
      </c>
      <c r="Y205" s="113">
        <f t="shared" si="22"/>
        <v>0.72</v>
      </c>
      <c r="Z205" s="113">
        <f>ROUND(0.3*T205*Table1[[#This Row],[E&amp;D Rate per unit]]*Table1[[#This Row],[Quantity]],2)</f>
        <v>0</v>
      </c>
      <c r="AA205" s="113">
        <v>4.9000000000000004</v>
      </c>
      <c r="AB205" s="135"/>
      <c r="AC205" s="135">
        <v>4.9000000000000004</v>
      </c>
      <c r="AD205" s="114"/>
      <c r="AE205" s="153"/>
      <c r="AF205" s="161">
        <f>Table1[[#This Row],[Certified Amount (Cum)]]-Table1[[#This Row],[Certified Amount (Previous)]]</f>
        <v>4.8999999999999995</v>
      </c>
      <c r="AG205" s="160">
        <f t="shared" si="23"/>
        <v>4.8999999999999995</v>
      </c>
      <c r="AH205" s="158">
        <f>Table1[[#This Row],[Certified Amount (Cum)]]-Table1[[#This Row],[Total Amount]]</f>
        <v>0</v>
      </c>
      <c r="AK205" s="169">
        <f>Table1[[#This Row],[E&amp;D Rate per unit]]*Table1[[#This Row],[Quantity]]+Table1[[#This Row],[Hire Charges]]+Table1[[#This Row],[Dismantle Charges]]</f>
        <v>6.6869999999999994</v>
      </c>
      <c r="AL205" s="8">
        <f>SUM(Table1[[#This Row],[Erect Charges]:[Dismantle Charges]])</f>
        <v>4.8999999999999995</v>
      </c>
    </row>
    <row r="206" spans="1:38" ht="30" customHeight="1" x14ac:dyDescent="0.3">
      <c r="A206" s="90" t="s">
        <v>91</v>
      </c>
      <c r="B206" s="90" t="s">
        <v>99</v>
      </c>
      <c r="C206" s="145">
        <v>90</v>
      </c>
      <c r="D206" s="108">
        <v>77513</v>
      </c>
      <c r="E206" s="108"/>
      <c r="F206" s="109" t="s">
        <v>374</v>
      </c>
      <c r="G206" s="17" t="s">
        <v>202</v>
      </c>
      <c r="H206" s="108" t="s">
        <v>121</v>
      </c>
      <c r="I206" s="108">
        <v>1</v>
      </c>
      <c r="J206" s="108">
        <v>5</v>
      </c>
      <c r="K206" s="108">
        <v>3.1</v>
      </c>
      <c r="L206" s="108">
        <v>4</v>
      </c>
      <c r="M206" s="108">
        <v>1</v>
      </c>
      <c r="N206" s="110" t="s">
        <v>226</v>
      </c>
      <c r="O206" s="110">
        <f t="shared" ref="O206:O227" si="24">ROUND(IF(N206="m3",I206*J206*K206*L206,IF(N206="m2-LxH",I206*J206*L206,IF(N206="m2-LxW",I206*J206*K206,IF(N206="rm",I206*L206,IF(N206="lm",I206*J206,IF(N206="unit",I206,"NA")))))),2)</f>
        <v>62</v>
      </c>
      <c r="P206" s="18">
        <v>44884</v>
      </c>
      <c r="Q206" s="124"/>
      <c r="R206" s="111">
        <v>1</v>
      </c>
      <c r="S206" s="111">
        <v>1</v>
      </c>
      <c r="T206" s="111">
        <v>0</v>
      </c>
      <c r="U206" s="112">
        <f>IF(ISBLANK(Table1[[#This Row],[OHC Date]]),$B$7-Table1[[#This Row],[HOC Date]]+1,Table1[[#This Row],[OHC Date]]-Table1[[#This Row],[HOC Date]]+1)/7</f>
        <v>1</v>
      </c>
      <c r="V206" s="113">
        <v>7.08</v>
      </c>
      <c r="W206" s="113">
        <v>0.49</v>
      </c>
      <c r="X206" s="113">
        <f>ROUND(0.7*Table1[[#This Row],[E&amp;D Rate per unit]]*R206*Table1[[#This Row],[Quantity]],2)</f>
        <v>307.27</v>
      </c>
      <c r="Y206" s="113">
        <f t="shared" ref="Y206:Y227" si="25">ROUND(O206*U206*W206*S206,2)</f>
        <v>30.38</v>
      </c>
      <c r="Z206" s="113">
        <f>ROUND(0.3*T206*Table1[[#This Row],[E&amp;D Rate per unit]]*Table1[[#This Row],[Quantity]],2)</f>
        <v>0</v>
      </c>
      <c r="AA206" s="113">
        <v>337.65</v>
      </c>
      <c r="AB206" s="135"/>
      <c r="AC206" s="135">
        <v>337.65</v>
      </c>
      <c r="AD206" s="114"/>
      <c r="AE206" s="153"/>
      <c r="AF206" s="161">
        <f>Table1[[#This Row],[Certified Amount (Cum)]]-Table1[[#This Row],[Certified Amount (Previous)]]</f>
        <v>337.65</v>
      </c>
      <c r="AG206" s="160">
        <f t="shared" si="23"/>
        <v>337.65</v>
      </c>
      <c r="AH206" s="158">
        <f>Table1[[#This Row],[Certified Amount (Cum)]]-Table1[[#This Row],[Total Amount]]</f>
        <v>0</v>
      </c>
      <c r="AK206" s="169">
        <f>Table1[[#This Row],[E&amp;D Rate per unit]]*Table1[[#This Row],[Quantity]]+Table1[[#This Row],[Hire Charges]]+Table1[[#This Row],[Dismantle Charges]]</f>
        <v>469.34</v>
      </c>
      <c r="AL206" s="8">
        <f>SUM(Table1[[#This Row],[Erect Charges]:[Dismantle Charges]])</f>
        <v>337.65</v>
      </c>
    </row>
    <row r="207" spans="1:38" ht="30" customHeight="1" x14ac:dyDescent="0.3">
      <c r="A207" s="90" t="s">
        <v>91</v>
      </c>
      <c r="B207" s="90" t="s">
        <v>99</v>
      </c>
      <c r="C207" s="145">
        <v>90</v>
      </c>
      <c r="D207" s="108">
        <v>77513</v>
      </c>
      <c r="E207" s="108"/>
      <c r="F207" s="109" t="s">
        <v>374</v>
      </c>
      <c r="G207" s="17" t="s">
        <v>202</v>
      </c>
      <c r="H207" s="108" t="s">
        <v>178</v>
      </c>
      <c r="I207" s="108">
        <v>1</v>
      </c>
      <c r="J207" s="108">
        <v>5</v>
      </c>
      <c r="K207" s="108">
        <v>3.1</v>
      </c>
      <c r="L207" s="108">
        <v>1</v>
      </c>
      <c r="M207" s="108">
        <v>1</v>
      </c>
      <c r="N207" s="110" t="s">
        <v>162</v>
      </c>
      <c r="O207" s="110">
        <f t="shared" si="24"/>
        <v>15.5</v>
      </c>
      <c r="P207" s="18">
        <v>44884</v>
      </c>
      <c r="Q207" s="124"/>
      <c r="R207" s="111">
        <v>1</v>
      </c>
      <c r="S207" s="111">
        <v>1</v>
      </c>
      <c r="T207" s="111">
        <v>0</v>
      </c>
      <c r="U207" s="112">
        <f>IF(ISBLANK(Table1[[#This Row],[OHC Date]]),$B$7-Table1[[#This Row],[HOC Date]]+1,Table1[[#This Row],[OHC Date]]-Table1[[#This Row],[HOC Date]]+1)/7</f>
        <v>1</v>
      </c>
      <c r="V207" s="113">
        <v>6.63</v>
      </c>
      <c r="W207" s="113">
        <v>0.7</v>
      </c>
      <c r="X207" s="113">
        <f>ROUND(0.7*Table1[[#This Row],[E&amp;D Rate per unit]]*R207*Table1[[#This Row],[Quantity]],2)</f>
        <v>71.94</v>
      </c>
      <c r="Y207" s="113">
        <f t="shared" si="25"/>
        <v>10.85</v>
      </c>
      <c r="Z207" s="113">
        <f>ROUND(0.3*T207*Table1[[#This Row],[E&amp;D Rate per unit]]*Table1[[#This Row],[Quantity]],2)</f>
        <v>0</v>
      </c>
      <c r="AA207" s="113">
        <v>82.79</v>
      </c>
      <c r="AB207" s="135"/>
      <c r="AC207" s="135">
        <v>82.79</v>
      </c>
      <c r="AD207" s="114"/>
      <c r="AE207" s="153"/>
      <c r="AF207" s="161">
        <f>Table1[[#This Row],[Certified Amount (Cum)]]-Table1[[#This Row],[Certified Amount (Previous)]]</f>
        <v>82.789999999999992</v>
      </c>
      <c r="AG207" s="160">
        <f t="shared" si="23"/>
        <v>82.789999999999992</v>
      </c>
      <c r="AH207" s="158">
        <f>Table1[[#This Row],[Certified Amount (Cum)]]-Table1[[#This Row],[Total Amount]]</f>
        <v>0</v>
      </c>
      <c r="AK207" s="169">
        <f>Table1[[#This Row],[E&amp;D Rate per unit]]*Table1[[#This Row],[Quantity]]+Table1[[#This Row],[Hire Charges]]+Table1[[#This Row],[Dismantle Charges]]</f>
        <v>113.61499999999999</v>
      </c>
      <c r="AL207" s="8">
        <f>SUM(Table1[[#This Row],[Erect Charges]:[Dismantle Charges]])</f>
        <v>82.789999999999992</v>
      </c>
    </row>
    <row r="208" spans="1:38" ht="30" customHeight="1" x14ac:dyDescent="0.3">
      <c r="A208" s="90" t="s">
        <v>91</v>
      </c>
      <c r="B208" s="90" t="s">
        <v>99</v>
      </c>
      <c r="C208" s="145">
        <v>91</v>
      </c>
      <c r="D208" s="108">
        <v>77514</v>
      </c>
      <c r="E208" s="108"/>
      <c r="F208" s="109" t="s">
        <v>460</v>
      </c>
      <c r="G208" s="17" t="s">
        <v>202</v>
      </c>
      <c r="H208" s="108" t="s">
        <v>222</v>
      </c>
      <c r="I208" s="108">
        <v>1</v>
      </c>
      <c r="J208" s="108">
        <v>1.3</v>
      </c>
      <c r="K208" s="108">
        <v>0.9</v>
      </c>
      <c r="L208" s="108">
        <v>1</v>
      </c>
      <c r="M208" s="108">
        <v>1</v>
      </c>
      <c r="N208" s="110" t="s">
        <v>223</v>
      </c>
      <c r="O208" s="110">
        <f t="shared" si="24"/>
        <v>1</v>
      </c>
      <c r="P208" s="18">
        <v>44884</v>
      </c>
      <c r="Q208" s="124"/>
      <c r="R208" s="111">
        <v>1</v>
      </c>
      <c r="S208" s="111">
        <v>1</v>
      </c>
      <c r="T208" s="111">
        <v>0</v>
      </c>
      <c r="U208" s="112">
        <f>IF(ISBLANK(Table1[[#This Row],[OHC Date]]),$B$7-Table1[[#This Row],[HOC Date]]+1,Table1[[#This Row],[OHC Date]]-Table1[[#This Row],[HOC Date]]+1)/7</f>
        <v>1</v>
      </c>
      <c r="V208" s="113">
        <v>63.34</v>
      </c>
      <c r="W208" s="113">
        <v>7.28</v>
      </c>
      <c r="X208" s="113">
        <f>ROUND(0.7*Table1[[#This Row],[E&amp;D Rate per unit]]*R208*Table1[[#This Row],[Quantity]],2)</f>
        <v>44.34</v>
      </c>
      <c r="Y208" s="113">
        <f t="shared" si="25"/>
        <v>7.28</v>
      </c>
      <c r="Z208" s="113">
        <f>ROUND(0.3*T208*Table1[[#This Row],[E&amp;D Rate per unit]]*Table1[[#This Row],[Quantity]],2)</f>
        <v>0</v>
      </c>
      <c r="AA208" s="113">
        <v>51.62</v>
      </c>
      <c r="AB208" s="135"/>
      <c r="AC208" s="135">
        <v>51.62</v>
      </c>
      <c r="AD208" s="114"/>
      <c r="AE208" s="153"/>
      <c r="AF208" s="161">
        <f>Table1[[#This Row],[Certified Amount (Cum)]]-Table1[[#This Row],[Certified Amount (Previous)]]</f>
        <v>51.620000000000005</v>
      </c>
      <c r="AG208" s="160">
        <f t="shared" si="23"/>
        <v>51.620000000000005</v>
      </c>
      <c r="AH208" s="158">
        <f>Table1[[#This Row],[Certified Amount (Cum)]]-Table1[[#This Row],[Total Amount]]</f>
        <v>0</v>
      </c>
      <c r="AK208" s="169">
        <f>Table1[[#This Row],[E&amp;D Rate per unit]]*Table1[[#This Row],[Quantity]]+Table1[[#This Row],[Hire Charges]]+Table1[[#This Row],[Dismantle Charges]]</f>
        <v>70.62</v>
      </c>
      <c r="AL208" s="8">
        <f>SUM(Table1[[#This Row],[Erect Charges]:[Dismantle Charges]])</f>
        <v>51.620000000000005</v>
      </c>
    </row>
    <row r="209" spans="1:38" ht="30" customHeight="1" x14ac:dyDescent="0.3">
      <c r="A209" s="90" t="s">
        <v>91</v>
      </c>
      <c r="B209" s="90" t="s">
        <v>99</v>
      </c>
      <c r="C209" s="145" t="s">
        <v>461</v>
      </c>
      <c r="D209" s="108">
        <v>77515</v>
      </c>
      <c r="E209" s="108"/>
      <c r="F209" s="109" t="s">
        <v>318</v>
      </c>
      <c r="G209" s="17" t="s">
        <v>202</v>
      </c>
      <c r="H209" s="108" t="s">
        <v>129</v>
      </c>
      <c r="I209" s="108">
        <v>1</v>
      </c>
      <c r="J209" s="108">
        <v>2.5</v>
      </c>
      <c r="K209" s="108">
        <v>0.75</v>
      </c>
      <c r="L209" s="108">
        <v>1</v>
      </c>
      <c r="M209" s="108">
        <v>1</v>
      </c>
      <c r="N209" s="110" t="s">
        <v>162</v>
      </c>
      <c r="O209" s="110">
        <f t="shared" si="24"/>
        <v>1.88</v>
      </c>
      <c r="P209" s="18">
        <v>44884</v>
      </c>
      <c r="Q209" s="124"/>
      <c r="R209" s="111">
        <v>1</v>
      </c>
      <c r="S209" s="111">
        <v>1</v>
      </c>
      <c r="T209" s="111">
        <v>0</v>
      </c>
      <c r="U209" s="112">
        <f>IF(ISBLANK(Table1[[#This Row],[OHC Date]]),$B$7-Table1[[#This Row],[HOC Date]]+1,Table1[[#This Row],[OHC Date]]-Table1[[#This Row],[HOC Date]]+1)/7</f>
        <v>1</v>
      </c>
      <c r="V209" s="113">
        <v>36.520000000000003</v>
      </c>
      <c r="W209" s="113">
        <v>2.94</v>
      </c>
      <c r="X209" s="113">
        <f>ROUND(0.7*Table1[[#This Row],[E&amp;D Rate per unit]]*R209*Table1[[#This Row],[Quantity]],2)</f>
        <v>48.06</v>
      </c>
      <c r="Y209" s="113">
        <f t="shared" si="25"/>
        <v>5.53</v>
      </c>
      <c r="Z209" s="113">
        <f>ROUND(0.3*T209*Table1[[#This Row],[E&amp;D Rate per unit]]*Table1[[#This Row],[Quantity]],2)</f>
        <v>0</v>
      </c>
      <c r="AA209" s="113">
        <v>53.59</v>
      </c>
      <c r="AB209" s="135"/>
      <c r="AC209" s="135">
        <v>53.59</v>
      </c>
      <c r="AD209" s="114"/>
      <c r="AE209" s="153"/>
      <c r="AF209" s="161">
        <f>Table1[[#This Row],[Certified Amount (Cum)]]-Table1[[#This Row],[Certified Amount (Previous)]]</f>
        <v>53.59</v>
      </c>
      <c r="AG209" s="160">
        <f t="shared" si="23"/>
        <v>53.59</v>
      </c>
      <c r="AH209" s="158">
        <f>Table1[[#This Row],[Certified Amount (Cum)]]-Table1[[#This Row],[Total Amount]]</f>
        <v>0</v>
      </c>
      <c r="AK209" s="169">
        <f>Table1[[#This Row],[E&amp;D Rate per unit]]*Table1[[#This Row],[Quantity]]+Table1[[#This Row],[Hire Charges]]+Table1[[#This Row],[Dismantle Charges]]</f>
        <v>74.187600000000003</v>
      </c>
      <c r="AL209" s="8">
        <f>SUM(Table1[[#This Row],[Erect Charges]:[Dismantle Charges]])</f>
        <v>53.59</v>
      </c>
    </row>
    <row r="210" spans="1:38" ht="30" customHeight="1" x14ac:dyDescent="0.3">
      <c r="A210" s="90" t="s">
        <v>91</v>
      </c>
      <c r="B210" s="90" t="s">
        <v>99</v>
      </c>
      <c r="C210" s="145" t="s">
        <v>462</v>
      </c>
      <c r="D210" s="108">
        <v>77516</v>
      </c>
      <c r="E210" s="108"/>
      <c r="F210" s="109" t="s">
        <v>463</v>
      </c>
      <c r="G210" s="17" t="s">
        <v>202</v>
      </c>
      <c r="H210" s="108" t="s">
        <v>222</v>
      </c>
      <c r="I210" s="108">
        <v>1</v>
      </c>
      <c r="J210" s="108">
        <v>2</v>
      </c>
      <c r="K210" s="108">
        <v>1.3</v>
      </c>
      <c r="L210" s="108">
        <v>3.5</v>
      </c>
      <c r="M210" s="108">
        <v>1</v>
      </c>
      <c r="N210" s="110" t="s">
        <v>223</v>
      </c>
      <c r="O210" s="110">
        <f t="shared" si="24"/>
        <v>3.5</v>
      </c>
      <c r="P210" s="18">
        <v>44886</v>
      </c>
      <c r="Q210" s="124"/>
      <c r="R210" s="111">
        <v>1</v>
      </c>
      <c r="S210" s="111">
        <v>1</v>
      </c>
      <c r="T210" s="111">
        <v>0</v>
      </c>
      <c r="U210" s="112">
        <f>IF(ISBLANK(Table1[[#This Row],[OHC Date]]),$B$7-Table1[[#This Row],[HOC Date]]+1,Table1[[#This Row],[OHC Date]]-Table1[[#This Row],[HOC Date]]+1)/7</f>
        <v>0.7142857142857143</v>
      </c>
      <c r="V210" s="113">
        <v>63.34</v>
      </c>
      <c r="W210" s="113">
        <v>7.28</v>
      </c>
      <c r="X210" s="113">
        <f>ROUND(0.7*Table1[[#This Row],[E&amp;D Rate per unit]]*R210*Table1[[#This Row],[Quantity]],2)</f>
        <v>155.18</v>
      </c>
      <c r="Y210" s="113">
        <f t="shared" si="25"/>
        <v>18.2</v>
      </c>
      <c r="Z210" s="113">
        <f>ROUND(0.3*T210*Table1[[#This Row],[E&amp;D Rate per unit]]*Table1[[#This Row],[Quantity]],2)</f>
        <v>0</v>
      </c>
      <c r="AA210" s="113">
        <v>173.38</v>
      </c>
      <c r="AB210" s="135"/>
      <c r="AC210" s="135">
        <v>173.38</v>
      </c>
      <c r="AD210" s="114"/>
      <c r="AE210" s="153"/>
      <c r="AF210" s="161">
        <f>Table1[[#This Row],[Certified Amount (Cum)]]-Table1[[#This Row],[Certified Amount (Previous)]]</f>
        <v>173.38</v>
      </c>
      <c r="AG210" s="160">
        <f t="shared" si="23"/>
        <v>173.38</v>
      </c>
      <c r="AH210" s="158">
        <f>Table1[[#This Row],[Certified Amount (Cum)]]-Table1[[#This Row],[Total Amount]]</f>
        <v>0</v>
      </c>
      <c r="AK210" s="169">
        <f>Table1[[#This Row],[E&amp;D Rate per unit]]*Table1[[#This Row],[Quantity]]+Table1[[#This Row],[Hire Charges]]+Table1[[#This Row],[Dismantle Charges]]</f>
        <v>239.89</v>
      </c>
      <c r="AL210" s="8">
        <f>SUM(Table1[[#This Row],[Erect Charges]:[Dismantle Charges]])</f>
        <v>173.38</v>
      </c>
    </row>
    <row r="211" spans="1:38" ht="30" customHeight="1" x14ac:dyDescent="0.3">
      <c r="A211" s="90" t="s">
        <v>91</v>
      </c>
      <c r="B211" s="90" t="s">
        <v>99</v>
      </c>
      <c r="C211" s="145">
        <v>92</v>
      </c>
      <c r="D211" s="108">
        <v>77517</v>
      </c>
      <c r="E211" s="108"/>
      <c r="F211" s="109" t="s">
        <v>464</v>
      </c>
      <c r="G211" s="17" t="s">
        <v>465</v>
      </c>
      <c r="H211" s="108" t="s">
        <v>222</v>
      </c>
      <c r="I211" s="108">
        <v>1</v>
      </c>
      <c r="J211" s="108">
        <v>2.5</v>
      </c>
      <c r="K211" s="108">
        <v>1.8</v>
      </c>
      <c r="L211" s="108">
        <v>5.5</v>
      </c>
      <c r="M211" s="108">
        <v>1</v>
      </c>
      <c r="N211" s="110" t="s">
        <v>223</v>
      </c>
      <c r="O211" s="110">
        <f t="shared" si="24"/>
        <v>5.5</v>
      </c>
      <c r="P211" s="18">
        <v>44886</v>
      </c>
      <c r="Q211" s="124"/>
      <c r="R211" s="111">
        <v>1</v>
      </c>
      <c r="S211" s="111">
        <v>1</v>
      </c>
      <c r="T211" s="111">
        <v>0</v>
      </c>
      <c r="U211" s="112">
        <f>IF(ISBLANK(Table1[[#This Row],[OHC Date]]),$B$7-Table1[[#This Row],[HOC Date]]+1,Table1[[#This Row],[OHC Date]]-Table1[[#This Row],[HOC Date]]+1)/7</f>
        <v>0.7142857142857143</v>
      </c>
      <c r="V211" s="113">
        <v>63.34</v>
      </c>
      <c r="W211" s="113">
        <v>7.28</v>
      </c>
      <c r="X211" s="113">
        <f>ROUND(0.7*Table1[[#This Row],[E&amp;D Rate per unit]]*R211*Table1[[#This Row],[Quantity]],2)</f>
        <v>243.86</v>
      </c>
      <c r="Y211" s="113">
        <f t="shared" si="25"/>
        <v>28.6</v>
      </c>
      <c r="Z211" s="113">
        <f>ROUND(0.3*T211*Table1[[#This Row],[E&amp;D Rate per unit]]*Table1[[#This Row],[Quantity]],2)</f>
        <v>0</v>
      </c>
      <c r="AA211" s="113">
        <v>272.45999999999998</v>
      </c>
      <c r="AB211" s="135"/>
      <c r="AC211" s="135">
        <v>272.45999999999998</v>
      </c>
      <c r="AD211" s="114"/>
      <c r="AE211" s="153"/>
      <c r="AF211" s="161">
        <f>Table1[[#This Row],[Certified Amount (Cum)]]-Table1[[#This Row],[Certified Amount (Previous)]]</f>
        <v>272.46000000000004</v>
      </c>
      <c r="AG211" s="160">
        <f t="shared" si="23"/>
        <v>272.46000000000004</v>
      </c>
      <c r="AH211" s="158">
        <f>Table1[[#This Row],[Certified Amount (Cum)]]-Table1[[#This Row],[Total Amount]]</f>
        <v>0</v>
      </c>
      <c r="AK211" s="169">
        <f>Table1[[#This Row],[E&amp;D Rate per unit]]*Table1[[#This Row],[Quantity]]+Table1[[#This Row],[Hire Charges]]+Table1[[#This Row],[Dismantle Charges]]</f>
        <v>376.97</v>
      </c>
      <c r="AL211" s="8">
        <f>SUM(Table1[[#This Row],[Erect Charges]:[Dismantle Charges]])</f>
        <v>272.46000000000004</v>
      </c>
    </row>
    <row r="212" spans="1:38" ht="30" customHeight="1" x14ac:dyDescent="0.3">
      <c r="A212" s="90" t="s">
        <v>91</v>
      </c>
      <c r="B212" s="90" t="s">
        <v>99</v>
      </c>
      <c r="C212" s="145">
        <v>92</v>
      </c>
      <c r="D212" s="108">
        <v>77517</v>
      </c>
      <c r="E212" s="108"/>
      <c r="F212" s="109" t="s">
        <v>464</v>
      </c>
      <c r="G212" s="17" t="s">
        <v>465</v>
      </c>
      <c r="H212" s="108" t="s">
        <v>178</v>
      </c>
      <c r="I212" s="108">
        <v>1</v>
      </c>
      <c r="J212" s="108">
        <v>2.5</v>
      </c>
      <c r="K212" s="108">
        <v>1.8</v>
      </c>
      <c r="L212" s="108">
        <v>1</v>
      </c>
      <c r="M212" s="108">
        <v>1</v>
      </c>
      <c r="N212" s="110" t="s">
        <v>162</v>
      </c>
      <c r="O212" s="110">
        <f t="shared" si="24"/>
        <v>4.5</v>
      </c>
      <c r="P212" s="18">
        <v>44886</v>
      </c>
      <c r="Q212" s="124"/>
      <c r="R212" s="111">
        <v>1</v>
      </c>
      <c r="S212" s="111">
        <v>1</v>
      </c>
      <c r="T212" s="111">
        <v>0</v>
      </c>
      <c r="U212" s="112">
        <f>IF(ISBLANK(Table1[[#This Row],[OHC Date]]),$B$7-Table1[[#This Row],[HOC Date]]+1,Table1[[#This Row],[OHC Date]]-Table1[[#This Row],[HOC Date]]+1)/7</f>
        <v>0.7142857142857143</v>
      </c>
      <c r="V212" s="113">
        <v>6.63</v>
      </c>
      <c r="W212" s="113">
        <v>0.7</v>
      </c>
      <c r="X212" s="113">
        <f>ROUND(0.7*Table1[[#This Row],[E&amp;D Rate per unit]]*R212*Table1[[#This Row],[Quantity]],2)</f>
        <v>20.88</v>
      </c>
      <c r="Y212" s="113">
        <f t="shared" si="25"/>
        <v>2.25</v>
      </c>
      <c r="Z212" s="113">
        <f>ROUND(0.3*T212*Table1[[#This Row],[E&amp;D Rate per unit]]*Table1[[#This Row],[Quantity]],2)</f>
        <v>0</v>
      </c>
      <c r="AA212" s="113">
        <v>23.13</v>
      </c>
      <c r="AB212" s="135"/>
      <c r="AC212" s="135">
        <v>23.13</v>
      </c>
      <c r="AD212" s="114"/>
      <c r="AE212" s="153"/>
      <c r="AF212" s="161">
        <f>Table1[[#This Row],[Certified Amount (Cum)]]-Table1[[#This Row],[Certified Amount (Previous)]]</f>
        <v>23.13</v>
      </c>
      <c r="AG212" s="160">
        <f t="shared" si="23"/>
        <v>23.13</v>
      </c>
      <c r="AH212" s="158">
        <f>Table1[[#This Row],[Certified Amount (Cum)]]-Table1[[#This Row],[Total Amount]]</f>
        <v>0</v>
      </c>
      <c r="AK212" s="169">
        <f>Table1[[#This Row],[E&amp;D Rate per unit]]*Table1[[#This Row],[Quantity]]+Table1[[#This Row],[Hire Charges]]+Table1[[#This Row],[Dismantle Charges]]</f>
        <v>32.085000000000001</v>
      </c>
      <c r="AL212" s="8">
        <f>SUM(Table1[[#This Row],[Erect Charges]:[Dismantle Charges]])</f>
        <v>23.13</v>
      </c>
    </row>
    <row r="213" spans="1:38" ht="30" customHeight="1" x14ac:dyDescent="0.3">
      <c r="A213" s="90" t="s">
        <v>91</v>
      </c>
      <c r="B213" s="90" t="s">
        <v>99</v>
      </c>
      <c r="C213" s="145">
        <v>93</v>
      </c>
      <c r="D213" s="108">
        <v>77518</v>
      </c>
      <c r="E213" s="108"/>
      <c r="F213" s="109" t="s">
        <v>469</v>
      </c>
      <c r="G213" s="17" t="s">
        <v>202</v>
      </c>
      <c r="H213" s="108" t="s">
        <v>115</v>
      </c>
      <c r="I213" s="108">
        <v>1</v>
      </c>
      <c r="J213" s="108">
        <v>2.5</v>
      </c>
      <c r="K213" s="108">
        <v>1.8</v>
      </c>
      <c r="L213" s="108">
        <v>3.7</v>
      </c>
      <c r="M213" s="108">
        <v>1</v>
      </c>
      <c r="N213" s="110" t="s">
        <v>223</v>
      </c>
      <c r="O213" s="110">
        <f t="shared" si="24"/>
        <v>3.7</v>
      </c>
      <c r="P213" s="18">
        <v>44887</v>
      </c>
      <c r="Q213" s="124"/>
      <c r="R213" s="111">
        <v>1</v>
      </c>
      <c r="S213" s="111">
        <v>1</v>
      </c>
      <c r="T213" s="111">
        <v>0</v>
      </c>
      <c r="U213" s="112">
        <f>IF(ISBLANK(Table1[[#This Row],[OHC Date]]),$B$7-Table1[[#This Row],[HOC Date]]+1,Table1[[#This Row],[OHC Date]]-Table1[[#This Row],[HOC Date]]+1)/7</f>
        <v>0.5714285714285714</v>
      </c>
      <c r="V213" s="113">
        <v>103.33</v>
      </c>
      <c r="W213" s="113">
        <v>10.29</v>
      </c>
      <c r="X213" s="113">
        <f>ROUND(0.7*Table1[[#This Row],[E&amp;D Rate per unit]]*R213*Table1[[#This Row],[Quantity]],2)</f>
        <v>267.62</v>
      </c>
      <c r="Y213" s="113">
        <f t="shared" si="25"/>
        <v>21.76</v>
      </c>
      <c r="Z213" s="113">
        <f>ROUND(0.3*T213*Table1[[#This Row],[E&amp;D Rate per unit]]*Table1[[#This Row],[Quantity]],2)</f>
        <v>0</v>
      </c>
      <c r="AA213" s="113">
        <v>289.38</v>
      </c>
      <c r="AB213" s="135"/>
      <c r="AC213" s="135">
        <v>289.38</v>
      </c>
      <c r="AD213" s="114"/>
      <c r="AE213" s="153"/>
      <c r="AF213" s="161">
        <f>Table1[[#This Row],[Certified Amount (Cum)]]-Table1[[#This Row],[Certified Amount (Previous)]]</f>
        <v>289.38</v>
      </c>
      <c r="AG213" s="160">
        <f t="shared" si="23"/>
        <v>289.38</v>
      </c>
      <c r="AH213" s="158">
        <f>Table1[[#This Row],[Certified Amount (Cum)]]-Table1[[#This Row],[Total Amount]]</f>
        <v>0</v>
      </c>
      <c r="AK213" s="169">
        <f>Table1[[#This Row],[E&amp;D Rate per unit]]*Table1[[#This Row],[Quantity]]+Table1[[#This Row],[Hire Charges]]+Table1[[#This Row],[Dismantle Charges]]</f>
        <v>404.08100000000002</v>
      </c>
      <c r="AL213" s="8">
        <f>SUM(Table1[[#This Row],[Erect Charges]:[Dismantle Charges]])</f>
        <v>289.38</v>
      </c>
    </row>
    <row r="214" spans="1:38" ht="30" customHeight="1" x14ac:dyDescent="0.3">
      <c r="A214" s="90" t="s">
        <v>91</v>
      </c>
      <c r="B214" s="90" t="s">
        <v>99</v>
      </c>
      <c r="C214" s="145">
        <v>94</v>
      </c>
      <c r="D214" s="108">
        <v>77519</v>
      </c>
      <c r="E214" s="108"/>
      <c r="F214" s="109" t="s">
        <v>470</v>
      </c>
      <c r="G214" s="17" t="s">
        <v>202</v>
      </c>
      <c r="H214" s="108" t="s">
        <v>207</v>
      </c>
      <c r="I214" s="108">
        <v>1</v>
      </c>
      <c r="J214" s="108">
        <v>5.4</v>
      </c>
      <c r="K214" s="108">
        <v>1.3</v>
      </c>
      <c r="L214" s="108">
        <v>4</v>
      </c>
      <c r="M214" s="108">
        <v>1</v>
      </c>
      <c r="N214" s="110" t="s">
        <v>208</v>
      </c>
      <c r="O214" s="110">
        <f t="shared" si="24"/>
        <v>21.6</v>
      </c>
      <c r="P214" s="18">
        <v>44887</v>
      </c>
      <c r="Q214" s="124"/>
      <c r="R214" s="111">
        <v>1</v>
      </c>
      <c r="S214" s="111">
        <v>1</v>
      </c>
      <c r="T214" s="111">
        <v>0</v>
      </c>
      <c r="U214" s="112">
        <f>IF(ISBLANK(Table1[[#This Row],[OHC Date]]),$B$7-Table1[[#This Row],[HOC Date]]+1,Table1[[#This Row],[OHC Date]]-Table1[[#This Row],[HOC Date]]+1)/7</f>
        <v>0.5714285714285714</v>
      </c>
      <c r="V214" s="113">
        <v>12.01</v>
      </c>
      <c r="W214" s="113">
        <v>0.49</v>
      </c>
      <c r="X214" s="113">
        <f>ROUND(0.7*Table1[[#This Row],[E&amp;D Rate per unit]]*R214*Table1[[#This Row],[Quantity]],2)</f>
        <v>181.59</v>
      </c>
      <c r="Y214" s="113">
        <f t="shared" si="25"/>
        <v>6.05</v>
      </c>
      <c r="Z214" s="113">
        <f>ROUND(0.3*T214*Table1[[#This Row],[E&amp;D Rate per unit]]*Table1[[#This Row],[Quantity]],2)</f>
        <v>0</v>
      </c>
      <c r="AA214" s="113">
        <v>187.64</v>
      </c>
      <c r="AB214" s="135"/>
      <c r="AC214" s="135">
        <v>187.64</v>
      </c>
      <c r="AD214" s="114"/>
      <c r="AE214" s="153"/>
      <c r="AF214" s="161">
        <f>Table1[[#This Row],[Certified Amount (Cum)]]-Table1[[#This Row],[Certified Amount (Previous)]]</f>
        <v>187.64000000000001</v>
      </c>
      <c r="AG214" s="160">
        <f t="shared" si="23"/>
        <v>187.64000000000001</v>
      </c>
      <c r="AH214" s="158">
        <f>Table1[[#This Row],[Certified Amount (Cum)]]-Table1[[#This Row],[Total Amount]]</f>
        <v>0</v>
      </c>
      <c r="AK214" s="169">
        <f>Table1[[#This Row],[E&amp;D Rate per unit]]*Table1[[#This Row],[Quantity]]+Table1[[#This Row],[Hire Charges]]+Table1[[#This Row],[Dismantle Charges]]</f>
        <v>265.46600000000001</v>
      </c>
      <c r="AL214" s="8">
        <f>SUM(Table1[[#This Row],[Erect Charges]:[Dismantle Charges]])</f>
        <v>187.64000000000001</v>
      </c>
    </row>
    <row r="215" spans="1:38" ht="30" customHeight="1" x14ac:dyDescent="0.3">
      <c r="A215" s="90" t="s">
        <v>91</v>
      </c>
      <c r="B215" s="90" t="s">
        <v>99</v>
      </c>
      <c r="C215" s="145" t="s">
        <v>466</v>
      </c>
      <c r="D215" s="108">
        <v>77520</v>
      </c>
      <c r="E215" s="108"/>
      <c r="F215" s="109" t="s">
        <v>470</v>
      </c>
      <c r="G215" s="17" t="s">
        <v>202</v>
      </c>
      <c r="H215" s="108" t="s">
        <v>129</v>
      </c>
      <c r="I215" s="108">
        <v>1</v>
      </c>
      <c r="J215" s="108">
        <v>5.4</v>
      </c>
      <c r="K215" s="108">
        <v>0.75</v>
      </c>
      <c r="L215" s="108">
        <v>1</v>
      </c>
      <c r="M215" s="108">
        <v>1</v>
      </c>
      <c r="N215" s="110" t="s">
        <v>162</v>
      </c>
      <c r="O215" s="110">
        <f t="shared" si="24"/>
        <v>4.05</v>
      </c>
      <c r="P215" s="18">
        <v>44887</v>
      </c>
      <c r="Q215" s="124"/>
      <c r="R215" s="111">
        <v>1</v>
      </c>
      <c r="S215" s="111">
        <v>1</v>
      </c>
      <c r="T215" s="111">
        <v>0</v>
      </c>
      <c r="U215" s="112">
        <f>IF(ISBLANK(Table1[[#This Row],[OHC Date]]),$B$7-Table1[[#This Row],[HOC Date]]+1,Table1[[#This Row],[OHC Date]]-Table1[[#This Row],[HOC Date]]+1)/7</f>
        <v>0.5714285714285714</v>
      </c>
      <c r="V215" s="113">
        <v>36.520000000000003</v>
      </c>
      <c r="W215" s="113">
        <v>2.94</v>
      </c>
      <c r="X215" s="113">
        <f>ROUND(0.7*Table1[[#This Row],[E&amp;D Rate per unit]]*R215*Table1[[#This Row],[Quantity]],2)</f>
        <v>103.53</v>
      </c>
      <c r="Y215" s="113">
        <f t="shared" si="25"/>
        <v>6.8</v>
      </c>
      <c r="Z215" s="113">
        <f>ROUND(0.3*T215*Table1[[#This Row],[E&amp;D Rate per unit]]*Table1[[#This Row],[Quantity]],2)</f>
        <v>0</v>
      </c>
      <c r="AA215" s="113">
        <v>110.33</v>
      </c>
      <c r="AB215" s="135"/>
      <c r="AC215" s="135">
        <v>110.33</v>
      </c>
      <c r="AD215" s="114"/>
      <c r="AE215" s="153"/>
      <c r="AF215" s="161">
        <f>Table1[[#This Row],[Certified Amount (Cum)]]-Table1[[#This Row],[Certified Amount (Previous)]]</f>
        <v>110.33</v>
      </c>
      <c r="AG215" s="160">
        <f t="shared" si="23"/>
        <v>110.33</v>
      </c>
      <c r="AH215" s="158">
        <f>Table1[[#This Row],[Certified Amount (Cum)]]-Table1[[#This Row],[Total Amount]]</f>
        <v>0</v>
      </c>
      <c r="AK215" s="169">
        <f>Table1[[#This Row],[E&amp;D Rate per unit]]*Table1[[#This Row],[Quantity]]+Table1[[#This Row],[Hire Charges]]+Table1[[#This Row],[Dismantle Charges]]</f>
        <v>154.70600000000002</v>
      </c>
      <c r="AL215" s="8">
        <f>SUM(Table1[[#This Row],[Erect Charges]:[Dismantle Charges]])</f>
        <v>110.33</v>
      </c>
    </row>
    <row r="216" spans="1:38" ht="30" customHeight="1" x14ac:dyDescent="0.3">
      <c r="A216" s="90" t="s">
        <v>91</v>
      </c>
      <c r="B216" s="90" t="s">
        <v>99</v>
      </c>
      <c r="C216" s="145" t="s">
        <v>467</v>
      </c>
      <c r="D216" s="108">
        <v>77521</v>
      </c>
      <c r="E216" s="108"/>
      <c r="F216" s="109" t="s">
        <v>470</v>
      </c>
      <c r="G216" s="17" t="s">
        <v>202</v>
      </c>
      <c r="H216" s="108" t="s">
        <v>120</v>
      </c>
      <c r="I216" s="108">
        <v>1</v>
      </c>
      <c r="J216" s="108">
        <v>4.9000000000000004</v>
      </c>
      <c r="K216" s="108">
        <v>2.5</v>
      </c>
      <c r="L216" s="108">
        <v>4</v>
      </c>
      <c r="M216" s="108">
        <v>1</v>
      </c>
      <c r="N216" s="110" t="s">
        <v>208</v>
      </c>
      <c r="O216" s="110">
        <f t="shared" si="24"/>
        <v>19.600000000000001</v>
      </c>
      <c r="P216" s="18">
        <v>44887</v>
      </c>
      <c r="Q216" s="124"/>
      <c r="R216" s="111">
        <v>1</v>
      </c>
      <c r="S216" s="111">
        <v>1</v>
      </c>
      <c r="T216" s="111">
        <v>0</v>
      </c>
      <c r="U216" s="112">
        <f>IF(ISBLANK(Table1[[#This Row],[OHC Date]]),$B$7-Table1[[#This Row],[HOC Date]]+1,Table1[[#This Row],[OHC Date]]-Table1[[#This Row],[HOC Date]]+1)/7</f>
        <v>0.5714285714285714</v>
      </c>
      <c r="V216" s="113">
        <v>16.760000000000002</v>
      </c>
      <c r="W216" s="113">
        <v>0.77</v>
      </c>
      <c r="X216" s="113">
        <f>ROUND(0.7*Table1[[#This Row],[E&amp;D Rate per unit]]*R216*Table1[[#This Row],[Quantity]],2)</f>
        <v>229.95</v>
      </c>
      <c r="Y216" s="113">
        <f t="shared" si="25"/>
        <v>8.6199999999999992</v>
      </c>
      <c r="Z216" s="113">
        <f>ROUND(0.3*T216*Table1[[#This Row],[E&amp;D Rate per unit]]*Table1[[#This Row],[Quantity]],2)</f>
        <v>0</v>
      </c>
      <c r="AA216" s="113">
        <v>238.57</v>
      </c>
      <c r="AB216" s="135"/>
      <c r="AC216" s="135">
        <v>238.57</v>
      </c>
      <c r="AD216" s="114"/>
      <c r="AE216" s="153"/>
      <c r="AF216" s="161">
        <f>Table1[[#This Row],[Certified Amount (Cum)]]-Table1[[#This Row],[Certified Amount (Previous)]]</f>
        <v>238.57</v>
      </c>
      <c r="AG216" s="160">
        <f t="shared" si="23"/>
        <v>238.57</v>
      </c>
      <c r="AH216" s="158">
        <f>Table1[[#This Row],[Certified Amount (Cum)]]-Table1[[#This Row],[Total Amount]]</f>
        <v>0</v>
      </c>
      <c r="AK216" s="169">
        <f>Table1[[#This Row],[E&amp;D Rate per unit]]*Table1[[#This Row],[Quantity]]+Table1[[#This Row],[Hire Charges]]+Table1[[#This Row],[Dismantle Charges]]</f>
        <v>337.11600000000004</v>
      </c>
      <c r="AL216" s="8">
        <f>SUM(Table1[[#This Row],[Erect Charges]:[Dismantle Charges]])</f>
        <v>238.57</v>
      </c>
    </row>
    <row r="217" spans="1:38" ht="30" customHeight="1" x14ac:dyDescent="0.3">
      <c r="A217" s="90" t="s">
        <v>91</v>
      </c>
      <c r="B217" s="90" t="s">
        <v>99</v>
      </c>
      <c r="C217" s="145" t="s">
        <v>468</v>
      </c>
      <c r="D217" s="108">
        <v>77522</v>
      </c>
      <c r="E217" s="108"/>
      <c r="F217" s="109" t="s">
        <v>470</v>
      </c>
      <c r="G217" s="17" t="s">
        <v>202</v>
      </c>
      <c r="H217" s="108" t="s">
        <v>222</v>
      </c>
      <c r="I217" s="108">
        <v>1</v>
      </c>
      <c r="J217" s="108">
        <v>2.5</v>
      </c>
      <c r="K217" s="108">
        <v>1.8</v>
      </c>
      <c r="L217" s="108">
        <v>4</v>
      </c>
      <c r="M217" s="108">
        <v>1</v>
      </c>
      <c r="N217" s="110" t="s">
        <v>223</v>
      </c>
      <c r="O217" s="110">
        <f t="shared" si="24"/>
        <v>4</v>
      </c>
      <c r="P217" s="18">
        <v>44887</v>
      </c>
      <c r="Q217" s="124"/>
      <c r="R217" s="111">
        <v>1</v>
      </c>
      <c r="S217" s="111">
        <v>1</v>
      </c>
      <c r="T217" s="111">
        <v>0</v>
      </c>
      <c r="U217" s="112">
        <f>IF(ISBLANK(Table1[[#This Row],[OHC Date]]),$B$7-Table1[[#This Row],[HOC Date]]+1,Table1[[#This Row],[OHC Date]]-Table1[[#This Row],[HOC Date]]+1)/7</f>
        <v>0.5714285714285714</v>
      </c>
      <c r="V217" s="113">
        <v>63.34</v>
      </c>
      <c r="W217" s="113">
        <v>7.28</v>
      </c>
      <c r="X217" s="113">
        <f>ROUND(0.7*Table1[[#This Row],[E&amp;D Rate per unit]]*R217*Table1[[#This Row],[Quantity]],2)</f>
        <v>177.35</v>
      </c>
      <c r="Y217" s="113">
        <f t="shared" si="25"/>
        <v>16.64</v>
      </c>
      <c r="Z217" s="113">
        <f>ROUND(0.3*T217*Table1[[#This Row],[E&amp;D Rate per unit]]*Table1[[#This Row],[Quantity]],2)</f>
        <v>0</v>
      </c>
      <c r="AA217" s="113">
        <v>193.99</v>
      </c>
      <c r="AB217" s="135"/>
      <c r="AC217" s="135">
        <v>193.99</v>
      </c>
      <c r="AD217" s="114"/>
      <c r="AE217" s="153"/>
      <c r="AF217" s="161">
        <f>Table1[[#This Row],[Certified Amount (Cum)]]-Table1[[#This Row],[Certified Amount (Previous)]]</f>
        <v>193.99</v>
      </c>
      <c r="AG217" s="160">
        <f t="shared" si="23"/>
        <v>193.99</v>
      </c>
      <c r="AH217" s="158">
        <f>Table1[[#This Row],[Certified Amount (Cum)]]-Table1[[#This Row],[Total Amount]]</f>
        <v>0</v>
      </c>
      <c r="AK217" s="169">
        <f>Table1[[#This Row],[E&amp;D Rate per unit]]*Table1[[#This Row],[Quantity]]+Table1[[#This Row],[Hire Charges]]+Table1[[#This Row],[Dismantle Charges]]</f>
        <v>270</v>
      </c>
      <c r="AL217" s="8">
        <f>SUM(Table1[[#This Row],[Erect Charges]:[Dismantle Charges]])</f>
        <v>193.99</v>
      </c>
    </row>
    <row r="218" spans="1:38" ht="30" customHeight="1" x14ac:dyDescent="0.3">
      <c r="A218" s="90" t="s">
        <v>91</v>
      </c>
      <c r="B218" s="90" t="s">
        <v>99</v>
      </c>
      <c r="C218" s="145">
        <v>95</v>
      </c>
      <c r="D218" s="108">
        <v>77523</v>
      </c>
      <c r="E218" s="108"/>
      <c r="F218" s="109" t="s">
        <v>471</v>
      </c>
      <c r="G218" s="17" t="s">
        <v>206</v>
      </c>
      <c r="H218" s="108" t="s">
        <v>222</v>
      </c>
      <c r="I218" s="108">
        <v>1</v>
      </c>
      <c r="J218" s="108">
        <v>1</v>
      </c>
      <c r="K218" s="108">
        <v>0.6</v>
      </c>
      <c r="L218" s="108">
        <v>2</v>
      </c>
      <c r="M218" s="108">
        <v>1</v>
      </c>
      <c r="N218" s="110" t="s">
        <v>223</v>
      </c>
      <c r="O218" s="110">
        <f t="shared" si="24"/>
        <v>2</v>
      </c>
      <c r="P218" s="18">
        <v>44888</v>
      </c>
      <c r="Q218" s="124"/>
      <c r="R218" s="111">
        <v>1</v>
      </c>
      <c r="S218" s="111">
        <v>1</v>
      </c>
      <c r="T218" s="111">
        <v>0</v>
      </c>
      <c r="U218" s="112">
        <f>IF(ISBLANK(Table1[[#This Row],[OHC Date]]),$B$7-Table1[[#This Row],[HOC Date]]+1,Table1[[#This Row],[OHC Date]]-Table1[[#This Row],[HOC Date]]+1)/7</f>
        <v>0.42857142857142855</v>
      </c>
      <c r="V218" s="113">
        <v>63.34</v>
      </c>
      <c r="W218" s="113">
        <v>7.28</v>
      </c>
      <c r="X218" s="113">
        <f>ROUND(0.7*Table1[[#This Row],[E&amp;D Rate per unit]]*R218*Table1[[#This Row],[Quantity]],2)</f>
        <v>88.68</v>
      </c>
      <c r="Y218" s="113">
        <f t="shared" si="25"/>
        <v>6.24</v>
      </c>
      <c r="Z218" s="113">
        <f>ROUND(0.3*T218*Table1[[#This Row],[E&amp;D Rate per unit]]*Table1[[#This Row],[Quantity]],2)</f>
        <v>0</v>
      </c>
      <c r="AA218" s="113">
        <v>94.92</v>
      </c>
      <c r="AB218" s="135"/>
      <c r="AC218" s="135">
        <v>94.92</v>
      </c>
      <c r="AD218" s="114"/>
      <c r="AE218" s="153"/>
      <c r="AF218" s="161">
        <f>Table1[[#This Row],[Certified Amount (Cum)]]-Table1[[#This Row],[Certified Amount (Previous)]]</f>
        <v>94.92</v>
      </c>
      <c r="AG218" s="160">
        <f t="shared" si="23"/>
        <v>94.92</v>
      </c>
      <c r="AH218" s="158">
        <f>Table1[[#This Row],[Certified Amount (Cum)]]-Table1[[#This Row],[Total Amount]]</f>
        <v>0</v>
      </c>
      <c r="AK218" s="169">
        <f>Table1[[#This Row],[E&amp;D Rate per unit]]*Table1[[#This Row],[Quantity]]+Table1[[#This Row],[Hire Charges]]+Table1[[#This Row],[Dismantle Charges]]</f>
        <v>132.92000000000002</v>
      </c>
      <c r="AL218" s="8">
        <f>SUM(Table1[[#This Row],[Erect Charges]:[Dismantle Charges]])</f>
        <v>94.92</v>
      </c>
    </row>
    <row r="219" spans="1:38" ht="30" customHeight="1" x14ac:dyDescent="0.3">
      <c r="A219" s="90" t="s">
        <v>91</v>
      </c>
      <c r="B219" s="90" t="s">
        <v>99</v>
      </c>
      <c r="C219" s="145">
        <v>96</v>
      </c>
      <c r="D219" s="108">
        <v>77524</v>
      </c>
      <c r="E219" s="108"/>
      <c r="F219" s="109" t="s">
        <v>472</v>
      </c>
      <c r="G219" s="17" t="s">
        <v>218</v>
      </c>
      <c r="H219" s="108" t="s">
        <v>120</v>
      </c>
      <c r="I219" s="108">
        <v>1</v>
      </c>
      <c r="J219" s="108">
        <v>8</v>
      </c>
      <c r="K219" s="108">
        <v>2.5</v>
      </c>
      <c r="L219" s="108">
        <v>1.5</v>
      </c>
      <c r="M219" s="108">
        <v>1</v>
      </c>
      <c r="N219" s="110" t="s">
        <v>208</v>
      </c>
      <c r="O219" s="110">
        <f t="shared" si="24"/>
        <v>12</v>
      </c>
      <c r="P219" s="18">
        <v>44888</v>
      </c>
      <c r="Q219" s="124"/>
      <c r="R219" s="111">
        <v>1</v>
      </c>
      <c r="S219" s="111">
        <v>1</v>
      </c>
      <c r="T219" s="111">
        <v>0</v>
      </c>
      <c r="U219" s="112">
        <f>IF(ISBLANK(Table1[[#This Row],[OHC Date]]),$B$7-Table1[[#This Row],[HOC Date]]+1,Table1[[#This Row],[OHC Date]]-Table1[[#This Row],[HOC Date]]+1)/7</f>
        <v>0.42857142857142855</v>
      </c>
      <c r="V219" s="113">
        <v>16.760000000000002</v>
      </c>
      <c r="W219" s="113">
        <v>0.77</v>
      </c>
      <c r="X219" s="113">
        <f>ROUND(0.7*Table1[[#This Row],[E&amp;D Rate per unit]]*R219*Table1[[#This Row],[Quantity]],2)</f>
        <v>140.78</v>
      </c>
      <c r="Y219" s="113">
        <f t="shared" si="25"/>
        <v>3.96</v>
      </c>
      <c r="Z219" s="113">
        <f>ROUND(0.3*T219*Table1[[#This Row],[E&amp;D Rate per unit]]*Table1[[#This Row],[Quantity]],2)</f>
        <v>0</v>
      </c>
      <c r="AA219" s="113">
        <v>144.74</v>
      </c>
      <c r="AB219" s="135"/>
      <c r="AC219" s="135">
        <v>144.74</v>
      </c>
      <c r="AD219" s="114"/>
      <c r="AE219" s="153"/>
      <c r="AF219" s="161">
        <f>Table1[[#This Row],[Certified Amount (Cum)]]-Table1[[#This Row],[Certified Amount (Previous)]]</f>
        <v>144.74</v>
      </c>
      <c r="AG219" s="160">
        <f t="shared" si="23"/>
        <v>144.74</v>
      </c>
      <c r="AH219" s="158">
        <f>Table1[[#This Row],[Certified Amount (Cum)]]-Table1[[#This Row],[Total Amount]]</f>
        <v>0</v>
      </c>
      <c r="AK219" s="169">
        <f>Table1[[#This Row],[E&amp;D Rate per unit]]*Table1[[#This Row],[Quantity]]+Table1[[#This Row],[Hire Charges]]+Table1[[#This Row],[Dismantle Charges]]</f>
        <v>205.08</v>
      </c>
      <c r="AL219" s="8">
        <f>SUM(Table1[[#This Row],[Erect Charges]:[Dismantle Charges]])</f>
        <v>144.74</v>
      </c>
    </row>
    <row r="220" spans="1:38" ht="30" customHeight="1" x14ac:dyDescent="0.3">
      <c r="A220" s="90" t="s">
        <v>91</v>
      </c>
      <c r="B220" s="90" t="s">
        <v>99</v>
      </c>
      <c r="C220" s="145">
        <v>97</v>
      </c>
      <c r="D220" s="108">
        <v>77525</v>
      </c>
      <c r="E220" s="108"/>
      <c r="F220" s="109" t="s">
        <v>472</v>
      </c>
      <c r="G220" s="17" t="s">
        <v>218</v>
      </c>
      <c r="H220" s="108" t="s">
        <v>222</v>
      </c>
      <c r="I220" s="108">
        <v>1</v>
      </c>
      <c r="J220" s="108">
        <v>2.5</v>
      </c>
      <c r="K220" s="108">
        <v>1.3</v>
      </c>
      <c r="L220" s="108">
        <v>1.5</v>
      </c>
      <c r="M220" s="108">
        <v>1</v>
      </c>
      <c r="N220" s="110" t="s">
        <v>223</v>
      </c>
      <c r="O220" s="110">
        <f t="shared" si="24"/>
        <v>1.5</v>
      </c>
      <c r="P220" s="18">
        <v>44888</v>
      </c>
      <c r="Q220" s="124"/>
      <c r="R220" s="111">
        <v>1</v>
      </c>
      <c r="S220" s="111">
        <v>1</v>
      </c>
      <c r="T220" s="111">
        <v>0</v>
      </c>
      <c r="U220" s="112">
        <f>IF(ISBLANK(Table1[[#This Row],[OHC Date]]),$B$7-Table1[[#This Row],[HOC Date]]+1,Table1[[#This Row],[OHC Date]]-Table1[[#This Row],[HOC Date]]+1)/7</f>
        <v>0.42857142857142855</v>
      </c>
      <c r="V220" s="113">
        <v>63.34</v>
      </c>
      <c r="W220" s="113">
        <v>7.28</v>
      </c>
      <c r="X220" s="113">
        <f>ROUND(0.7*Table1[[#This Row],[E&amp;D Rate per unit]]*R220*Table1[[#This Row],[Quantity]],2)</f>
        <v>66.510000000000005</v>
      </c>
      <c r="Y220" s="113">
        <f t="shared" si="25"/>
        <v>4.68</v>
      </c>
      <c r="Z220" s="113">
        <f>ROUND(0.3*T220*Table1[[#This Row],[E&amp;D Rate per unit]]*Table1[[#This Row],[Quantity]],2)</f>
        <v>0</v>
      </c>
      <c r="AA220" s="113">
        <v>71.19</v>
      </c>
      <c r="AB220" s="135"/>
      <c r="AC220" s="135">
        <v>71.19</v>
      </c>
      <c r="AD220" s="114"/>
      <c r="AE220" s="153"/>
      <c r="AF220" s="161">
        <f>Table1[[#This Row],[Certified Amount (Cum)]]-Table1[[#This Row],[Certified Amount (Previous)]]</f>
        <v>71.19</v>
      </c>
      <c r="AG220" s="160">
        <f t="shared" si="23"/>
        <v>71.19</v>
      </c>
      <c r="AH220" s="158">
        <f>Table1[[#This Row],[Certified Amount (Cum)]]-Table1[[#This Row],[Total Amount]]</f>
        <v>0</v>
      </c>
      <c r="AK220" s="169">
        <f>Table1[[#This Row],[E&amp;D Rate per unit]]*Table1[[#This Row],[Quantity]]+Table1[[#This Row],[Hire Charges]]+Table1[[#This Row],[Dismantle Charges]]</f>
        <v>99.69</v>
      </c>
      <c r="AL220" s="8">
        <f>SUM(Table1[[#This Row],[Erect Charges]:[Dismantle Charges]])</f>
        <v>71.19</v>
      </c>
    </row>
    <row r="221" spans="1:38" ht="30" customHeight="1" x14ac:dyDescent="0.3">
      <c r="A221" s="90" t="s">
        <v>91</v>
      </c>
      <c r="B221" s="90" t="s">
        <v>99</v>
      </c>
      <c r="C221" s="145">
        <v>98</v>
      </c>
      <c r="D221" s="108">
        <v>77526</v>
      </c>
      <c r="E221" s="108"/>
      <c r="F221" s="109" t="s">
        <v>471</v>
      </c>
      <c r="G221" s="17" t="s">
        <v>225</v>
      </c>
      <c r="H221" s="108" t="s">
        <v>222</v>
      </c>
      <c r="I221" s="108">
        <v>1</v>
      </c>
      <c r="J221" s="108">
        <v>1</v>
      </c>
      <c r="K221" s="108">
        <v>0.6</v>
      </c>
      <c r="L221" s="108">
        <v>2</v>
      </c>
      <c r="M221" s="108">
        <v>1</v>
      </c>
      <c r="N221" s="110" t="s">
        <v>223</v>
      </c>
      <c r="O221" s="110">
        <f t="shared" si="24"/>
        <v>2</v>
      </c>
      <c r="P221" s="18">
        <v>44888</v>
      </c>
      <c r="Q221" s="124"/>
      <c r="R221" s="111">
        <v>1</v>
      </c>
      <c r="S221" s="111">
        <v>1</v>
      </c>
      <c r="T221" s="111">
        <v>0</v>
      </c>
      <c r="U221" s="112">
        <f>IF(ISBLANK(Table1[[#This Row],[OHC Date]]),$B$7-Table1[[#This Row],[HOC Date]]+1,Table1[[#This Row],[OHC Date]]-Table1[[#This Row],[HOC Date]]+1)/7</f>
        <v>0.42857142857142855</v>
      </c>
      <c r="V221" s="113">
        <v>63.34</v>
      </c>
      <c r="W221" s="113">
        <v>7.28</v>
      </c>
      <c r="X221" s="113">
        <f>ROUND(0.7*Table1[[#This Row],[E&amp;D Rate per unit]]*R221*Table1[[#This Row],[Quantity]],2)</f>
        <v>88.68</v>
      </c>
      <c r="Y221" s="113">
        <f t="shared" si="25"/>
        <v>6.24</v>
      </c>
      <c r="Z221" s="113">
        <f>ROUND(0.3*T221*Table1[[#This Row],[E&amp;D Rate per unit]]*Table1[[#This Row],[Quantity]],2)</f>
        <v>0</v>
      </c>
      <c r="AA221" s="113">
        <v>94.92</v>
      </c>
      <c r="AB221" s="135"/>
      <c r="AC221" s="135">
        <v>94.92</v>
      </c>
      <c r="AD221" s="114"/>
      <c r="AE221" s="153"/>
      <c r="AF221" s="161">
        <f>Table1[[#This Row],[Certified Amount (Cum)]]-Table1[[#This Row],[Certified Amount (Previous)]]</f>
        <v>94.92</v>
      </c>
      <c r="AG221" s="160">
        <f t="shared" si="23"/>
        <v>94.92</v>
      </c>
      <c r="AH221" s="158">
        <f>Table1[[#This Row],[Certified Amount (Cum)]]-Table1[[#This Row],[Total Amount]]</f>
        <v>0</v>
      </c>
      <c r="AK221" s="169">
        <f>Table1[[#This Row],[E&amp;D Rate per unit]]*Table1[[#This Row],[Quantity]]+Table1[[#This Row],[Hire Charges]]+Table1[[#This Row],[Dismantle Charges]]</f>
        <v>132.92000000000002</v>
      </c>
      <c r="AL221" s="8">
        <f>SUM(Table1[[#This Row],[Erect Charges]:[Dismantle Charges]])</f>
        <v>94.92</v>
      </c>
    </row>
    <row r="222" spans="1:38" ht="30" customHeight="1" x14ac:dyDescent="0.3">
      <c r="A222" s="90" t="s">
        <v>91</v>
      </c>
      <c r="B222" s="90" t="s">
        <v>99</v>
      </c>
      <c r="C222" s="145" t="s">
        <v>473</v>
      </c>
      <c r="D222" s="108">
        <v>77527</v>
      </c>
      <c r="E222" s="108">
        <v>80534</v>
      </c>
      <c r="F222" s="109" t="s">
        <v>474</v>
      </c>
      <c r="G222" s="17" t="s">
        <v>225</v>
      </c>
      <c r="H222" s="108" t="s">
        <v>128</v>
      </c>
      <c r="I222" s="108">
        <v>1</v>
      </c>
      <c r="J222" s="108">
        <v>2.5</v>
      </c>
      <c r="K222" s="108">
        <v>0.5</v>
      </c>
      <c r="L222" s="108">
        <v>1</v>
      </c>
      <c r="M222" s="108">
        <v>1</v>
      </c>
      <c r="N222" s="110" t="s">
        <v>162</v>
      </c>
      <c r="O222" s="110">
        <f t="shared" si="24"/>
        <v>1.25</v>
      </c>
      <c r="P222" s="18">
        <v>44888</v>
      </c>
      <c r="Q222" s="124">
        <v>44889</v>
      </c>
      <c r="R222" s="111">
        <v>1</v>
      </c>
      <c r="S222" s="111">
        <v>1</v>
      </c>
      <c r="T222" s="111">
        <v>1</v>
      </c>
      <c r="U222" s="112">
        <f>IF(ISBLANK(Table1[[#This Row],[OHC Date]]),$B$7-Table1[[#This Row],[HOC Date]]+1,Table1[[#This Row],[OHC Date]]-Table1[[#This Row],[HOC Date]]+1)/7</f>
        <v>0.2857142857142857</v>
      </c>
      <c r="V222" s="113">
        <v>32.75</v>
      </c>
      <c r="W222" s="113">
        <v>1.05</v>
      </c>
      <c r="X222" s="113">
        <f>ROUND(0.7*Table1[[#This Row],[E&amp;D Rate per unit]]*R222*Table1[[#This Row],[Quantity]],2)</f>
        <v>28.66</v>
      </c>
      <c r="Y222" s="113">
        <f t="shared" si="25"/>
        <v>0.38</v>
      </c>
      <c r="Z222" s="113">
        <f>ROUND(0.3*T222*Table1[[#This Row],[E&amp;D Rate per unit]]*Table1[[#This Row],[Quantity]],2)</f>
        <v>12.28</v>
      </c>
      <c r="AA222" s="113">
        <v>41.32</v>
      </c>
      <c r="AB222" s="135"/>
      <c r="AC222" s="135">
        <v>41.32</v>
      </c>
      <c r="AD222" s="114"/>
      <c r="AE222" s="153"/>
      <c r="AF222" s="161">
        <f>Table1[[#This Row],[Certified Amount (Cum)]]-Table1[[#This Row],[Certified Amount (Previous)]]</f>
        <v>41.32</v>
      </c>
      <c r="AG222" s="160">
        <f t="shared" si="23"/>
        <v>41.32</v>
      </c>
      <c r="AH222" s="158">
        <f>Table1[[#This Row],[Certified Amount (Cum)]]-Table1[[#This Row],[Total Amount]]</f>
        <v>0</v>
      </c>
      <c r="AK222" s="169">
        <f>Table1[[#This Row],[E&amp;D Rate per unit]]*Table1[[#This Row],[Quantity]]+Table1[[#This Row],[Hire Charges]]+Table1[[#This Row],[Dismantle Charges]]</f>
        <v>53.597500000000004</v>
      </c>
      <c r="AL222" s="8">
        <f>SUM(Table1[[#This Row],[Erect Charges]:[Dismantle Charges]])</f>
        <v>41.32</v>
      </c>
    </row>
    <row r="223" spans="1:38" ht="30" customHeight="1" x14ac:dyDescent="0.3">
      <c r="A223" s="90" t="s">
        <v>91</v>
      </c>
      <c r="B223" s="90" t="s">
        <v>99</v>
      </c>
      <c r="C223" s="145">
        <v>99</v>
      </c>
      <c r="D223" s="108">
        <v>77529</v>
      </c>
      <c r="E223" s="108"/>
      <c r="F223" s="109" t="s">
        <v>475</v>
      </c>
      <c r="G223" s="17" t="s">
        <v>202</v>
      </c>
      <c r="H223" s="108" t="s">
        <v>222</v>
      </c>
      <c r="I223" s="108">
        <v>1</v>
      </c>
      <c r="J223" s="108">
        <v>1.3</v>
      </c>
      <c r="K223" s="108">
        <v>1.3</v>
      </c>
      <c r="L223" s="108">
        <v>1</v>
      </c>
      <c r="M223" s="108">
        <v>1</v>
      </c>
      <c r="N223" s="110" t="s">
        <v>223</v>
      </c>
      <c r="O223" s="110">
        <f t="shared" si="24"/>
        <v>1</v>
      </c>
      <c r="P223" s="18">
        <v>44889</v>
      </c>
      <c r="Q223" s="124"/>
      <c r="R223" s="111">
        <v>1</v>
      </c>
      <c r="S223" s="111">
        <v>1</v>
      </c>
      <c r="T223" s="111">
        <v>0</v>
      </c>
      <c r="U223" s="112">
        <f>IF(ISBLANK(Table1[[#This Row],[OHC Date]]),$B$7-Table1[[#This Row],[HOC Date]]+1,Table1[[#This Row],[OHC Date]]-Table1[[#This Row],[HOC Date]]+1)/7</f>
        <v>0.2857142857142857</v>
      </c>
      <c r="V223" s="113">
        <v>63.34</v>
      </c>
      <c r="W223" s="113">
        <v>7.28</v>
      </c>
      <c r="X223" s="113">
        <f>ROUND(0.7*Table1[[#This Row],[E&amp;D Rate per unit]]*R223*Table1[[#This Row],[Quantity]],2)</f>
        <v>44.34</v>
      </c>
      <c r="Y223" s="113">
        <f t="shared" si="25"/>
        <v>2.08</v>
      </c>
      <c r="Z223" s="113">
        <f>ROUND(0.3*T223*Table1[[#This Row],[E&amp;D Rate per unit]]*Table1[[#This Row],[Quantity]],2)</f>
        <v>0</v>
      </c>
      <c r="AA223" s="113">
        <v>46.42</v>
      </c>
      <c r="AB223" s="135"/>
      <c r="AC223" s="135">
        <v>46.42</v>
      </c>
      <c r="AD223" s="114"/>
      <c r="AE223" s="153"/>
      <c r="AF223" s="161">
        <f>Table1[[#This Row],[Certified Amount (Cum)]]-Table1[[#This Row],[Certified Amount (Previous)]]</f>
        <v>46.42</v>
      </c>
      <c r="AG223" s="160">
        <f t="shared" si="23"/>
        <v>46.42</v>
      </c>
      <c r="AH223" s="158">
        <f>Table1[[#This Row],[Certified Amount (Cum)]]-Table1[[#This Row],[Total Amount]]</f>
        <v>0</v>
      </c>
      <c r="AK223" s="169">
        <f>Table1[[#This Row],[E&amp;D Rate per unit]]*Table1[[#This Row],[Quantity]]+Table1[[#This Row],[Hire Charges]]+Table1[[#This Row],[Dismantle Charges]]</f>
        <v>65.42</v>
      </c>
      <c r="AL223" s="8">
        <f>SUM(Table1[[#This Row],[Erect Charges]:[Dismantle Charges]])</f>
        <v>46.42</v>
      </c>
    </row>
    <row r="224" spans="1:38" ht="30" customHeight="1" x14ac:dyDescent="0.3">
      <c r="A224" s="90" t="s">
        <v>91</v>
      </c>
      <c r="B224" s="90" t="s">
        <v>99</v>
      </c>
      <c r="C224" s="145">
        <v>100</v>
      </c>
      <c r="D224" s="108">
        <v>77530</v>
      </c>
      <c r="E224" s="108"/>
      <c r="F224" s="109" t="s">
        <v>471</v>
      </c>
      <c r="G224" s="17" t="s">
        <v>202</v>
      </c>
      <c r="H224" s="108" t="s">
        <v>222</v>
      </c>
      <c r="I224" s="108">
        <v>1</v>
      </c>
      <c r="J224" s="108">
        <v>1</v>
      </c>
      <c r="K224" s="108">
        <v>0.75</v>
      </c>
      <c r="L224" s="108">
        <v>4</v>
      </c>
      <c r="M224" s="108">
        <v>2</v>
      </c>
      <c r="N224" s="110" t="s">
        <v>223</v>
      </c>
      <c r="O224" s="110">
        <f t="shared" si="24"/>
        <v>4</v>
      </c>
      <c r="P224" s="18">
        <v>44889</v>
      </c>
      <c r="Q224" s="124"/>
      <c r="R224" s="111">
        <v>1</v>
      </c>
      <c r="S224" s="111">
        <v>1</v>
      </c>
      <c r="T224" s="111">
        <v>0</v>
      </c>
      <c r="U224" s="112">
        <f>IF(ISBLANK(Table1[[#This Row],[OHC Date]]),$B$7-Table1[[#This Row],[HOC Date]]+1,Table1[[#This Row],[OHC Date]]-Table1[[#This Row],[HOC Date]]+1)/7</f>
        <v>0.2857142857142857</v>
      </c>
      <c r="V224" s="113">
        <v>63.34</v>
      </c>
      <c r="W224" s="113">
        <v>7.28</v>
      </c>
      <c r="X224" s="113">
        <f>ROUND(0.7*Table1[[#This Row],[E&amp;D Rate per unit]]*R224*Table1[[#This Row],[Quantity]],2)</f>
        <v>177.35</v>
      </c>
      <c r="Y224" s="113">
        <f t="shared" si="25"/>
        <v>8.32</v>
      </c>
      <c r="Z224" s="113">
        <f>ROUND(0.3*T224*Table1[[#This Row],[E&amp;D Rate per unit]]*Table1[[#This Row],[Quantity]],2)</f>
        <v>0</v>
      </c>
      <c r="AA224" s="113">
        <v>185.67</v>
      </c>
      <c r="AB224" s="135"/>
      <c r="AC224" s="135">
        <v>185.67</v>
      </c>
      <c r="AD224" s="114"/>
      <c r="AE224" s="153"/>
      <c r="AF224" s="161">
        <f>Table1[[#This Row],[Certified Amount (Cum)]]-Table1[[#This Row],[Certified Amount (Previous)]]</f>
        <v>185.67</v>
      </c>
      <c r="AG224" s="160">
        <f t="shared" si="23"/>
        <v>185.67</v>
      </c>
      <c r="AH224" s="158">
        <f>Table1[[#This Row],[Certified Amount (Cum)]]-Table1[[#This Row],[Total Amount]]</f>
        <v>0</v>
      </c>
      <c r="AK224" s="169">
        <f>Table1[[#This Row],[E&amp;D Rate per unit]]*Table1[[#This Row],[Quantity]]+Table1[[#This Row],[Hire Charges]]+Table1[[#This Row],[Dismantle Charges]]</f>
        <v>261.68</v>
      </c>
      <c r="AL224" s="8">
        <f>SUM(Table1[[#This Row],[Erect Charges]:[Dismantle Charges]])</f>
        <v>185.67</v>
      </c>
    </row>
    <row r="225" spans="1:38" ht="30" customHeight="1" x14ac:dyDescent="0.3">
      <c r="A225" s="90" t="s">
        <v>91</v>
      </c>
      <c r="B225" s="90" t="s">
        <v>99</v>
      </c>
      <c r="C225" s="145" t="s">
        <v>476</v>
      </c>
      <c r="D225" s="108">
        <v>77531</v>
      </c>
      <c r="E225" s="108"/>
      <c r="F225" s="109" t="s">
        <v>477</v>
      </c>
      <c r="G225" s="17" t="s">
        <v>202</v>
      </c>
      <c r="H225" s="108" t="s">
        <v>129</v>
      </c>
      <c r="I225" s="108">
        <v>1</v>
      </c>
      <c r="J225" s="108">
        <v>2.5</v>
      </c>
      <c r="K225" s="108">
        <v>0.75</v>
      </c>
      <c r="L225" s="108">
        <v>1</v>
      </c>
      <c r="M225" s="108">
        <v>1</v>
      </c>
      <c r="N225" s="110" t="s">
        <v>162</v>
      </c>
      <c r="O225" s="110">
        <f t="shared" si="24"/>
        <v>1.88</v>
      </c>
      <c r="P225" s="18">
        <v>44889</v>
      </c>
      <c r="Q225" s="124"/>
      <c r="R225" s="111">
        <v>1</v>
      </c>
      <c r="S225" s="111">
        <v>1</v>
      </c>
      <c r="T225" s="111">
        <v>0</v>
      </c>
      <c r="U225" s="112">
        <f>IF(ISBLANK(Table1[[#This Row],[OHC Date]]),$B$7-Table1[[#This Row],[HOC Date]]+1,Table1[[#This Row],[OHC Date]]-Table1[[#This Row],[HOC Date]]+1)/7</f>
        <v>0.2857142857142857</v>
      </c>
      <c r="V225" s="113">
        <v>36.520000000000003</v>
      </c>
      <c r="W225" s="113">
        <v>2.94</v>
      </c>
      <c r="X225" s="113">
        <f>ROUND(0.7*Table1[[#This Row],[E&amp;D Rate per unit]]*R225*Table1[[#This Row],[Quantity]],2)</f>
        <v>48.06</v>
      </c>
      <c r="Y225" s="113">
        <f t="shared" si="25"/>
        <v>1.58</v>
      </c>
      <c r="Z225" s="113">
        <f>ROUND(0.3*T225*Table1[[#This Row],[E&amp;D Rate per unit]]*Table1[[#This Row],[Quantity]],2)</f>
        <v>0</v>
      </c>
      <c r="AA225" s="113">
        <v>49.64</v>
      </c>
      <c r="AB225" s="135"/>
      <c r="AC225" s="135">
        <v>49.64</v>
      </c>
      <c r="AD225" s="114"/>
      <c r="AE225" s="153"/>
      <c r="AF225" s="161">
        <f>Table1[[#This Row],[Certified Amount (Cum)]]-Table1[[#This Row],[Certified Amount (Previous)]]</f>
        <v>49.64</v>
      </c>
      <c r="AG225" s="160">
        <f t="shared" si="23"/>
        <v>49.64</v>
      </c>
      <c r="AH225" s="158">
        <f>Table1[[#This Row],[Certified Amount (Cum)]]-Table1[[#This Row],[Total Amount]]</f>
        <v>0</v>
      </c>
      <c r="AK225" s="169">
        <f>Table1[[#This Row],[E&amp;D Rate per unit]]*Table1[[#This Row],[Quantity]]+Table1[[#This Row],[Hire Charges]]+Table1[[#This Row],[Dismantle Charges]]</f>
        <v>70.2376</v>
      </c>
      <c r="AL225" s="8">
        <f>SUM(Table1[[#This Row],[Erect Charges]:[Dismantle Charges]])</f>
        <v>49.64</v>
      </c>
    </row>
    <row r="226" spans="1:38" ht="30" customHeight="1" x14ac:dyDescent="0.3">
      <c r="A226" s="90" t="s">
        <v>91</v>
      </c>
      <c r="B226" s="90" t="s">
        <v>99</v>
      </c>
      <c r="C226" s="145">
        <v>101</v>
      </c>
      <c r="D226" s="108">
        <v>77532</v>
      </c>
      <c r="E226" s="108"/>
      <c r="F226" s="109" t="s">
        <v>471</v>
      </c>
      <c r="G226" s="17" t="s">
        <v>256</v>
      </c>
      <c r="H226" s="108" t="s">
        <v>222</v>
      </c>
      <c r="I226" s="108">
        <v>1</v>
      </c>
      <c r="J226" s="108">
        <v>1</v>
      </c>
      <c r="K226" s="108">
        <v>0.5</v>
      </c>
      <c r="L226" s="108">
        <v>4</v>
      </c>
      <c r="M226" s="108">
        <v>2</v>
      </c>
      <c r="N226" s="110" t="s">
        <v>223</v>
      </c>
      <c r="O226" s="110">
        <f t="shared" si="24"/>
        <v>4</v>
      </c>
      <c r="P226" s="18">
        <v>44890</v>
      </c>
      <c r="Q226" s="124"/>
      <c r="R226" s="111">
        <v>1</v>
      </c>
      <c r="S226" s="111">
        <v>1</v>
      </c>
      <c r="T226" s="111">
        <v>0</v>
      </c>
      <c r="U226" s="112">
        <f>IF(ISBLANK(Table1[[#This Row],[OHC Date]]),$B$7-Table1[[#This Row],[HOC Date]]+1,Table1[[#This Row],[OHC Date]]-Table1[[#This Row],[HOC Date]]+1)/7</f>
        <v>0.14285714285714285</v>
      </c>
      <c r="V226" s="113">
        <v>63.34</v>
      </c>
      <c r="W226" s="113">
        <v>7.28</v>
      </c>
      <c r="X226" s="113">
        <f>ROUND(0.7*Table1[[#This Row],[E&amp;D Rate per unit]]*R226*Table1[[#This Row],[Quantity]],2)</f>
        <v>177.35</v>
      </c>
      <c r="Y226" s="113">
        <f t="shared" si="25"/>
        <v>4.16</v>
      </c>
      <c r="Z226" s="113">
        <f>ROUND(0.3*T226*Table1[[#This Row],[E&amp;D Rate per unit]]*Table1[[#This Row],[Quantity]],2)</f>
        <v>0</v>
      </c>
      <c r="AA226" s="113">
        <v>181.51</v>
      </c>
      <c r="AB226" s="135"/>
      <c r="AC226" s="135">
        <v>181.51</v>
      </c>
      <c r="AD226" s="114"/>
      <c r="AE226" s="153"/>
      <c r="AF226" s="161">
        <f>Table1[[#This Row],[Certified Amount (Cum)]]-Table1[[#This Row],[Certified Amount (Previous)]]</f>
        <v>181.51</v>
      </c>
      <c r="AG226" s="160">
        <f t="shared" si="23"/>
        <v>181.51</v>
      </c>
      <c r="AH226" s="158">
        <f>Table1[[#This Row],[Certified Amount (Cum)]]-Table1[[#This Row],[Total Amount]]</f>
        <v>0</v>
      </c>
      <c r="AK226" s="169">
        <f>Table1[[#This Row],[E&amp;D Rate per unit]]*Table1[[#This Row],[Quantity]]+Table1[[#This Row],[Hire Charges]]+Table1[[#This Row],[Dismantle Charges]]</f>
        <v>257.52000000000004</v>
      </c>
      <c r="AL226" s="8">
        <f>SUM(Table1[[#This Row],[Erect Charges]:[Dismantle Charges]])</f>
        <v>181.51</v>
      </c>
    </row>
    <row r="227" spans="1:38" ht="30" customHeight="1" x14ac:dyDescent="0.3">
      <c r="A227" s="90" t="s">
        <v>91</v>
      </c>
      <c r="B227" s="90" t="s">
        <v>99</v>
      </c>
      <c r="C227" s="145" t="s">
        <v>478</v>
      </c>
      <c r="D227" s="108">
        <v>77533</v>
      </c>
      <c r="E227" s="108"/>
      <c r="F227" s="109" t="s">
        <v>240</v>
      </c>
      <c r="G227" s="17" t="s">
        <v>161</v>
      </c>
      <c r="H227" s="108" t="s">
        <v>128</v>
      </c>
      <c r="I227" s="108">
        <v>1</v>
      </c>
      <c r="J227" s="108">
        <v>10.8</v>
      </c>
      <c r="K227" s="108">
        <v>0.5</v>
      </c>
      <c r="L227" s="108">
        <v>1</v>
      </c>
      <c r="M227" s="108">
        <v>1</v>
      </c>
      <c r="N227" s="110" t="s">
        <v>162</v>
      </c>
      <c r="O227" s="110">
        <f t="shared" si="24"/>
        <v>5.4</v>
      </c>
      <c r="P227" s="18">
        <v>44890</v>
      </c>
      <c r="Q227" s="124"/>
      <c r="R227" s="111">
        <v>1</v>
      </c>
      <c r="S227" s="111">
        <v>1</v>
      </c>
      <c r="T227" s="111">
        <v>0</v>
      </c>
      <c r="U227" s="112">
        <f>IF(ISBLANK(Table1[[#This Row],[OHC Date]]),$B$7-Table1[[#This Row],[HOC Date]]+1,Table1[[#This Row],[OHC Date]]-Table1[[#This Row],[HOC Date]]+1)/7</f>
        <v>0.14285714285714285</v>
      </c>
      <c r="V227" s="113">
        <v>32.75</v>
      </c>
      <c r="W227" s="113">
        <v>1.05</v>
      </c>
      <c r="X227" s="113">
        <f>ROUND(0.7*Table1[[#This Row],[E&amp;D Rate per unit]]*R227*Table1[[#This Row],[Quantity]],2)</f>
        <v>123.8</v>
      </c>
      <c r="Y227" s="113">
        <f t="shared" si="25"/>
        <v>0.81</v>
      </c>
      <c r="Z227" s="113">
        <f>ROUND(0.3*T227*Table1[[#This Row],[E&amp;D Rate per unit]]*Table1[[#This Row],[Quantity]],2)</f>
        <v>0</v>
      </c>
      <c r="AA227" s="113">
        <v>124.61</v>
      </c>
      <c r="AB227" s="135"/>
      <c r="AC227" s="135">
        <v>124.61</v>
      </c>
      <c r="AD227" s="114"/>
      <c r="AE227" s="153"/>
      <c r="AF227" s="161">
        <f>Table1[[#This Row],[Certified Amount (Cum)]]-Table1[[#This Row],[Certified Amount (Previous)]]</f>
        <v>124.61</v>
      </c>
      <c r="AG227" s="160">
        <f t="shared" si="23"/>
        <v>124.61</v>
      </c>
      <c r="AH227" s="158">
        <f>Table1[[#This Row],[Certified Amount (Cum)]]-Table1[[#This Row],[Total Amount]]</f>
        <v>0</v>
      </c>
      <c r="AK227" s="169">
        <f>Table1[[#This Row],[E&amp;D Rate per unit]]*Table1[[#This Row],[Quantity]]+Table1[[#This Row],[Hire Charges]]+Table1[[#This Row],[Dismantle Charges]]</f>
        <v>177.66000000000003</v>
      </c>
      <c r="AL227" s="8">
        <f>SUM(Table1[[#This Row],[Erect Charges]:[Dismantle Charges]])</f>
        <v>124.61</v>
      </c>
    </row>
    <row r="228" spans="1:38" ht="30" customHeight="1" x14ac:dyDescent="0.3">
      <c r="A228" s="90" t="s">
        <v>91</v>
      </c>
      <c r="B228" s="90" t="s">
        <v>98</v>
      </c>
      <c r="C228" s="145">
        <v>18</v>
      </c>
      <c r="D228" s="108">
        <v>74639</v>
      </c>
      <c r="E228" s="108">
        <v>76808</v>
      </c>
      <c r="F228" s="109" t="s">
        <v>386</v>
      </c>
      <c r="G228" s="17" t="s">
        <v>228</v>
      </c>
      <c r="H228" s="108" t="s">
        <v>222</v>
      </c>
      <c r="I228" s="108">
        <v>1</v>
      </c>
      <c r="J228" s="108">
        <v>1.8</v>
      </c>
      <c r="K228" s="108">
        <v>1.3</v>
      </c>
      <c r="L228" s="108">
        <v>2</v>
      </c>
      <c r="M228" s="108">
        <v>1</v>
      </c>
      <c r="N228" s="110" t="s">
        <v>223</v>
      </c>
      <c r="O228" s="110">
        <f t="shared" ref="O228:O245" si="26">ROUND(IF(N228="m3",I228*J228*K228*L228,IF(N228="m2-LxH",I228*J228*L228,IF(N228="m2-LxW",I228*J228*K228,IF(N228="rm",I228*L228,IF(N228="lm",I228*J228,IF(N228="unit",I228,"NA")))))),2)</f>
        <v>2</v>
      </c>
      <c r="P228" s="124">
        <v>44861</v>
      </c>
      <c r="Q228" s="124">
        <v>44870</v>
      </c>
      <c r="R228" s="111">
        <v>1</v>
      </c>
      <c r="S228" s="111">
        <v>1</v>
      </c>
      <c r="T228" s="111">
        <v>1</v>
      </c>
      <c r="U228" s="112">
        <f>IF(ISBLANK(Table1[[#This Row],[OHC Date]]),$B$7-Table1[[#This Row],[HOC Date]]+1,Table1[[#This Row],[OHC Date]]-Table1[[#This Row],[HOC Date]]+1)/7</f>
        <v>1.4285714285714286</v>
      </c>
      <c r="V228" s="113">
        <v>63.34</v>
      </c>
      <c r="W228" s="113">
        <v>7.28</v>
      </c>
      <c r="X228" s="113">
        <f>ROUND(0.7*Table1[[#This Row],[E&amp;D Rate per unit]]*R228*Table1[[#This Row],[Quantity]],2)</f>
        <v>88.68</v>
      </c>
      <c r="Y228" s="113">
        <f t="shared" ref="Y228:Y245" si="27">ROUND(O228*U228*W228*S228,2)</f>
        <v>20.8</v>
      </c>
      <c r="Z228" s="113">
        <f>ROUND(0.3*T228*Table1[[#This Row],[E&amp;D Rate per unit]]*Table1[[#This Row],[Quantity]],2)</f>
        <v>38</v>
      </c>
      <c r="AA228" s="113">
        <v>147.47999999999999</v>
      </c>
      <c r="AB228" s="135"/>
      <c r="AC228" s="135">
        <v>147.47999999999999</v>
      </c>
      <c r="AD228" s="114"/>
      <c r="AE228" s="153"/>
      <c r="AF228" s="161">
        <f>Table1[[#This Row],[Certified Amount (Cum)]]-Table1[[#This Row],[Certified Amount (Previous)]]</f>
        <v>147.48000000000002</v>
      </c>
      <c r="AG228" s="160">
        <f t="shared" si="23"/>
        <v>147.48000000000002</v>
      </c>
      <c r="AH228" s="158">
        <f>Table1[[#This Row],[Certified Amount (Cum)]]-Table1[[#This Row],[Total Amount]]</f>
        <v>0</v>
      </c>
      <c r="AK228" s="169">
        <f>Table1[[#This Row],[E&amp;D Rate per unit]]*Table1[[#This Row],[Quantity]]+Table1[[#This Row],[Hire Charges]]+Table1[[#This Row],[Dismantle Charges]]</f>
        <v>185.48000000000002</v>
      </c>
      <c r="AL228" s="8">
        <f>SUM(Table1[[#This Row],[Erect Charges]:[Dismantle Charges]])</f>
        <v>147.48000000000002</v>
      </c>
    </row>
    <row r="229" spans="1:38" ht="30" customHeight="1" x14ac:dyDescent="0.3">
      <c r="A229" s="90" t="s">
        <v>91</v>
      </c>
      <c r="B229" s="90" t="s">
        <v>98</v>
      </c>
      <c r="C229" s="145">
        <v>19</v>
      </c>
      <c r="D229" s="108">
        <v>74640</v>
      </c>
      <c r="E229" s="108">
        <v>76809</v>
      </c>
      <c r="F229" s="109" t="s">
        <v>386</v>
      </c>
      <c r="G229" s="17" t="s">
        <v>228</v>
      </c>
      <c r="H229" s="108" t="s">
        <v>222</v>
      </c>
      <c r="I229" s="108">
        <v>1</v>
      </c>
      <c r="J229" s="108">
        <v>1.8</v>
      </c>
      <c r="K229" s="108">
        <v>1.3</v>
      </c>
      <c r="L229" s="108">
        <v>2.2999999999999998</v>
      </c>
      <c r="M229" s="108">
        <v>1</v>
      </c>
      <c r="N229" s="91" t="s">
        <v>223</v>
      </c>
      <c r="O229" s="110">
        <f t="shared" si="26"/>
        <v>2.2999999999999998</v>
      </c>
      <c r="P229" s="124">
        <v>44861</v>
      </c>
      <c r="Q229" s="124">
        <v>44870</v>
      </c>
      <c r="R229" s="111">
        <v>1</v>
      </c>
      <c r="S229" s="111">
        <v>1</v>
      </c>
      <c r="T229" s="111">
        <v>1</v>
      </c>
      <c r="U229" s="112">
        <f>IF(ISBLANK(Table1[[#This Row],[OHC Date]]),$B$7-Table1[[#This Row],[HOC Date]]+1,Table1[[#This Row],[OHC Date]]-Table1[[#This Row],[HOC Date]]+1)/7</f>
        <v>1.4285714285714286</v>
      </c>
      <c r="V229" s="113">
        <v>63.34</v>
      </c>
      <c r="W229" s="113">
        <v>7.28</v>
      </c>
      <c r="X229" s="113">
        <f>ROUND(0.7*Table1[[#This Row],[E&amp;D Rate per unit]]*R229*Table1[[#This Row],[Quantity]],2)</f>
        <v>101.98</v>
      </c>
      <c r="Y229" s="113">
        <f t="shared" si="27"/>
        <v>23.92</v>
      </c>
      <c r="Z229" s="113">
        <f>ROUND(0.3*T229*Table1[[#This Row],[E&amp;D Rate per unit]]*Table1[[#This Row],[Quantity]],2)</f>
        <v>43.7</v>
      </c>
      <c r="AA229" s="113">
        <v>169.6</v>
      </c>
      <c r="AB229" s="135"/>
      <c r="AC229" s="135">
        <v>169.6</v>
      </c>
      <c r="AD229" s="114"/>
      <c r="AE229" s="153"/>
      <c r="AF229" s="161">
        <f>Table1[[#This Row],[Certified Amount (Cum)]]-Table1[[#This Row],[Certified Amount (Previous)]]</f>
        <v>169.60000000000002</v>
      </c>
      <c r="AG229" s="160">
        <f t="shared" si="23"/>
        <v>169.60000000000002</v>
      </c>
      <c r="AH229" s="158">
        <f>Table1[[#This Row],[Certified Amount (Cum)]]-Table1[[#This Row],[Total Amount]]</f>
        <v>0</v>
      </c>
      <c r="AK229" s="169">
        <f>Table1[[#This Row],[E&amp;D Rate per unit]]*Table1[[#This Row],[Quantity]]+Table1[[#This Row],[Hire Charges]]+Table1[[#This Row],[Dismantle Charges]]</f>
        <v>213.30199999999996</v>
      </c>
      <c r="AL229" s="8">
        <f>SUM(Table1[[#This Row],[Erect Charges]:[Dismantle Charges]])</f>
        <v>169.60000000000002</v>
      </c>
    </row>
    <row r="230" spans="1:38" ht="30" customHeight="1" x14ac:dyDescent="0.3">
      <c r="A230" s="90" t="s">
        <v>91</v>
      </c>
      <c r="B230" s="90" t="s">
        <v>98</v>
      </c>
      <c r="C230" s="145">
        <v>20</v>
      </c>
      <c r="D230" s="108">
        <v>74641</v>
      </c>
      <c r="E230" s="108">
        <v>76817</v>
      </c>
      <c r="F230" s="17" t="s">
        <v>387</v>
      </c>
      <c r="G230" s="17" t="s">
        <v>202</v>
      </c>
      <c r="H230" s="16" t="s">
        <v>222</v>
      </c>
      <c r="I230" s="108">
        <v>1</v>
      </c>
      <c r="J230" s="108">
        <v>2.5</v>
      </c>
      <c r="K230" s="108">
        <v>2.5</v>
      </c>
      <c r="L230" s="108">
        <v>5.5</v>
      </c>
      <c r="M230" s="108">
        <v>1</v>
      </c>
      <c r="N230" s="91" t="s">
        <v>223</v>
      </c>
      <c r="O230" s="110">
        <f t="shared" si="26"/>
        <v>5.5</v>
      </c>
      <c r="P230" s="124">
        <v>44865</v>
      </c>
      <c r="Q230" s="124">
        <v>44876</v>
      </c>
      <c r="R230" s="111">
        <v>1</v>
      </c>
      <c r="S230" s="111">
        <v>1</v>
      </c>
      <c r="T230" s="111">
        <v>1</v>
      </c>
      <c r="U230" s="112">
        <f>IF(ISBLANK(Table1[[#This Row],[OHC Date]]),$B$7-Table1[[#This Row],[HOC Date]]+1,Table1[[#This Row],[OHC Date]]-Table1[[#This Row],[HOC Date]]+1)/7</f>
        <v>1.7142857142857142</v>
      </c>
      <c r="V230" s="113">
        <v>63.34</v>
      </c>
      <c r="W230" s="113">
        <v>7.28</v>
      </c>
      <c r="X230" s="113">
        <f>ROUND(0.7*Table1[[#This Row],[E&amp;D Rate per unit]]*R230*Table1[[#This Row],[Quantity]],2)</f>
        <v>243.86</v>
      </c>
      <c r="Y230" s="113">
        <f t="shared" si="27"/>
        <v>68.64</v>
      </c>
      <c r="Z230" s="113">
        <f>ROUND(0.3*T230*Table1[[#This Row],[E&amp;D Rate per unit]]*Table1[[#This Row],[Quantity]],2)</f>
        <v>104.51</v>
      </c>
      <c r="AA230" s="113">
        <v>417.01</v>
      </c>
      <c r="AB230" s="135"/>
      <c r="AC230" s="135">
        <v>417.01</v>
      </c>
      <c r="AD230" s="114"/>
      <c r="AE230" s="153"/>
      <c r="AF230" s="161">
        <f>Table1[[#This Row],[Certified Amount (Cum)]]-Table1[[#This Row],[Certified Amount (Previous)]]</f>
        <v>417.01</v>
      </c>
      <c r="AG230" s="160">
        <f t="shared" si="23"/>
        <v>417.01</v>
      </c>
      <c r="AH230" s="158">
        <f>Table1[[#This Row],[Certified Amount (Cum)]]-Table1[[#This Row],[Total Amount]]</f>
        <v>0</v>
      </c>
      <c r="AK230" s="169">
        <f>Table1[[#This Row],[E&amp;D Rate per unit]]*Table1[[#This Row],[Quantity]]+Table1[[#This Row],[Hire Charges]]+Table1[[#This Row],[Dismantle Charges]]</f>
        <v>521.52</v>
      </c>
      <c r="AL230" s="8">
        <f>SUM(Table1[[#This Row],[Erect Charges]:[Dismantle Charges]])</f>
        <v>417.01</v>
      </c>
    </row>
    <row r="231" spans="1:38" ht="30" customHeight="1" x14ac:dyDescent="0.3">
      <c r="A231" s="90" t="s">
        <v>97</v>
      </c>
      <c r="B231" s="90" t="s">
        <v>98</v>
      </c>
      <c r="C231" s="147">
        <v>21</v>
      </c>
      <c r="D231" s="16">
        <v>74644</v>
      </c>
      <c r="E231" s="16"/>
      <c r="F231" s="17" t="s">
        <v>283</v>
      </c>
      <c r="G231" s="17" t="s">
        <v>165</v>
      </c>
      <c r="H231" s="16" t="s">
        <v>301</v>
      </c>
      <c r="I231" s="16">
        <v>1</v>
      </c>
      <c r="J231" s="16">
        <v>23.5</v>
      </c>
      <c r="K231" s="16">
        <v>1.8</v>
      </c>
      <c r="L231" s="16">
        <v>4</v>
      </c>
      <c r="M231" s="16">
        <v>1</v>
      </c>
      <c r="N231" s="110" t="s">
        <v>285</v>
      </c>
      <c r="O231" s="91">
        <f t="shared" si="26"/>
        <v>23.5</v>
      </c>
      <c r="P231" s="18">
        <v>44865</v>
      </c>
      <c r="Q231" s="18"/>
      <c r="R231" s="19">
        <v>1</v>
      </c>
      <c r="S231" s="19">
        <v>1</v>
      </c>
      <c r="T231" s="19">
        <v>0</v>
      </c>
      <c r="U231" s="20">
        <f>IF(ISBLANK(Table1[[#This Row],[OHC Date]]),$B$7-Table1[[#This Row],[HOC Date]]+1,Table1[[#This Row],[OHC Date]]-Table1[[#This Row],[HOC Date]]+1)/7</f>
        <v>3.7142857142857144</v>
      </c>
      <c r="V231" s="113">
        <v>1002.22</v>
      </c>
      <c r="W231" s="113">
        <v>98.12</v>
      </c>
      <c r="X231" s="21">
        <f>ROUND(0.7*Table1[[#This Row],[E&amp;D Rate per unit]]*R231*Table1[[#This Row],[Quantity]],2)</f>
        <v>16486.52</v>
      </c>
      <c r="Y231" s="21">
        <f>ROUND(O231*U231*W231*S231,2)</f>
        <v>8564.4699999999993</v>
      </c>
      <c r="Z231" s="21">
        <f>ROUND(0.3*T231*Table1[[#This Row],[E&amp;D Rate per unit]]*Table1[[#This Row],[Quantity]],2)</f>
        <v>0</v>
      </c>
      <c r="AA231" s="21">
        <v>25050.99</v>
      </c>
      <c r="AB231" s="138"/>
      <c r="AC231" s="138">
        <v>25050.99</v>
      </c>
      <c r="AD231" s="136" t="s">
        <v>284</v>
      </c>
      <c r="AE231" s="175"/>
      <c r="AF231" s="171">
        <f>Table1[[#This Row],[Certified Amount (Cum)]]-Table1[[#This Row],[Certified Amount (Previous)]]</f>
        <v>25050.989999999998</v>
      </c>
      <c r="AG231" s="172">
        <f t="shared" si="23"/>
        <v>25050.989999999998</v>
      </c>
      <c r="AH231" s="172">
        <f>Table1[[#This Row],[Certified Amount (Cum)]]-Table1[[#This Row],[Total Amount]]</f>
        <v>0</v>
      </c>
      <c r="AK231" s="167">
        <f>Table1[[#This Row],[E&amp;D Rate per unit]]*Table1[[#This Row],[Quantity]]+Table1[[#This Row],[Hire Charges]]+Table1[[#This Row],[Dismantle Charges]]</f>
        <v>32116.639999999999</v>
      </c>
      <c r="AL231" s="8">
        <f>SUM(Table1[[#This Row],[Erect Charges]:[Dismantle Charges]])</f>
        <v>25050.989999999998</v>
      </c>
    </row>
    <row r="232" spans="1:38" ht="30" customHeight="1" x14ac:dyDescent="0.3">
      <c r="A232" s="107" t="s">
        <v>97</v>
      </c>
      <c r="B232" s="90" t="s">
        <v>98</v>
      </c>
      <c r="C232" s="145">
        <v>21</v>
      </c>
      <c r="D232" s="108"/>
      <c r="E232" s="108"/>
      <c r="F232" s="109" t="s">
        <v>283</v>
      </c>
      <c r="G232" s="17" t="s">
        <v>165</v>
      </c>
      <c r="H232" s="108" t="s">
        <v>300</v>
      </c>
      <c r="I232" s="108">
        <v>1</v>
      </c>
      <c r="J232" s="108"/>
      <c r="K232" s="108"/>
      <c r="L232" s="108"/>
      <c r="M232" s="108"/>
      <c r="N232" s="110" t="s">
        <v>56</v>
      </c>
      <c r="O232" s="110">
        <f>ROUND(IF(N232="m3",I232*J232*K232*L232,IF(N232="m2-LxH",I232*J232*L232,IF(N232="m2-LxW",I232*J232*K232,IF(N232="rm",I232*L232,IF(N232="lm",I232*J232,IF(N232="unit",I232,"NA")))))),2)</f>
        <v>1</v>
      </c>
      <c r="P232" s="124">
        <v>44865</v>
      </c>
      <c r="Q232" s="124">
        <v>44865</v>
      </c>
      <c r="R232" s="111">
        <v>1</v>
      </c>
      <c r="S232" s="111">
        <v>1</v>
      </c>
      <c r="T232" s="111">
        <v>1</v>
      </c>
      <c r="U232" s="112">
        <f>IF(ISBLANK(Table1[[#This Row],[OHC Date]]),$B$7-Table1[[#This Row],[HOC Date]]+1,Table1[[#This Row],[OHC Date]]-Table1[[#This Row],[HOC Date]]+1)/7</f>
        <v>0.14285714285714285</v>
      </c>
      <c r="V232" s="113">
        <v>1230</v>
      </c>
      <c r="W232" s="113">
        <v>0</v>
      </c>
      <c r="X232" s="113">
        <v>1230</v>
      </c>
      <c r="Y232" s="113">
        <f>ROUND(O232*U232*W232*S232,2)</f>
        <v>0</v>
      </c>
      <c r="Z232" s="113">
        <v>0</v>
      </c>
      <c r="AA232" s="113">
        <v>1230</v>
      </c>
      <c r="AB232" s="138"/>
      <c r="AC232" s="135">
        <v>1230</v>
      </c>
      <c r="AD232" s="114" t="s">
        <v>299</v>
      </c>
      <c r="AE232" s="168"/>
      <c r="AF232" s="164">
        <f>Table1[[#This Row],[Certified Amount (Cum)]]-Table1[[#This Row],[Certified Amount (Previous)]]</f>
        <v>1230</v>
      </c>
      <c r="AG232" s="165">
        <f t="shared" si="23"/>
        <v>1230</v>
      </c>
      <c r="AH232" s="165">
        <f>Table1[[#This Row],[Certified Amount (Cum)]]-Table1[[#This Row],[Total Amount]]</f>
        <v>0</v>
      </c>
      <c r="AK232" s="167">
        <f>Table1[[#This Row],[E&amp;D Rate per unit]]*Table1[[#This Row],[Quantity]]+Table1[[#This Row],[Hire Charges]]+Table1[[#This Row],[Dismantle Charges]]</f>
        <v>1230</v>
      </c>
      <c r="AL232" s="8">
        <f>SUM(Table1[[#This Row],[Erect Charges]:[Dismantle Charges]])</f>
        <v>1230</v>
      </c>
    </row>
    <row r="233" spans="1:38" ht="30" customHeight="1" x14ac:dyDescent="0.3">
      <c r="A233" s="90" t="s">
        <v>91</v>
      </c>
      <c r="B233" s="90" t="s">
        <v>98</v>
      </c>
      <c r="C233" s="145">
        <v>22</v>
      </c>
      <c r="D233" s="108">
        <v>74642</v>
      </c>
      <c r="E233" s="108">
        <v>76818</v>
      </c>
      <c r="F233" s="109" t="s">
        <v>328</v>
      </c>
      <c r="G233" s="17" t="s">
        <v>202</v>
      </c>
      <c r="H233" s="108" t="s">
        <v>222</v>
      </c>
      <c r="I233" s="108">
        <v>1</v>
      </c>
      <c r="J233" s="108">
        <v>2.5</v>
      </c>
      <c r="K233" s="108">
        <v>2.5</v>
      </c>
      <c r="L233" s="108">
        <v>5.5</v>
      </c>
      <c r="M233" s="108">
        <v>1</v>
      </c>
      <c r="N233" s="110" t="s">
        <v>223</v>
      </c>
      <c r="O233" s="110">
        <f t="shared" si="26"/>
        <v>5.5</v>
      </c>
      <c r="P233" s="124">
        <v>44865</v>
      </c>
      <c r="Q233" s="124">
        <v>44876</v>
      </c>
      <c r="R233" s="111">
        <v>1</v>
      </c>
      <c r="S233" s="111">
        <v>1</v>
      </c>
      <c r="T233" s="111">
        <v>1</v>
      </c>
      <c r="U233" s="112">
        <f>IF(ISBLANK(Table1[[#This Row],[OHC Date]]),$B$7-Table1[[#This Row],[HOC Date]]+1,Table1[[#This Row],[OHC Date]]-Table1[[#This Row],[HOC Date]]+1)/7</f>
        <v>1.7142857142857142</v>
      </c>
      <c r="V233" s="113">
        <v>63.34</v>
      </c>
      <c r="W233" s="113">
        <v>7.28</v>
      </c>
      <c r="X233" s="113">
        <f>ROUND(0.7*Table1[[#This Row],[E&amp;D Rate per unit]]*R233*Table1[[#This Row],[Quantity]],2)</f>
        <v>243.86</v>
      </c>
      <c r="Y233" s="113">
        <f t="shared" si="27"/>
        <v>68.64</v>
      </c>
      <c r="Z233" s="113">
        <f>ROUND(0.3*T233*Table1[[#This Row],[E&amp;D Rate per unit]]*Table1[[#This Row],[Quantity]],2)</f>
        <v>104.51</v>
      </c>
      <c r="AA233" s="113">
        <v>417.01</v>
      </c>
      <c r="AB233" s="135"/>
      <c r="AC233" s="135">
        <v>417.01</v>
      </c>
      <c r="AD233" s="114"/>
      <c r="AE233" s="153"/>
      <c r="AF233" s="161">
        <f>Table1[[#This Row],[Certified Amount (Cum)]]-Table1[[#This Row],[Certified Amount (Previous)]]</f>
        <v>417.01</v>
      </c>
      <c r="AG233" s="160">
        <f t="shared" si="23"/>
        <v>417.01</v>
      </c>
      <c r="AH233" s="158">
        <f>Table1[[#This Row],[Certified Amount (Cum)]]-Table1[[#This Row],[Total Amount]]</f>
        <v>0</v>
      </c>
      <c r="AK233" s="167">
        <f>Table1[[#This Row],[E&amp;D Rate per unit]]+Table1[[#This Row],[Hire Rate per week]]</f>
        <v>70.62</v>
      </c>
      <c r="AL233" s="8">
        <f>SUM(Table1[[#This Row],[Erect Charges]:[Dismantle Charges]])</f>
        <v>417.01</v>
      </c>
    </row>
    <row r="234" spans="1:38" ht="30" customHeight="1" x14ac:dyDescent="0.3">
      <c r="A234" s="90" t="s">
        <v>91</v>
      </c>
      <c r="B234" s="90" t="s">
        <v>98</v>
      </c>
      <c r="C234" s="145">
        <v>23</v>
      </c>
      <c r="D234" s="108">
        <v>74643</v>
      </c>
      <c r="E234" s="108">
        <v>76819</v>
      </c>
      <c r="F234" s="109" t="s">
        <v>328</v>
      </c>
      <c r="G234" s="17" t="s">
        <v>202</v>
      </c>
      <c r="H234" s="108" t="s">
        <v>222</v>
      </c>
      <c r="I234" s="108">
        <v>1</v>
      </c>
      <c r="J234" s="108">
        <v>2.5</v>
      </c>
      <c r="K234" s="108">
        <v>2.5</v>
      </c>
      <c r="L234" s="108">
        <v>5.5</v>
      </c>
      <c r="M234" s="108">
        <v>1</v>
      </c>
      <c r="N234" s="110" t="s">
        <v>223</v>
      </c>
      <c r="O234" s="110">
        <f t="shared" si="26"/>
        <v>5.5</v>
      </c>
      <c r="P234" s="124">
        <v>44865</v>
      </c>
      <c r="Q234" s="124">
        <v>44877</v>
      </c>
      <c r="R234" s="111">
        <v>1</v>
      </c>
      <c r="S234" s="111">
        <v>1</v>
      </c>
      <c r="T234" s="111">
        <v>1</v>
      </c>
      <c r="U234" s="112">
        <f>IF(ISBLANK(Table1[[#This Row],[OHC Date]]),$B$7-Table1[[#This Row],[HOC Date]]+1,Table1[[#This Row],[OHC Date]]-Table1[[#This Row],[HOC Date]]+1)/7</f>
        <v>1.8571428571428572</v>
      </c>
      <c r="V234" s="113">
        <v>63.34</v>
      </c>
      <c r="W234" s="113">
        <v>7.28</v>
      </c>
      <c r="X234" s="113">
        <f>ROUND(0.7*Table1[[#This Row],[E&amp;D Rate per unit]]*R234*Table1[[#This Row],[Quantity]],2)</f>
        <v>243.86</v>
      </c>
      <c r="Y234" s="113">
        <f t="shared" si="27"/>
        <v>74.36</v>
      </c>
      <c r="Z234" s="113">
        <f>ROUND(0.3*T234*Table1[[#This Row],[E&amp;D Rate per unit]]*Table1[[#This Row],[Quantity]],2)</f>
        <v>104.51</v>
      </c>
      <c r="AA234" s="113">
        <v>422.73</v>
      </c>
      <c r="AB234" s="135"/>
      <c r="AC234" s="135">
        <v>422.73</v>
      </c>
      <c r="AD234" s="114"/>
      <c r="AE234" s="153"/>
      <c r="AF234" s="161">
        <f>Table1[[#This Row],[Certified Amount (Cum)]]-Table1[[#This Row],[Certified Amount (Previous)]]</f>
        <v>422.73</v>
      </c>
      <c r="AG234" s="160">
        <f t="shared" si="23"/>
        <v>422.73</v>
      </c>
      <c r="AH234" s="158">
        <f>Table1[[#This Row],[Certified Amount (Cum)]]-Table1[[#This Row],[Total Amount]]</f>
        <v>0</v>
      </c>
      <c r="AK234" s="167">
        <f>Table1[[#This Row],[E&amp;D Rate per unit]]+Table1[[#This Row],[Hire Rate per week]]</f>
        <v>70.62</v>
      </c>
      <c r="AL234" s="8">
        <f>SUM(Table1[[#This Row],[Erect Charges]:[Dismantle Charges]])</f>
        <v>422.73</v>
      </c>
    </row>
    <row r="235" spans="1:38" ht="30" customHeight="1" x14ac:dyDescent="0.3">
      <c r="A235" s="90" t="s">
        <v>91</v>
      </c>
      <c r="B235" s="90" t="s">
        <v>98</v>
      </c>
      <c r="C235" s="145" t="s">
        <v>388</v>
      </c>
      <c r="D235" s="108">
        <v>74645</v>
      </c>
      <c r="E235" s="108">
        <v>76821</v>
      </c>
      <c r="F235" s="109" t="s">
        <v>389</v>
      </c>
      <c r="G235" s="17" t="s">
        <v>165</v>
      </c>
      <c r="H235" s="108" t="s">
        <v>178</v>
      </c>
      <c r="I235" s="108">
        <v>1</v>
      </c>
      <c r="J235" s="108">
        <v>23.5</v>
      </c>
      <c r="K235" s="108">
        <v>1</v>
      </c>
      <c r="L235" s="108">
        <v>1</v>
      </c>
      <c r="M235" s="108">
        <v>1</v>
      </c>
      <c r="N235" s="110" t="s">
        <v>162</v>
      </c>
      <c r="O235" s="110">
        <f t="shared" si="26"/>
        <v>23.5</v>
      </c>
      <c r="P235" s="124">
        <v>44865</v>
      </c>
      <c r="Q235" s="124">
        <v>44876</v>
      </c>
      <c r="R235" s="111">
        <v>1</v>
      </c>
      <c r="S235" s="111">
        <v>1</v>
      </c>
      <c r="T235" s="111">
        <v>1</v>
      </c>
      <c r="U235" s="112">
        <f>IF(ISBLANK(Table1[[#This Row],[OHC Date]]),$B$7-Table1[[#This Row],[HOC Date]]+1,Table1[[#This Row],[OHC Date]]-Table1[[#This Row],[HOC Date]]+1)/7</f>
        <v>1.7142857142857142</v>
      </c>
      <c r="V235" s="113">
        <v>6.63</v>
      </c>
      <c r="W235" s="113">
        <v>0.7</v>
      </c>
      <c r="X235" s="113">
        <f>ROUND(0.7*Table1[[#This Row],[E&amp;D Rate per unit]]*R235*Table1[[#This Row],[Quantity]],2)</f>
        <v>109.06</v>
      </c>
      <c r="Y235" s="113">
        <f t="shared" si="27"/>
        <v>28.2</v>
      </c>
      <c r="Z235" s="113">
        <f>ROUND(0.3*T235*Table1[[#This Row],[E&amp;D Rate per unit]]*Table1[[#This Row],[Quantity]],2)</f>
        <v>46.74</v>
      </c>
      <c r="AA235" s="113">
        <v>184</v>
      </c>
      <c r="AB235" s="135"/>
      <c r="AC235" s="135">
        <v>184</v>
      </c>
      <c r="AD235" s="114"/>
      <c r="AE235" s="153"/>
      <c r="AF235" s="161">
        <f>Table1[[#This Row],[Certified Amount (Cum)]]-Table1[[#This Row],[Certified Amount (Previous)]]</f>
        <v>184</v>
      </c>
      <c r="AG235" s="160">
        <f t="shared" si="23"/>
        <v>184</v>
      </c>
      <c r="AH235" s="158">
        <f>Table1[[#This Row],[Certified Amount (Cum)]]-Table1[[#This Row],[Total Amount]]</f>
        <v>0</v>
      </c>
      <c r="AK235" s="167">
        <f>Table1[[#This Row],[E&amp;D Rate per unit]]+Table1[[#This Row],[Hire Rate per week]]</f>
        <v>7.33</v>
      </c>
      <c r="AL235" s="8">
        <f>SUM(Table1[[#This Row],[Erect Charges]:[Dismantle Charges]])</f>
        <v>184</v>
      </c>
    </row>
    <row r="236" spans="1:38" ht="30" customHeight="1" x14ac:dyDescent="0.3">
      <c r="A236" s="90" t="s">
        <v>91</v>
      </c>
      <c r="B236" s="90" t="s">
        <v>98</v>
      </c>
      <c r="C236" s="145">
        <v>24</v>
      </c>
      <c r="D236" s="108">
        <v>74646</v>
      </c>
      <c r="E236" s="108">
        <v>76820</v>
      </c>
      <c r="F236" s="109" t="s">
        <v>328</v>
      </c>
      <c r="G236" s="17" t="s">
        <v>202</v>
      </c>
      <c r="H236" s="108" t="s">
        <v>120</v>
      </c>
      <c r="I236" s="108">
        <v>1</v>
      </c>
      <c r="J236" s="108">
        <v>3.8</v>
      </c>
      <c r="K236" s="108">
        <v>2.5</v>
      </c>
      <c r="L236" s="108">
        <v>4.5</v>
      </c>
      <c r="M236" s="108">
        <v>1</v>
      </c>
      <c r="N236" s="110" t="s">
        <v>208</v>
      </c>
      <c r="O236" s="110">
        <f t="shared" si="26"/>
        <v>17.100000000000001</v>
      </c>
      <c r="P236" s="124">
        <v>44866</v>
      </c>
      <c r="Q236" s="124">
        <v>44876</v>
      </c>
      <c r="R236" s="111">
        <v>1</v>
      </c>
      <c r="S236" s="111">
        <v>1</v>
      </c>
      <c r="T236" s="111">
        <v>1</v>
      </c>
      <c r="U236" s="112">
        <f>IF(ISBLANK(Table1[[#This Row],[OHC Date]]),$B$7-Table1[[#This Row],[HOC Date]]+1,Table1[[#This Row],[OHC Date]]-Table1[[#This Row],[HOC Date]]+1)/7</f>
        <v>1.5714285714285714</v>
      </c>
      <c r="V236" s="113">
        <v>16.760000000000002</v>
      </c>
      <c r="W236" s="113">
        <v>0.77</v>
      </c>
      <c r="X236" s="113">
        <f>ROUND(0.7*Table1[[#This Row],[E&amp;D Rate per unit]]*R236*Table1[[#This Row],[Quantity]],2)</f>
        <v>200.62</v>
      </c>
      <c r="Y236" s="113">
        <f t="shared" si="27"/>
        <v>20.69</v>
      </c>
      <c r="Z236" s="113">
        <f>ROUND(0.3*T236*Table1[[#This Row],[E&amp;D Rate per unit]]*Table1[[#This Row],[Quantity]],2)</f>
        <v>85.98</v>
      </c>
      <c r="AA236" s="113">
        <v>307.29000000000002</v>
      </c>
      <c r="AB236" s="135"/>
      <c r="AC236" s="135">
        <v>307.29000000000002</v>
      </c>
      <c r="AD236" s="114"/>
      <c r="AE236" s="153"/>
      <c r="AF236" s="161">
        <f>Table1[[#This Row],[Certified Amount (Cum)]]-Table1[[#This Row],[Certified Amount (Previous)]]</f>
        <v>307.29000000000002</v>
      </c>
      <c r="AG236" s="160">
        <f t="shared" si="23"/>
        <v>307.29000000000002</v>
      </c>
      <c r="AH236" s="158">
        <f>Table1[[#This Row],[Certified Amount (Cum)]]-Table1[[#This Row],[Total Amount]]</f>
        <v>0</v>
      </c>
      <c r="AK236" s="167">
        <f>Table1[[#This Row],[E&amp;D Rate per unit]]+Table1[[#This Row],[Hire Rate per week]]</f>
        <v>17.53</v>
      </c>
      <c r="AL236" s="8">
        <f>SUM(Table1[[#This Row],[Erect Charges]:[Dismantle Charges]])</f>
        <v>307.29000000000002</v>
      </c>
    </row>
    <row r="237" spans="1:38" ht="30" customHeight="1" x14ac:dyDescent="0.3">
      <c r="A237" s="90" t="s">
        <v>91</v>
      </c>
      <c r="B237" s="90" t="s">
        <v>98</v>
      </c>
      <c r="C237" s="145" t="s">
        <v>390</v>
      </c>
      <c r="D237" s="108">
        <v>74647</v>
      </c>
      <c r="E237" s="108"/>
      <c r="F237" s="109" t="s">
        <v>391</v>
      </c>
      <c r="G237" s="17" t="s">
        <v>278</v>
      </c>
      <c r="H237" s="108" t="s">
        <v>128</v>
      </c>
      <c r="I237" s="108">
        <v>1</v>
      </c>
      <c r="J237" s="108">
        <v>1.5</v>
      </c>
      <c r="K237" s="108">
        <v>0.5</v>
      </c>
      <c r="L237" s="108">
        <v>1</v>
      </c>
      <c r="M237" s="108">
        <v>1</v>
      </c>
      <c r="N237" s="110" t="s">
        <v>162</v>
      </c>
      <c r="O237" s="110">
        <f t="shared" si="26"/>
        <v>0.75</v>
      </c>
      <c r="P237" s="124">
        <v>44866</v>
      </c>
      <c r="Q237" s="124"/>
      <c r="R237" s="111">
        <v>1</v>
      </c>
      <c r="S237" s="111">
        <v>1</v>
      </c>
      <c r="T237" s="111">
        <v>0</v>
      </c>
      <c r="U237" s="112">
        <f>IF(ISBLANK(Table1[[#This Row],[OHC Date]]),$B$7-Table1[[#This Row],[HOC Date]]+1,Table1[[#This Row],[OHC Date]]-Table1[[#This Row],[HOC Date]]+1)/7</f>
        <v>3.5714285714285716</v>
      </c>
      <c r="V237" s="113">
        <v>32.75</v>
      </c>
      <c r="W237" s="113">
        <v>1.05</v>
      </c>
      <c r="X237" s="113">
        <f>ROUND(0.7*Table1[[#This Row],[E&amp;D Rate per unit]]*R237*Table1[[#This Row],[Quantity]],2)</f>
        <v>17.190000000000001</v>
      </c>
      <c r="Y237" s="113">
        <f t="shared" si="27"/>
        <v>2.81</v>
      </c>
      <c r="Z237" s="113">
        <f>ROUND(0.3*T237*Table1[[#This Row],[E&amp;D Rate per unit]]*Table1[[#This Row],[Quantity]],2)</f>
        <v>0</v>
      </c>
      <c r="AA237" s="113">
        <v>20</v>
      </c>
      <c r="AB237" s="135"/>
      <c r="AC237" s="135">
        <v>20</v>
      </c>
      <c r="AD237" s="114"/>
      <c r="AE237" s="153"/>
      <c r="AF237" s="161">
        <f>Table1[[#This Row],[Certified Amount (Cum)]]-Table1[[#This Row],[Certified Amount (Previous)]]</f>
        <v>20</v>
      </c>
      <c r="AG237" s="160">
        <f t="shared" si="23"/>
        <v>20</v>
      </c>
      <c r="AH237" s="158">
        <f>Table1[[#This Row],[Certified Amount (Cum)]]-Table1[[#This Row],[Total Amount]]</f>
        <v>0</v>
      </c>
      <c r="AK237" s="167">
        <f>Table1[[#This Row],[E&amp;D Rate per unit]]+Table1[[#This Row],[Hire Rate per week]]</f>
        <v>33.799999999999997</v>
      </c>
      <c r="AL237" s="8">
        <f>SUM(Table1[[#This Row],[Erect Charges]:[Dismantle Charges]])</f>
        <v>20</v>
      </c>
    </row>
    <row r="238" spans="1:38" ht="30" customHeight="1" x14ac:dyDescent="0.3">
      <c r="A238" s="90" t="s">
        <v>91</v>
      </c>
      <c r="B238" s="90" t="s">
        <v>98</v>
      </c>
      <c r="C238" s="145" t="s">
        <v>392</v>
      </c>
      <c r="D238" s="108">
        <v>74648</v>
      </c>
      <c r="E238" s="108"/>
      <c r="F238" s="109" t="s">
        <v>393</v>
      </c>
      <c r="G238" s="17" t="s">
        <v>276</v>
      </c>
      <c r="H238" s="108" t="s">
        <v>128</v>
      </c>
      <c r="I238" s="108">
        <v>1</v>
      </c>
      <c r="J238" s="108">
        <v>1.5</v>
      </c>
      <c r="K238" s="108">
        <v>0.5</v>
      </c>
      <c r="L238" s="108">
        <v>1</v>
      </c>
      <c r="M238" s="108">
        <v>1</v>
      </c>
      <c r="N238" s="110" t="s">
        <v>162</v>
      </c>
      <c r="O238" s="110">
        <f t="shared" si="26"/>
        <v>0.75</v>
      </c>
      <c r="P238" s="124">
        <v>44866</v>
      </c>
      <c r="Q238" s="124"/>
      <c r="R238" s="111">
        <v>1</v>
      </c>
      <c r="S238" s="111">
        <v>1</v>
      </c>
      <c r="T238" s="111">
        <v>0</v>
      </c>
      <c r="U238" s="112">
        <f>IF(ISBLANK(Table1[[#This Row],[OHC Date]]),$B$7-Table1[[#This Row],[HOC Date]]+1,Table1[[#This Row],[OHC Date]]-Table1[[#This Row],[HOC Date]]+1)/7</f>
        <v>3.5714285714285716</v>
      </c>
      <c r="V238" s="113">
        <v>32.75</v>
      </c>
      <c r="W238" s="113">
        <v>1.05</v>
      </c>
      <c r="X238" s="113">
        <f>ROUND(0.7*Table1[[#This Row],[E&amp;D Rate per unit]]*R238*Table1[[#This Row],[Quantity]],2)</f>
        <v>17.190000000000001</v>
      </c>
      <c r="Y238" s="113">
        <f t="shared" si="27"/>
        <v>2.81</v>
      </c>
      <c r="Z238" s="113">
        <f>ROUND(0.3*T238*Table1[[#This Row],[E&amp;D Rate per unit]]*Table1[[#This Row],[Quantity]],2)</f>
        <v>0</v>
      </c>
      <c r="AA238" s="113">
        <v>20</v>
      </c>
      <c r="AB238" s="135"/>
      <c r="AC238" s="135">
        <v>20</v>
      </c>
      <c r="AD238" s="114"/>
      <c r="AE238" s="153"/>
      <c r="AF238" s="161">
        <f>Table1[[#This Row],[Certified Amount (Cum)]]-Table1[[#This Row],[Certified Amount (Previous)]]</f>
        <v>20</v>
      </c>
      <c r="AG238" s="160">
        <f t="shared" si="23"/>
        <v>20</v>
      </c>
      <c r="AH238" s="158">
        <f>Table1[[#This Row],[Certified Amount (Cum)]]-Table1[[#This Row],[Total Amount]]</f>
        <v>0</v>
      </c>
      <c r="AK238" s="167">
        <f>Table1[[#This Row],[E&amp;D Rate per unit]]+Table1[[#This Row],[Hire Rate per week]]</f>
        <v>33.799999999999997</v>
      </c>
      <c r="AL238" s="8">
        <f>SUM(Table1[[#This Row],[Erect Charges]:[Dismantle Charges]])</f>
        <v>20</v>
      </c>
    </row>
    <row r="239" spans="1:38" ht="30" customHeight="1" x14ac:dyDescent="0.3">
      <c r="A239" s="90" t="s">
        <v>91</v>
      </c>
      <c r="B239" s="90" t="s">
        <v>98</v>
      </c>
      <c r="C239" s="145" t="s">
        <v>394</v>
      </c>
      <c r="D239" s="108">
        <v>74649</v>
      </c>
      <c r="E239" s="108"/>
      <c r="F239" s="109" t="s">
        <v>395</v>
      </c>
      <c r="G239" s="17" t="s">
        <v>280</v>
      </c>
      <c r="H239" s="108" t="s">
        <v>128</v>
      </c>
      <c r="I239" s="108">
        <v>1</v>
      </c>
      <c r="J239" s="108">
        <v>1.5</v>
      </c>
      <c r="K239" s="108">
        <v>0.5</v>
      </c>
      <c r="L239" s="108">
        <v>1</v>
      </c>
      <c r="M239" s="108">
        <v>1</v>
      </c>
      <c r="N239" s="110" t="s">
        <v>162</v>
      </c>
      <c r="O239" s="110">
        <f t="shared" si="26"/>
        <v>0.75</v>
      </c>
      <c r="P239" s="124">
        <v>44867</v>
      </c>
      <c r="Q239" s="124"/>
      <c r="R239" s="111">
        <v>1</v>
      </c>
      <c r="S239" s="111">
        <v>1</v>
      </c>
      <c r="T239" s="111">
        <v>0</v>
      </c>
      <c r="U239" s="112">
        <f>IF(ISBLANK(Table1[[#This Row],[OHC Date]]),$B$7-Table1[[#This Row],[HOC Date]]+1,Table1[[#This Row],[OHC Date]]-Table1[[#This Row],[HOC Date]]+1)/7</f>
        <v>3.4285714285714284</v>
      </c>
      <c r="V239" s="113">
        <v>32.75</v>
      </c>
      <c r="W239" s="113">
        <v>1.05</v>
      </c>
      <c r="X239" s="113">
        <f>ROUND(0.7*Table1[[#This Row],[E&amp;D Rate per unit]]*R239*Table1[[#This Row],[Quantity]],2)</f>
        <v>17.190000000000001</v>
      </c>
      <c r="Y239" s="113">
        <f t="shared" si="27"/>
        <v>2.7</v>
      </c>
      <c r="Z239" s="113">
        <f>ROUND(0.3*T239*Table1[[#This Row],[E&amp;D Rate per unit]]*Table1[[#This Row],[Quantity]],2)</f>
        <v>0</v>
      </c>
      <c r="AA239" s="113">
        <v>19.89</v>
      </c>
      <c r="AB239" s="135"/>
      <c r="AC239" s="135">
        <v>19.89</v>
      </c>
      <c r="AD239" s="114"/>
      <c r="AE239" s="153"/>
      <c r="AF239" s="161">
        <f>Table1[[#This Row],[Certified Amount (Cum)]]-Table1[[#This Row],[Certified Amount (Previous)]]</f>
        <v>19.89</v>
      </c>
      <c r="AG239" s="160">
        <f t="shared" si="23"/>
        <v>19.89</v>
      </c>
      <c r="AH239" s="158">
        <f>Table1[[#This Row],[Certified Amount (Cum)]]-Table1[[#This Row],[Total Amount]]</f>
        <v>0</v>
      </c>
      <c r="AK239" s="167">
        <f>Table1[[#This Row],[E&amp;D Rate per unit]]+Table1[[#This Row],[Hire Rate per week]]</f>
        <v>33.799999999999997</v>
      </c>
      <c r="AL239" s="8">
        <f>SUM(Table1[[#This Row],[Erect Charges]:[Dismantle Charges]])</f>
        <v>19.89</v>
      </c>
    </row>
    <row r="240" spans="1:38" ht="30" customHeight="1" x14ac:dyDescent="0.3">
      <c r="A240" s="90" t="s">
        <v>91</v>
      </c>
      <c r="B240" s="90" t="s">
        <v>98</v>
      </c>
      <c r="C240" s="145">
        <v>25</v>
      </c>
      <c r="D240" s="108">
        <v>77601</v>
      </c>
      <c r="E240" s="108"/>
      <c r="F240" s="109" t="s">
        <v>396</v>
      </c>
      <c r="G240" s="17" t="s">
        <v>228</v>
      </c>
      <c r="H240" s="108" t="s">
        <v>207</v>
      </c>
      <c r="I240" s="108">
        <v>1</v>
      </c>
      <c r="J240" s="108">
        <v>9.3000000000000007</v>
      </c>
      <c r="K240" s="108">
        <v>1.3</v>
      </c>
      <c r="L240" s="108">
        <v>6</v>
      </c>
      <c r="M240" s="108">
        <v>1</v>
      </c>
      <c r="N240" s="110" t="s">
        <v>208</v>
      </c>
      <c r="O240" s="110">
        <f t="shared" si="26"/>
        <v>55.8</v>
      </c>
      <c r="P240" s="124">
        <v>44867</v>
      </c>
      <c r="Q240" s="124"/>
      <c r="R240" s="111">
        <v>1</v>
      </c>
      <c r="S240" s="111">
        <v>1</v>
      </c>
      <c r="T240" s="111">
        <v>0</v>
      </c>
      <c r="U240" s="112">
        <f>IF(ISBLANK(Table1[[#This Row],[OHC Date]]),$B$7-Table1[[#This Row],[HOC Date]]+1,Table1[[#This Row],[OHC Date]]-Table1[[#This Row],[HOC Date]]+1)/7</f>
        <v>3.4285714285714284</v>
      </c>
      <c r="V240" s="113">
        <v>12.01</v>
      </c>
      <c r="W240" s="113">
        <v>0.49</v>
      </c>
      <c r="X240" s="113">
        <f>ROUND(0.7*Table1[[#This Row],[E&amp;D Rate per unit]]*R240*Table1[[#This Row],[Quantity]],2)</f>
        <v>469.11</v>
      </c>
      <c r="Y240" s="113">
        <f t="shared" si="27"/>
        <v>93.74</v>
      </c>
      <c r="Z240" s="113">
        <f>ROUND(0.3*T240*Table1[[#This Row],[E&amp;D Rate per unit]]*Table1[[#This Row],[Quantity]],2)</f>
        <v>0</v>
      </c>
      <c r="AA240" s="113">
        <v>562.85</v>
      </c>
      <c r="AB240" s="135"/>
      <c r="AC240" s="135">
        <v>562.85</v>
      </c>
      <c r="AD240" s="114"/>
      <c r="AE240" s="153"/>
      <c r="AF240" s="161">
        <f>Table1[[#This Row],[Certified Amount (Cum)]]-Table1[[#This Row],[Certified Amount (Previous)]]</f>
        <v>562.85</v>
      </c>
      <c r="AG240" s="160">
        <f t="shared" si="23"/>
        <v>562.85</v>
      </c>
      <c r="AH240" s="158">
        <f>Table1[[#This Row],[Certified Amount (Cum)]]-Table1[[#This Row],[Total Amount]]</f>
        <v>0</v>
      </c>
      <c r="AK240" s="167">
        <f>Table1[[#This Row],[E&amp;D Rate per unit]]+Table1[[#This Row],[Hire Rate per week]]</f>
        <v>12.5</v>
      </c>
      <c r="AL240" s="8">
        <f>SUM(Table1[[#This Row],[Erect Charges]:[Dismantle Charges]])</f>
        <v>562.85</v>
      </c>
    </row>
    <row r="241" spans="1:43" ht="30" customHeight="1" x14ac:dyDescent="0.3">
      <c r="A241" s="90" t="s">
        <v>91</v>
      </c>
      <c r="B241" s="90" t="s">
        <v>98</v>
      </c>
      <c r="C241" s="145">
        <v>25</v>
      </c>
      <c r="D241" s="108">
        <v>77601</v>
      </c>
      <c r="E241" s="108"/>
      <c r="F241" s="109" t="s">
        <v>396</v>
      </c>
      <c r="G241" s="17" t="s">
        <v>228</v>
      </c>
      <c r="H241" s="108" t="s">
        <v>178</v>
      </c>
      <c r="I241" s="108">
        <v>1</v>
      </c>
      <c r="J241" s="108">
        <v>9.3000000000000007</v>
      </c>
      <c r="K241" s="108">
        <v>1.3</v>
      </c>
      <c r="L241" s="108">
        <v>1</v>
      </c>
      <c r="M241" s="108">
        <v>1</v>
      </c>
      <c r="N241" s="110" t="s">
        <v>162</v>
      </c>
      <c r="O241" s="110">
        <f t="shared" ref="O241" si="28">ROUND(IF(N241="m3",I241*J241*K241*L241,IF(N241="m2-LxH",I241*J241*L241,IF(N241="m2-LxW",I241*J241*K241,IF(N241="rm",I241*L241,IF(N241="lm",I241*J241,IF(N241="unit",I241,"NA")))))),2)</f>
        <v>12.09</v>
      </c>
      <c r="P241" s="124">
        <v>44867</v>
      </c>
      <c r="Q241" s="124"/>
      <c r="R241" s="111">
        <v>1</v>
      </c>
      <c r="S241" s="111">
        <v>1</v>
      </c>
      <c r="T241" s="111">
        <v>0</v>
      </c>
      <c r="U241" s="112">
        <f>IF(ISBLANK(Table1[[#This Row],[OHC Date]]),$B$7-Table1[[#This Row],[HOC Date]]+1,Table1[[#This Row],[OHC Date]]-Table1[[#This Row],[HOC Date]]+1)/7</f>
        <v>3.4285714285714284</v>
      </c>
      <c r="V241" s="113">
        <v>6.63</v>
      </c>
      <c r="W241" s="113">
        <v>0.7</v>
      </c>
      <c r="X241" s="113">
        <f>ROUND(0.7*Table1[[#This Row],[E&amp;D Rate per unit]]*R241*Table1[[#This Row],[Quantity]],2)</f>
        <v>56.11</v>
      </c>
      <c r="Y241" s="113">
        <f t="shared" ref="Y241" si="29">ROUND(O241*U241*W241*S241,2)</f>
        <v>29.02</v>
      </c>
      <c r="Z241" s="113">
        <f>ROUND(0.3*T241*Table1[[#This Row],[E&amp;D Rate per unit]]*Table1[[#This Row],[Quantity]],2)</f>
        <v>0</v>
      </c>
      <c r="AA241" s="113">
        <v>85.13</v>
      </c>
      <c r="AB241" s="135"/>
      <c r="AC241" s="135">
        <v>85.13</v>
      </c>
      <c r="AD241" s="114"/>
      <c r="AE241" s="153"/>
      <c r="AF241" s="161">
        <f>Table1[[#This Row],[Certified Amount (Cum)]]-Table1[[#This Row],[Certified Amount (Previous)]]</f>
        <v>85.13</v>
      </c>
      <c r="AG241" s="160">
        <f t="shared" si="23"/>
        <v>85.13</v>
      </c>
      <c r="AH241" s="158">
        <f>Table1[[#This Row],[Certified Amount (Cum)]]-Table1[[#This Row],[Total Amount]]</f>
        <v>0</v>
      </c>
      <c r="AK241" s="167">
        <f>Table1[[#This Row],[E&amp;D Rate per unit]]+Table1[[#This Row],[Hire Rate per week]]</f>
        <v>7.33</v>
      </c>
      <c r="AL241" s="8">
        <f>SUM(Table1[[#This Row],[Erect Charges]:[Dismantle Charges]])</f>
        <v>85.13</v>
      </c>
    </row>
    <row r="242" spans="1:43" ht="30" customHeight="1" x14ac:dyDescent="0.3">
      <c r="A242" s="90" t="s">
        <v>91</v>
      </c>
      <c r="B242" s="90" t="s">
        <v>98</v>
      </c>
      <c r="C242" s="145" t="s">
        <v>397</v>
      </c>
      <c r="D242" s="108">
        <v>77602</v>
      </c>
      <c r="E242" s="108"/>
      <c r="F242" s="109" t="s">
        <v>396</v>
      </c>
      <c r="G242" s="17" t="s">
        <v>228</v>
      </c>
      <c r="H242" s="108" t="s">
        <v>207</v>
      </c>
      <c r="I242" s="108">
        <v>1</v>
      </c>
      <c r="J242" s="108">
        <v>10.5</v>
      </c>
      <c r="K242" s="108">
        <v>1.3</v>
      </c>
      <c r="L242" s="108">
        <v>4</v>
      </c>
      <c r="M242" s="108">
        <v>1</v>
      </c>
      <c r="N242" s="110" t="s">
        <v>208</v>
      </c>
      <c r="O242" s="110">
        <f t="shared" si="26"/>
        <v>42</v>
      </c>
      <c r="P242" s="124">
        <v>44867</v>
      </c>
      <c r="Q242" s="124"/>
      <c r="R242" s="111">
        <v>1</v>
      </c>
      <c r="S242" s="111">
        <v>1</v>
      </c>
      <c r="T242" s="111">
        <v>0</v>
      </c>
      <c r="U242" s="112">
        <f>IF(ISBLANK(Table1[[#This Row],[OHC Date]]),$B$7-Table1[[#This Row],[HOC Date]]+1,Table1[[#This Row],[OHC Date]]-Table1[[#This Row],[HOC Date]]+1)/7</f>
        <v>3.4285714285714284</v>
      </c>
      <c r="V242" s="113">
        <v>12.01</v>
      </c>
      <c r="W242" s="113">
        <v>0.49</v>
      </c>
      <c r="X242" s="113">
        <f>ROUND(0.7*Table1[[#This Row],[E&amp;D Rate per unit]]*R242*Table1[[#This Row],[Quantity]],2)</f>
        <v>353.09</v>
      </c>
      <c r="Y242" s="113">
        <f t="shared" si="27"/>
        <v>70.56</v>
      </c>
      <c r="Z242" s="113">
        <f>ROUND(0.3*T242*Table1[[#This Row],[E&amp;D Rate per unit]]*Table1[[#This Row],[Quantity]],2)</f>
        <v>0</v>
      </c>
      <c r="AA242" s="113">
        <v>423.65</v>
      </c>
      <c r="AB242" s="135"/>
      <c r="AC242" s="135">
        <v>423.65</v>
      </c>
      <c r="AD242" s="114"/>
      <c r="AE242" s="153"/>
      <c r="AF242" s="161">
        <f>Table1[[#This Row],[Certified Amount (Cum)]]-Table1[[#This Row],[Certified Amount (Previous)]]</f>
        <v>423.65</v>
      </c>
      <c r="AG242" s="160">
        <f t="shared" si="23"/>
        <v>423.65</v>
      </c>
      <c r="AH242" s="158">
        <f>Table1[[#This Row],[Certified Amount (Cum)]]-Table1[[#This Row],[Total Amount]]</f>
        <v>0</v>
      </c>
      <c r="AK242" s="167">
        <f>Table1[[#This Row],[E&amp;D Rate per unit]]+Table1[[#This Row],[Hire Rate per week]]</f>
        <v>12.5</v>
      </c>
      <c r="AL242" s="8">
        <f>SUM(Table1[[#This Row],[Erect Charges]:[Dismantle Charges]])</f>
        <v>423.65</v>
      </c>
    </row>
    <row r="243" spans="1:43" ht="30" customHeight="1" x14ac:dyDescent="0.3">
      <c r="A243" s="90" t="s">
        <v>91</v>
      </c>
      <c r="B243" s="90" t="s">
        <v>98</v>
      </c>
      <c r="C243" s="145">
        <v>26</v>
      </c>
      <c r="D243" s="108">
        <v>77604</v>
      </c>
      <c r="E243" s="108"/>
      <c r="F243" s="109" t="s">
        <v>398</v>
      </c>
      <c r="G243" s="17" t="s">
        <v>256</v>
      </c>
      <c r="H243" s="108" t="s">
        <v>207</v>
      </c>
      <c r="I243" s="108">
        <v>1</v>
      </c>
      <c r="J243" s="108">
        <v>6</v>
      </c>
      <c r="K243" s="108">
        <v>1.5</v>
      </c>
      <c r="L243" s="108">
        <v>2</v>
      </c>
      <c r="M243" s="108">
        <v>1</v>
      </c>
      <c r="N243" s="110" t="s">
        <v>208</v>
      </c>
      <c r="O243" s="110">
        <f t="shared" si="26"/>
        <v>12</v>
      </c>
      <c r="P243" s="124">
        <v>44869</v>
      </c>
      <c r="Q243" s="124"/>
      <c r="R243" s="111">
        <v>1</v>
      </c>
      <c r="S243" s="111">
        <v>1</v>
      </c>
      <c r="T243" s="111">
        <v>0</v>
      </c>
      <c r="U243" s="112">
        <f>IF(ISBLANK(Table1[[#This Row],[OHC Date]]),$B$7-Table1[[#This Row],[HOC Date]]+1,Table1[[#This Row],[OHC Date]]-Table1[[#This Row],[HOC Date]]+1)/7</f>
        <v>3.1428571428571428</v>
      </c>
      <c r="V243" s="113">
        <v>12.01</v>
      </c>
      <c r="W243" s="113">
        <v>0.49</v>
      </c>
      <c r="X243" s="113">
        <f>ROUND(0.7*Table1[[#This Row],[E&amp;D Rate per unit]]*R243*Table1[[#This Row],[Quantity]],2)</f>
        <v>100.88</v>
      </c>
      <c r="Y243" s="113">
        <f t="shared" si="27"/>
        <v>18.48</v>
      </c>
      <c r="Z243" s="113">
        <f>ROUND(0.3*T243*Table1[[#This Row],[E&amp;D Rate per unit]]*Table1[[#This Row],[Quantity]],2)</f>
        <v>0</v>
      </c>
      <c r="AA243" s="113">
        <v>119.36</v>
      </c>
      <c r="AB243" s="135"/>
      <c r="AC243" s="135">
        <v>119.36</v>
      </c>
      <c r="AD243" s="114"/>
      <c r="AE243" s="153"/>
      <c r="AF243" s="161">
        <f>Table1[[#This Row],[Certified Amount (Cum)]]-Table1[[#This Row],[Certified Amount (Previous)]]</f>
        <v>119.36</v>
      </c>
      <c r="AG243" s="160">
        <f t="shared" si="23"/>
        <v>119.36</v>
      </c>
      <c r="AH243" s="158">
        <f>Table1[[#This Row],[Certified Amount (Cum)]]-Table1[[#This Row],[Total Amount]]</f>
        <v>0</v>
      </c>
      <c r="AK243" s="167">
        <f>Table1[[#This Row],[E&amp;D Rate per unit]]+Table1[[#This Row],[Hire Rate per week]]</f>
        <v>12.5</v>
      </c>
      <c r="AL243" s="8">
        <f>SUM(Table1[[#This Row],[Erect Charges]:[Dismantle Charges]])</f>
        <v>119.36</v>
      </c>
    </row>
    <row r="244" spans="1:43" ht="30" customHeight="1" x14ac:dyDescent="0.3">
      <c r="A244" s="90" t="s">
        <v>91</v>
      </c>
      <c r="B244" s="90" t="s">
        <v>98</v>
      </c>
      <c r="C244" s="145" t="s">
        <v>399</v>
      </c>
      <c r="D244" s="108">
        <v>77605</v>
      </c>
      <c r="E244" s="108"/>
      <c r="F244" s="109" t="s">
        <v>398</v>
      </c>
      <c r="G244" s="17" t="s">
        <v>256</v>
      </c>
      <c r="H244" s="108" t="s">
        <v>120</v>
      </c>
      <c r="I244" s="108">
        <v>1</v>
      </c>
      <c r="J244" s="108">
        <v>6</v>
      </c>
      <c r="K244" s="108">
        <v>2</v>
      </c>
      <c r="L244" s="108">
        <v>2.5</v>
      </c>
      <c r="M244" s="108">
        <v>1</v>
      </c>
      <c r="N244" s="110" t="s">
        <v>208</v>
      </c>
      <c r="O244" s="110">
        <f t="shared" si="26"/>
        <v>15</v>
      </c>
      <c r="P244" s="124">
        <v>44869</v>
      </c>
      <c r="Q244" s="124"/>
      <c r="R244" s="111">
        <v>1</v>
      </c>
      <c r="S244" s="111">
        <v>1</v>
      </c>
      <c r="T244" s="111">
        <v>0</v>
      </c>
      <c r="U244" s="112">
        <f>IF(ISBLANK(Table1[[#This Row],[OHC Date]]),$B$7-Table1[[#This Row],[HOC Date]]+1,Table1[[#This Row],[OHC Date]]-Table1[[#This Row],[HOC Date]]+1)/7</f>
        <v>3.1428571428571428</v>
      </c>
      <c r="V244" s="113">
        <v>16.760000000000002</v>
      </c>
      <c r="W244" s="113">
        <v>0.77</v>
      </c>
      <c r="X244" s="113">
        <f>ROUND(0.7*Table1[[#This Row],[E&amp;D Rate per unit]]*R244*Table1[[#This Row],[Quantity]],2)</f>
        <v>175.98</v>
      </c>
      <c r="Y244" s="113">
        <f t="shared" si="27"/>
        <v>36.299999999999997</v>
      </c>
      <c r="Z244" s="113">
        <f>ROUND(0.3*T244*Table1[[#This Row],[E&amp;D Rate per unit]]*Table1[[#This Row],[Quantity]],2)</f>
        <v>0</v>
      </c>
      <c r="AA244" s="113">
        <v>212.28</v>
      </c>
      <c r="AB244" s="135"/>
      <c r="AC244" s="135">
        <v>212.28</v>
      </c>
      <c r="AD244" s="114"/>
      <c r="AE244" s="153"/>
      <c r="AF244" s="161">
        <f>Table1[[#This Row],[Certified Amount (Cum)]]-Table1[[#This Row],[Certified Amount (Previous)]]</f>
        <v>212.27999999999997</v>
      </c>
      <c r="AG244" s="160">
        <f t="shared" si="23"/>
        <v>212.27999999999997</v>
      </c>
      <c r="AH244" s="158">
        <f>Table1[[#This Row],[Certified Amount (Cum)]]-Table1[[#This Row],[Total Amount]]</f>
        <v>0</v>
      </c>
      <c r="AK244" s="167">
        <f>Table1[[#This Row],[E&amp;D Rate per unit]]+Table1[[#This Row],[Hire Rate per week]]</f>
        <v>17.53</v>
      </c>
      <c r="AL244" s="8">
        <f>SUM(Table1[[#This Row],[Erect Charges]:[Dismantle Charges]])</f>
        <v>212.27999999999997</v>
      </c>
    </row>
    <row r="245" spans="1:43" ht="30" customHeight="1" x14ac:dyDescent="0.3">
      <c r="A245" s="90" t="s">
        <v>91</v>
      </c>
      <c r="B245" s="90" t="s">
        <v>98</v>
      </c>
      <c r="C245" s="145" t="s">
        <v>400</v>
      </c>
      <c r="D245" s="108">
        <v>77606</v>
      </c>
      <c r="E245" s="108"/>
      <c r="F245" s="109" t="s">
        <v>398</v>
      </c>
      <c r="G245" s="17" t="s">
        <v>256</v>
      </c>
      <c r="H245" s="108" t="s">
        <v>222</v>
      </c>
      <c r="I245" s="108">
        <v>1</v>
      </c>
      <c r="J245" s="108">
        <v>1.8</v>
      </c>
      <c r="K245" s="108">
        <v>1.8</v>
      </c>
      <c r="L245" s="108">
        <v>1</v>
      </c>
      <c r="M245" s="108">
        <v>1</v>
      </c>
      <c r="N245" s="110" t="s">
        <v>223</v>
      </c>
      <c r="O245" s="110">
        <f t="shared" si="26"/>
        <v>1</v>
      </c>
      <c r="P245" s="124">
        <v>44869</v>
      </c>
      <c r="Q245" s="124"/>
      <c r="R245" s="111">
        <v>1</v>
      </c>
      <c r="S245" s="111">
        <v>1</v>
      </c>
      <c r="T245" s="111">
        <v>0</v>
      </c>
      <c r="U245" s="112">
        <f>IF(ISBLANK(Table1[[#This Row],[OHC Date]]),$B$7-Table1[[#This Row],[HOC Date]]+1,Table1[[#This Row],[OHC Date]]-Table1[[#This Row],[HOC Date]]+1)/7</f>
        <v>3.1428571428571428</v>
      </c>
      <c r="V245" s="113">
        <v>63.34</v>
      </c>
      <c r="W245" s="113">
        <v>7.28</v>
      </c>
      <c r="X245" s="113">
        <f>ROUND(0.7*Table1[[#This Row],[E&amp;D Rate per unit]]*R245*Table1[[#This Row],[Quantity]],2)</f>
        <v>44.34</v>
      </c>
      <c r="Y245" s="113">
        <f t="shared" si="27"/>
        <v>22.88</v>
      </c>
      <c r="Z245" s="113">
        <f>ROUND(0.3*T245*Table1[[#This Row],[E&amp;D Rate per unit]]*Table1[[#This Row],[Quantity]],2)</f>
        <v>0</v>
      </c>
      <c r="AA245" s="113">
        <v>67.22</v>
      </c>
      <c r="AB245" s="135"/>
      <c r="AC245" s="135">
        <v>67.22</v>
      </c>
      <c r="AD245" s="114"/>
      <c r="AE245" s="153"/>
      <c r="AF245" s="161">
        <f>Table1[[#This Row],[Certified Amount (Cum)]]-Table1[[#This Row],[Certified Amount (Previous)]]</f>
        <v>67.22</v>
      </c>
      <c r="AG245" s="160">
        <f t="shared" si="23"/>
        <v>67.22</v>
      </c>
      <c r="AH245" s="158">
        <f>Table1[[#This Row],[Certified Amount (Cum)]]-Table1[[#This Row],[Total Amount]]</f>
        <v>0</v>
      </c>
      <c r="AK245" s="167">
        <f>Table1[[#This Row],[E&amp;D Rate per unit]]+Table1[[#This Row],[Hire Rate per week]]</f>
        <v>70.62</v>
      </c>
      <c r="AL245" s="8">
        <f>SUM(Table1[[#This Row],[Erect Charges]:[Dismantle Charges]])</f>
        <v>67.22</v>
      </c>
    </row>
    <row r="246" spans="1:43" ht="30" customHeight="1" x14ac:dyDescent="0.3">
      <c r="A246" s="90" t="s">
        <v>91</v>
      </c>
      <c r="B246" s="90" t="s">
        <v>98</v>
      </c>
      <c r="C246" s="147">
        <v>27</v>
      </c>
      <c r="D246" s="108">
        <v>77607</v>
      </c>
      <c r="E246" s="108">
        <v>76816</v>
      </c>
      <c r="F246" s="109" t="s">
        <v>344</v>
      </c>
      <c r="G246" s="17" t="s">
        <v>228</v>
      </c>
      <c r="H246" s="108" t="s">
        <v>222</v>
      </c>
      <c r="I246" s="108">
        <v>1</v>
      </c>
      <c r="J246" s="108">
        <v>2.5</v>
      </c>
      <c r="K246" s="108">
        <v>1.3</v>
      </c>
      <c r="L246" s="108">
        <v>4</v>
      </c>
      <c r="M246" s="108">
        <v>1</v>
      </c>
      <c r="N246" s="110" t="s">
        <v>223</v>
      </c>
      <c r="O246" s="110">
        <f t="shared" ref="O246:O291" si="30">ROUND(IF(N246="m3",I246*J246*K246*L246,IF(N246="m2-LxH",I246*J246*L246,IF(N246="m2-LxW",I246*J246*K246,IF(N246="rm",I246*L246,IF(N246="lm",I246*J246,IF(N246="unit",I246,"NA")))))),2)</f>
        <v>4</v>
      </c>
      <c r="P246" s="124">
        <v>44869</v>
      </c>
      <c r="Q246" s="124">
        <v>44876</v>
      </c>
      <c r="R246" s="111">
        <v>1</v>
      </c>
      <c r="S246" s="111">
        <v>1</v>
      </c>
      <c r="T246" s="111">
        <v>1</v>
      </c>
      <c r="U246" s="112">
        <f>IF(ISBLANK(Table1[[#This Row],[OHC Date]]),$B$7-Table1[[#This Row],[HOC Date]]+1,Table1[[#This Row],[OHC Date]]-Table1[[#This Row],[HOC Date]]+1)/7</f>
        <v>1.1428571428571428</v>
      </c>
      <c r="V246" s="113">
        <v>63.34</v>
      </c>
      <c r="W246" s="113">
        <v>7.28</v>
      </c>
      <c r="X246" s="113">
        <f>ROUND(0.7*Table1[[#This Row],[E&amp;D Rate per unit]]*R246*Table1[[#This Row],[Quantity]],2)</f>
        <v>177.35</v>
      </c>
      <c r="Y246" s="113">
        <f t="shared" ref="Y246:Y291" si="31">ROUND(O246*U246*W246*S246,2)</f>
        <v>33.28</v>
      </c>
      <c r="Z246" s="113">
        <f>ROUND(0.3*T246*Table1[[#This Row],[E&amp;D Rate per unit]]*Table1[[#This Row],[Quantity]],2)</f>
        <v>76.010000000000005</v>
      </c>
      <c r="AA246" s="113">
        <v>286.64</v>
      </c>
      <c r="AB246" s="135"/>
      <c r="AC246" s="135">
        <v>286.64</v>
      </c>
      <c r="AD246" s="114"/>
      <c r="AE246" s="153"/>
      <c r="AF246" s="161">
        <f>Table1[[#This Row],[Certified Amount (Cum)]]-Table1[[#This Row],[Certified Amount (Previous)]]</f>
        <v>286.64</v>
      </c>
      <c r="AG246" s="160">
        <f t="shared" si="23"/>
        <v>286.64</v>
      </c>
      <c r="AH246" s="158">
        <f>Table1[[#This Row],[Certified Amount (Cum)]]-Table1[[#This Row],[Total Amount]]</f>
        <v>0</v>
      </c>
      <c r="AK246" s="167">
        <f>Table1[[#This Row],[E&amp;D Rate per unit]]+Table1[[#This Row],[Hire Rate per week]]</f>
        <v>70.62</v>
      </c>
      <c r="AL246" s="8">
        <f>SUM(Table1[[#This Row],[Erect Charges]:[Dismantle Charges]])</f>
        <v>286.64</v>
      </c>
    </row>
    <row r="247" spans="1:43" ht="30" customHeight="1" x14ac:dyDescent="0.3">
      <c r="A247" s="90" t="s">
        <v>91</v>
      </c>
      <c r="B247" s="90" t="s">
        <v>98</v>
      </c>
      <c r="C247" s="145">
        <v>28</v>
      </c>
      <c r="D247" s="108">
        <v>77608</v>
      </c>
      <c r="E247" s="108">
        <v>76824</v>
      </c>
      <c r="F247" s="109" t="s">
        <v>401</v>
      </c>
      <c r="G247" s="17" t="s">
        <v>206</v>
      </c>
      <c r="H247" s="108" t="s">
        <v>222</v>
      </c>
      <c r="I247" s="108">
        <v>1</v>
      </c>
      <c r="J247" s="108">
        <v>2.5</v>
      </c>
      <c r="K247" s="108">
        <v>0.9</v>
      </c>
      <c r="L247" s="108">
        <v>1.2</v>
      </c>
      <c r="M247" s="108">
        <v>1</v>
      </c>
      <c r="N247" s="110" t="s">
        <v>223</v>
      </c>
      <c r="O247" s="110">
        <f t="shared" si="30"/>
        <v>1.2</v>
      </c>
      <c r="P247" s="124">
        <v>44869</v>
      </c>
      <c r="Q247" s="124">
        <v>44876</v>
      </c>
      <c r="R247" s="111">
        <v>1</v>
      </c>
      <c r="S247" s="111">
        <v>1</v>
      </c>
      <c r="T247" s="111">
        <v>1</v>
      </c>
      <c r="U247" s="112">
        <f>IF(ISBLANK(Table1[[#This Row],[OHC Date]]),$B$7-Table1[[#This Row],[HOC Date]]+1,Table1[[#This Row],[OHC Date]]-Table1[[#This Row],[HOC Date]]+1)/7</f>
        <v>1.1428571428571428</v>
      </c>
      <c r="V247" s="113">
        <v>63.34</v>
      </c>
      <c r="W247" s="113">
        <v>7.28</v>
      </c>
      <c r="X247" s="113">
        <f>ROUND(0.7*Table1[[#This Row],[E&amp;D Rate per unit]]*R247*Table1[[#This Row],[Quantity]],2)</f>
        <v>53.21</v>
      </c>
      <c r="Y247" s="113">
        <f t="shared" si="31"/>
        <v>9.98</v>
      </c>
      <c r="Z247" s="113">
        <f>ROUND(0.3*T247*Table1[[#This Row],[E&amp;D Rate per unit]]*Table1[[#This Row],[Quantity]],2)</f>
        <v>22.8</v>
      </c>
      <c r="AA247" s="113">
        <v>85.99</v>
      </c>
      <c r="AB247" s="135"/>
      <c r="AC247" s="135">
        <v>85.99</v>
      </c>
      <c r="AD247" s="114"/>
      <c r="AE247" s="153"/>
      <c r="AF247" s="161">
        <f>Table1[[#This Row],[Certified Amount (Cum)]]-Table1[[#This Row],[Certified Amount (Previous)]]</f>
        <v>85.99</v>
      </c>
      <c r="AG247" s="160">
        <f t="shared" si="23"/>
        <v>85.99</v>
      </c>
      <c r="AH247" s="158">
        <f>Table1[[#This Row],[Certified Amount (Cum)]]-Table1[[#This Row],[Total Amount]]</f>
        <v>0</v>
      </c>
      <c r="AK247" s="167">
        <f>Table1[[#This Row],[E&amp;D Rate per unit]]+Table1[[#This Row],[Hire Rate per week]]</f>
        <v>70.62</v>
      </c>
      <c r="AL247" s="8">
        <f>SUM(Table1[[#This Row],[Erect Charges]:[Dismantle Charges]])</f>
        <v>85.99</v>
      </c>
    </row>
    <row r="248" spans="1:43" ht="30" customHeight="1" x14ac:dyDescent="0.3">
      <c r="A248" s="90" t="s">
        <v>91</v>
      </c>
      <c r="B248" s="90" t="s">
        <v>98</v>
      </c>
      <c r="C248" s="145">
        <v>29</v>
      </c>
      <c r="D248" s="108">
        <v>77609</v>
      </c>
      <c r="E248" s="108">
        <v>76825</v>
      </c>
      <c r="F248" s="109" t="s">
        <v>401</v>
      </c>
      <c r="G248" s="17" t="s">
        <v>206</v>
      </c>
      <c r="H248" s="108" t="s">
        <v>222</v>
      </c>
      <c r="I248" s="108">
        <v>1</v>
      </c>
      <c r="J248" s="108">
        <v>2.5</v>
      </c>
      <c r="K248" s="108">
        <v>0.9</v>
      </c>
      <c r="L248" s="108">
        <v>1.2</v>
      </c>
      <c r="M248" s="108">
        <v>1</v>
      </c>
      <c r="N248" s="110" t="s">
        <v>223</v>
      </c>
      <c r="O248" s="110">
        <f t="shared" si="30"/>
        <v>1.2</v>
      </c>
      <c r="P248" s="124">
        <v>44869</v>
      </c>
      <c r="Q248" s="124">
        <v>44876</v>
      </c>
      <c r="R248" s="111">
        <v>1</v>
      </c>
      <c r="S248" s="111">
        <v>1</v>
      </c>
      <c r="T248" s="111">
        <v>1</v>
      </c>
      <c r="U248" s="112">
        <f>IF(ISBLANK(Table1[[#This Row],[OHC Date]]),$B$7-Table1[[#This Row],[HOC Date]]+1,Table1[[#This Row],[OHC Date]]-Table1[[#This Row],[HOC Date]]+1)/7</f>
        <v>1.1428571428571428</v>
      </c>
      <c r="V248" s="113">
        <v>63.34</v>
      </c>
      <c r="W248" s="113">
        <v>7.28</v>
      </c>
      <c r="X248" s="113">
        <f>ROUND(0.7*Table1[[#This Row],[E&amp;D Rate per unit]]*R248*Table1[[#This Row],[Quantity]],2)</f>
        <v>53.21</v>
      </c>
      <c r="Y248" s="113">
        <f t="shared" si="31"/>
        <v>9.98</v>
      </c>
      <c r="Z248" s="113">
        <f>ROUND(0.3*T248*Table1[[#This Row],[E&amp;D Rate per unit]]*Table1[[#This Row],[Quantity]],2)</f>
        <v>22.8</v>
      </c>
      <c r="AA248" s="113">
        <v>85.99</v>
      </c>
      <c r="AB248" s="135"/>
      <c r="AC248" s="135">
        <v>85.99</v>
      </c>
      <c r="AD248" s="114"/>
      <c r="AE248" s="153"/>
      <c r="AF248" s="161">
        <f>Table1[[#This Row],[Certified Amount (Cum)]]-Table1[[#This Row],[Certified Amount (Previous)]]</f>
        <v>85.99</v>
      </c>
      <c r="AG248" s="160">
        <f t="shared" si="23"/>
        <v>85.99</v>
      </c>
      <c r="AH248" s="158">
        <f>Table1[[#This Row],[Certified Amount (Cum)]]-Table1[[#This Row],[Total Amount]]</f>
        <v>0</v>
      </c>
      <c r="AK248" s="167">
        <f>Table1[[#This Row],[E&amp;D Rate per unit]]+Table1[[#This Row],[Hire Rate per week]]</f>
        <v>70.62</v>
      </c>
      <c r="AL248" s="8">
        <f>SUM(Table1[[#This Row],[Erect Charges]:[Dismantle Charges]])</f>
        <v>85.99</v>
      </c>
      <c r="AQ248" s="8">
        <f>144*3.28</f>
        <v>472.32</v>
      </c>
    </row>
    <row r="249" spans="1:43" ht="30" customHeight="1" x14ac:dyDescent="0.3">
      <c r="A249" s="90" t="s">
        <v>91</v>
      </c>
      <c r="B249" s="90" t="s">
        <v>98</v>
      </c>
      <c r="C249" s="145">
        <v>30</v>
      </c>
      <c r="D249" s="108">
        <v>77610</v>
      </c>
      <c r="E249" s="108">
        <v>76826</v>
      </c>
      <c r="F249" s="109" t="s">
        <v>401</v>
      </c>
      <c r="G249" s="17" t="s">
        <v>206</v>
      </c>
      <c r="H249" s="108" t="s">
        <v>222</v>
      </c>
      <c r="I249" s="108">
        <v>1</v>
      </c>
      <c r="J249" s="108">
        <v>2.5</v>
      </c>
      <c r="K249" s="108">
        <v>0.9</v>
      </c>
      <c r="L249" s="108">
        <v>1.2</v>
      </c>
      <c r="M249" s="108">
        <v>1</v>
      </c>
      <c r="N249" s="110" t="s">
        <v>223</v>
      </c>
      <c r="O249" s="110">
        <f t="shared" si="30"/>
        <v>1.2</v>
      </c>
      <c r="P249" s="124">
        <v>44869</v>
      </c>
      <c r="Q249" s="124">
        <v>44876</v>
      </c>
      <c r="R249" s="111">
        <v>1</v>
      </c>
      <c r="S249" s="111">
        <v>1</v>
      </c>
      <c r="T249" s="111">
        <v>1</v>
      </c>
      <c r="U249" s="112">
        <f>IF(ISBLANK(Table1[[#This Row],[OHC Date]]),$B$7-Table1[[#This Row],[HOC Date]]+1,Table1[[#This Row],[OHC Date]]-Table1[[#This Row],[HOC Date]]+1)/7</f>
        <v>1.1428571428571428</v>
      </c>
      <c r="V249" s="113">
        <v>63.34</v>
      </c>
      <c r="W249" s="113">
        <v>7.28</v>
      </c>
      <c r="X249" s="113">
        <f>ROUND(0.7*Table1[[#This Row],[E&amp;D Rate per unit]]*R249*Table1[[#This Row],[Quantity]],2)</f>
        <v>53.21</v>
      </c>
      <c r="Y249" s="113">
        <f t="shared" si="31"/>
        <v>9.98</v>
      </c>
      <c r="Z249" s="113">
        <f>ROUND(0.3*T249*Table1[[#This Row],[E&amp;D Rate per unit]]*Table1[[#This Row],[Quantity]],2)</f>
        <v>22.8</v>
      </c>
      <c r="AA249" s="113">
        <v>85.99</v>
      </c>
      <c r="AB249" s="135"/>
      <c r="AC249" s="135">
        <v>85.99</v>
      </c>
      <c r="AD249" s="114"/>
      <c r="AE249" s="153"/>
      <c r="AF249" s="161">
        <f>Table1[[#This Row],[Certified Amount (Cum)]]-Table1[[#This Row],[Certified Amount (Previous)]]</f>
        <v>85.99</v>
      </c>
      <c r="AG249" s="160">
        <f t="shared" si="23"/>
        <v>85.99</v>
      </c>
      <c r="AH249" s="158">
        <f>Table1[[#This Row],[Certified Amount (Cum)]]-Table1[[#This Row],[Total Amount]]</f>
        <v>0</v>
      </c>
      <c r="AK249" s="167">
        <f>Table1[[#This Row],[E&amp;D Rate per unit]]+Table1[[#This Row],[Hire Rate per week]]</f>
        <v>70.62</v>
      </c>
      <c r="AL249" s="8">
        <f>SUM(Table1[[#This Row],[Erect Charges]:[Dismantle Charges]])</f>
        <v>85.99</v>
      </c>
    </row>
    <row r="250" spans="1:43" ht="30" customHeight="1" x14ac:dyDescent="0.3">
      <c r="A250" s="107" t="s">
        <v>97</v>
      </c>
      <c r="B250" s="90" t="s">
        <v>98</v>
      </c>
      <c r="C250" s="145">
        <v>31</v>
      </c>
      <c r="D250" s="108">
        <v>77611</v>
      </c>
      <c r="E250" s="108"/>
      <c r="F250" s="109" t="s">
        <v>283</v>
      </c>
      <c r="G250" s="17" t="s">
        <v>165</v>
      </c>
      <c r="H250" s="108" t="s">
        <v>301</v>
      </c>
      <c r="I250" s="108">
        <v>1</v>
      </c>
      <c r="J250" s="108">
        <v>22</v>
      </c>
      <c r="K250" s="108">
        <v>1.8</v>
      </c>
      <c r="L250" s="108">
        <v>4</v>
      </c>
      <c r="M250" s="108">
        <v>1</v>
      </c>
      <c r="N250" s="110" t="s">
        <v>285</v>
      </c>
      <c r="O250" s="110">
        <f t="shared" si="30"/>
        <v>22</v>
      </c>
      <c r="P250" s="124">
        <v>44869</v>
      </c>
      <c r="Q250" s="124"/>
      <c r="R250" s="111">
        <v>1</v>
      </c>
      <c r="S250" s="111">
        <v>1</v>
      </c>
      <c r="T250" s="111">
        <v>0</v>
      </c>
      <c r="U250" s="112">
        <f>IF(ISBLANK(Table1[[#This Row],[OHC Date]]),$B$7-Table1[[#This Row],[HOC Date]]+1,Table1[[#This Row],[OHC Date]]-Table1[[#This Row],[HOC Date]]+1)/7</f>
        <v>3.1428571428571428</v>
      </c>
      <c r="V250" s="113">
        <v>1002.22</v>
      </c>
      <c r="W250" s="113">
        <v>98.12</v>
      </c>
      <c r="X250" s="113">
        <f>ROUND(0.7*Table1[[#This Row],[E&amp;D Rate per unit]]*R250*Table1[[#This Row],[Quantity]],2)</f>
        <v>15434.19</v>
      </c>
      <c r="Y250" s="113">
        <f t="shared" si="31"/>
        <v>6784.3</v>
      </c>
      <c r="Z250" s="113">
        <f>ROUND(0.3*T250*Table1[[#This Row],[E&amp;D Rate per unit]]*Table1[[#This Row],[Quantity]],2)</f>
        <v>0</v>
      </c>
      <c r="AA250" s="113">
        <v>22218.49</v>
      </c>
      <c r="AB250" s="135"/>
      <c r="AC250" s="135">
        <v>22218.49</v>
      </c>
      <c r="AD250" s="114" t="s">
        <v>284</v>
      </c>
      <c r="AE250" s="168"/>
      <c r="AF250" s="164">
        <f>Table1[[#This Row],[Certified Amount (Cum)]]-Table1[[#This Row],[Certified Amount (Previous)]]</f>
        <v>22218.49</v>
      </c>
      <c r="AG250" s="160">
        <f t="shared" si="23"/>
        <v>22218.49</v>
      </c>
      <c r="AH250" s="165">
        <f>Table1[[#This Row],[Certified Amount (Cum)]]-Table1[[#This Row],[Total Amount]]</f>
        <v>0</v>
      </c>
      <c r="AK250" s="167">
        <f>Table1[[#This Row],[E&amp;D Rate per unit]]+Table1[[#This Row],[Hire Rate per week]]</f>
        <v>1100.3400000000001</v>
      </c>
      <c r="AL250" s="8">
        <f>SUM(Table1[[#This Row],[Erect Charges]:[Dismantle Charges]])</f>
        <v>22218.49</v>
      </c>
      <c r="AN250" s="8">
        <f>0.77+8.82+1.82+17.15</f>
        <v>28.56</v>
      </c>
    </row>
    <row r="251" spans="1:43" ht="30" customHeight="1" x14ac:dyDescent="0.3">
      <c r="A251" s="107" t="s">
        <v>97</v>
      </c>
      <c r="B251" s="90" t="s">
        <v>98</v>
      </c>
      <c r="C251" s="108">
        <v>31</v>
      </c>
      <c r="D251" s="108"/>
      <c r="E251" s="108"/>
      <c r="F251" s="109" t="s">
        <v>283</v>
      </c>
      <c r="G251" s="17" t="s">
        <v>165</v>
      </c>
      <c r="H251" s="108" t="s">
        <v>300</v>
      </c>
      <c r="I251" s="108">
        <v>1</v>
      </c>
      <c r="J251" s="108"/>
      <c r="K251" s="108"/>
      <c r="L251" s="108"/>
      <c r="M251" s="108"/>
      <c r="N251" s="110" t="s">
        <v>56</v>
      </c>
      <c r="O251" s="110">
        <f>ROUND(IF(N251="m3",I251*J251*K251*L251,IF(N251="m2-LxH",I251*J251*L251,IF(N251="m2-LxW",I251*J251*K251,IF(N251="rm",I251*L251,IF(N251="lm",I251*J251,IF(N251="unit",I251,"NA")))))),2)</f>
        <v>1</v>
      </c>
      <c r="P251" s="124">
        <v>44869</v>
      </c>
      <c r="Q251" s="124"/>
      <c r="R251" s="111">
        <v>1</v>
      </c>
      <c r="S251" s="111">
        <v>1</v>
      </c>
      <c r="T251" s="111">
        <v>0</v>
      </c>
      <c r="U251" s="112">
        <f>IF(ISBLANK(Table1[[#This Row],[OHC Date]]),$B$7-Table1[[#This Row],[HOC Date]]+1,Table1[[#This Row],[OHC Date]]-Table1[[#This Row],[HOC Date]]+1)/7</f>
        <v>3.1428571428571428</v>
      </c>
      <c r="V251" s="113">
        <v>1230</v>
      </c>
      <c r="W251" s="113">
        <v>0</v>
      </c>
      <c r="X251" s="113">
        <v>1230</v>
      </c>
      <c r="Y251" s="113">
        <f>ROUND(O251*U251*W251*S251,2)</f>
        <v>0</v>
      </c>
      <c r="Z251" s="113">
        <f>ROUND(0.3*T251*Table1[[#This Row],[E&amp;D Rate per unit]]*Table1[[#This Row],[Quantity]],2)</f>
        <v>0</v>
      </c>
      <c r="AA251" s="113">
        <v>1230</v>
      </c>
      <c r="AB251" s="135"/>
      <c r="AC251" s="135">
        <v>1230</v>
      </c>
      <c r="AD251" s="114" t="s">
        <v>299</v>
      </c>
      <c r="AE251" s="168"/>
      <c r="AF251" s="164">
        <f>Table1[[#This Row],[Certified Amount (Cum)]]-Table1[[#This Row],[Certified Amount (Previous)]]</f>
        <v>1230</v>
      </c>
      <c r="AG251" s="165">
        <f t="shared" si="23"/>
        <v>1230</v>
      </c>
      <c r="AH251" s="165">
        <f>Table1[[#This Row],[Certified Amount (Cum)]]-Table1[[#This Row],[Total Amount]]</f>
        <v>0</v>
      </c>
      <c r="AK251" s="167">
        <f>Table1[[#This Row],[E&amp;D Rate per unit]]+Table1[[#This Row],[Hire Rate per week]]</f>
        <v>1230</v>
      </c>
      <c r="AL251" s="8">
        <f>SUM(Table1[[#This Row],[Erect Charges]:[Dismantle Charges]])</f>
        <v>1230</v>
      </c>
    </row>
    <row r="252" spans="1:43" ht="30" customHeight="1" x14ac:dyDescent="0.3">
      <c r="A252" s="90" t="s">
        <v>91</v>
      </c>
      <c r="B252" s="90" t="s">
        <v>98</v>
      </c>
      <c r="C252" s="145" t="s">
        <v>402</v>
      </c>
      <c r="D252" s="108">
        <v>77612</v>
      </c>
      <c r="E252" s="108">
        <v>76822</v>
      </c>
      <c r="F252" s="109" t="s">
        <v>283</v>
      </c>
      <c r="G252" s="17" t="s">
        <v>165</v>
      </c>
      <c r="H252" s="108" t="s">
        <v>178</v>
      </c>
      <c r="I252" s="108">
        <v>1</v>
      </c>
      <c r="J252" s="108">
        <v>22</v>
      </c>
      <c r="K252" s="108">
        <v>1</v>
      </c>
      <c r="L252" s="108">
        <v>1</v>
      </c>
      <c r="M252" s="108">
        <v>1</v>
      </c>
      <c r="N252" s="110" t="s">
        <v>162</v>
      </c>
      <c r="O252" s="110">
        <f t="shared" si="30"/>
        <v>22</v>
      </c>
      <c r="P252" s="124">
        <v>44869</v>
      </c>
      <c r="Q252" s="124">
        <v>44876</v>
      </c>
      <c r="R252" s="111">
        <v>1</v>
      </c>
      <c r="S252" s="111">
        <v>1</v>
      </c>
      <c r="T252" s="111">
        <v>1</v>
      </c>
      <c r="U252" s="112">
        <f>IF(ISBLANK(Table1[[#This Row],[OHC Date]]),$B$7-Table1[[#This Row],[HOC Date]]+1,Table1[[#This Row],[OHC Date]]-Table1[[#This Row],[HOC Date]]+1)/7</f>
        <v>1.1428571428571428</v>
      </c>
      <c r="V252" s="113">
        <v>6.63</v>
      </c>
      <c r="W252" s="113">
        <v>0.7</v>
      </c>
      <c r="X252" s="113">
        <f>ROUND(0.7*Table1[[#This Row],[E&amp;D Rate per unit]]*R252*Table1[[#This Row],[Quantity]],2)</f>
        <v>102.1</v>
      </c>
      <c r="Y252" s="113">
        <f t="shared" si="31"/>
        <v>17.600000000000001</v>
      </c>
      <c r="Z252" s="113">
        <f>ROUND(0.3*T252*Table1[[#This Row],[E&amp;D Rate per unit]]*Table1[[#This Row],[Quantity]],2)</f>
        <v>43.76</v>
      </c>
      <c r="AA252" s="113">
        <v>163.46</v>
      </c>
      <c r="AB252" s="135"/>
      <c r="AC252" s="135">
        <v>163.46</v>
      </c>
      <c r="AD252" s="114"/>
      <c r="AE252" s="153"/>
      <c r="AF252" s="161">
        <f>Table1[[#This Row],[Certified Amount (Cum)]]-Table1[[#This Row],[Certified Amount (Previous)]]</f>
        <v>163.45999999999998</v>
      </c>
      <c r="AG252" s="160">
        <f t="shared" si="23"/>
        <v>163.45999999999998</v>
      </c>
      <c r="AH252" s="158">
        <f>Table1[[#This Row],[Certified Amount (Cum)]]-Table1[[#This Row],[Total Amount]]</f>
        <v>0</v>
      </c>
      <c r="AK252" s="167">
        <f>Table1[[#This Row],[E&amp;D Rate per unit]]+Table1[[#This Row],[Hire Rate per week]]</f>
        <v>7.33</v>
      </c>
      <c r="AL252" s="8">
        <f>SUM(Table1[[#This Row],[Erect Charges]:[Dismantle Charges]])</f>
        <v>163.45999999999998</v>
      </c>
    </row>
    <row r="253" spans="1:43" ht="30" customHeight="1" x14ac:dyDescent="0.3">
      <c r="A253" s="90" t="s">
        <v>91</v>
      </c>
      <c r="B253" s="90" t="s">
        <v>98</v>
      </c>
      <c r="C253" s="145">
        <v>32</v>
      </c>
      <c r="D253" s="108">
        <v>77613</v>
      </c>
      <c r="E253" s="108">
        <v>76814</v>
      </c>
      <c r="F253" s="109" t="s">
        <v>344</v>
      </c>
      <c r="G253" s="17" t="s">
        <v>228</v>
      </c>
      <c r="H253" s="108" t="s">
        <v>207</v>
      </c>
      <c r="I253" s="108">
        <v>1</v>
      </c>
      <c r="J253" s="108">
        <v>3.8</v>
      </c>
      <c r="K253" s="108">
        <v>1.3</v>
      </c>
      <c r="L253" s="108">
        <v>2.5</v>
      </c>
      <c r="M253" s="108">
        <v>1</v>
      </c>
      <c r="N253" s="110" t="s">
        <v>208</v>
      </c>
      <c r="O253" s="110">
        <f t="shared" si="30"/>
        <v>9.5</v>
      </c>
      <c r="P253" s="124">
        <v>44869</v>
      </c>
      <c r="Q253" s="124">
        <v>44875</v>
      </c>
      <c r="R253" s="111">
        <v>1</v>
      </c>
      <c r="S253" s="111">
        <v>1</v>
      </c>
      <c r="T253" s="111">
        <v>1</v>
      </c>
      <c r="U253" s="112">
        <f>IF(ISBLANK(Table1[[#This Row],[OHC Date]]),$B$7-Table1[[#This Row],[HOC Date]]+1,Table1[[#This Row],[OHC Date]]-Table1[[#This Row],[HOC Date]]+1)/7</f>
        <v>1</v>
      </c>
      <c r="V253" s="113">
        <v>12.01</v>
      </c>
      <c r="W253" s="113">
        <v>0.49</v>
      </c>
      <c r="X253" s="113">
        <f>ROUND(0.7*Table1[[#This Row],[E&amp;D Rate per unit]]*R253*Table1[[#This Row],[Quantity]],2)</f>
        <v>79.87</v>
      </c>
      <c r="Y253" s="113">
        <f t="shared" si="31"/>
        <v>4.66</v>
      </c>
      <c r="Z253" s="113">
        <f>ROUND(0.3*T253*Table1[[#This Row],[E&amp;D Rate per unit]]*Table1[[#This Row],[Quantity]],2)</f>
        <v>34.229999999999997</v>
      </c>
      <c r="AA253" s="113">
        <v>118.76</v>
      </c>
      <c r="AB253" s="135"/>
      <c r="AC253" s="135">
        <v>118.76</v>
      </c>
      <c r="AD253" s="114"/>
      <c r="AE253" s="153"/>
      <c r="AF253" s="161">
        <f>Table1[[#This Row],[Certified Amount (Cum)]]-Table1[[#This Row],[Certified Amount (Previous)]]</f>
        <v>118.75999999999999</v>
      </c>
      <c r="AG253" s="160">
        <f t="shared" si="23"/>
        <v>118.75999999999999</v>
      </c>
      <c r="AH253" s="158">
        <f>Table1[[#This Row],[Certified Amount (Cum)]]-Table1[[#This Row],[Total Amount]]</f>
        <v>0</v>
      </c>
      <c r="AK253" s="167">
        <f>Table1[[#This Row],[E&amp;D Rate per unit]]+Table1[[#This Row],[Hire Rate per week]]</f>
        <v>12.5</v>
      </c>
      <c r="AL253" s="8">
        <f>SUM(Table1[[#This Row],[Erect Charges]:[Dismantle Charges]])</f>
        <v>118.75999999999999</v>
      </c>
    </row>
    <row r="254" spans="1:43" ht="30" customHeight="1" x14ac:dyDescent="0.3">
      <c r="A254" s="90" t="s">
        <v>91</v>
      </c>
      <c r="B254" s="90" t="s">
        <v>98</v>
      </c>
      <c r="C254" s="145" t="s">
        <v>317</v>
      </c>
      <c r="D254" s="108">
        <v>77614</v>
      </c>
      <c r="E254" s="108">
        <v>76815</v>
      </c>
      <c r="F254" s="109" t="s">
        <v>344</v>
      </c>
      <c r="G254" s="17" t="s">
        <v>228</v>
      </c>
      <c r="H254" s="108" t="s">
        <v>222</v>
      </c>
      <c r="I254" s="108">
        <v>1</v>
      </c>
      <c r="J254" s="108">
        <v>2.5</v>
      </c>
      <c r="K254" s="108">
        <v>1.3</v>
      </c>
      <c r="L254" s="108">
        <v>2.2999999999999998</v>
      </c>
      <c r="M254" s="108">
        <v>1</v>
      </c>
      <c r="N254" s="110" t="s">
        <v>223</v>
      </c>
      <c r="O254" s="110">
        <f t="shared" si="30"/>
        <v>2.2999999999999998</v>
      </c>
      <c r="P254" s="124">
        <v>44869</v>
      </c>
      <c r="Q254" s="124">
        <v>44875</v>
      </c>
      <c r="R254" s="111">
        <v>1</v>
      </c>
      <c r="S254" s="111">
        <v>1</v>
      </c>
      <c r="T254" s="111">
        <v>1</v>
      </c>
      <c r="U254" s="112">
        <f>IF(ISBLANK(Table1[[#This Row],[OHC Date]]),$B$7-Table1[[#This Row],[HOC Date]]+1,Table1[[#This Row],[OHC Date]]-Table1[[#This Row],[HOC Date]]+1)/7</f>
        <v>1</v>
      </c>
      <c r="V254" s="113">
        <v>63.34</v>
      </c>
      <c r="W254" s="113">
        <v>7.28</v>
      </c>
      <c r="X254" s="113">
        <f>ROUND(0.7*Table1[[#This Row],[E&amp;D Rate per unit]]*R254*Table1[[#This Row],[Quantity]],2)</f>
        <v>101.98</v>
      </c>
      <c r="Y254" s="113">
        <f t="shared" si="31"/>
        <v>16.739999999999998</v>
      </c>
      <c r="Z254" s="113">
        <f>ROUND(0.3*T254*Table1[[#This Row],[E&amp;D Rate per unit]]*Table1[[#This Row],[Quantity]],2)</f>
        <v>43.7</v>
      </c>
      <c r="AA254" s="113">
        <v>162.41999999999999</v>
      </c>
      <c r="AB254" s="135"/>
      <c r="AC254" s="135">
        <v>162.41999999999999</v>
      </c>
      <c r="AD254" s="114"/>
      <c r="AE254" s="153"/>
      <c r="AF254" s="161">
        <f>Table1[[#This Row],[Certified Amount (Cum)]]-Table1[[#This Row],[Certified Amount (Previous)]]</f>
        <v>162.42000000000002</v>
      </c>
      <c r="AG254" s="160">
        <f t="shared" si="23"/>
        <v>162.42000000000002</v>
      </c>
      <c r="AH254" s="158">
        <f>Table1[[#This Row],[Certified Amount (Cum)]]-Table1[[#This Row],[Total Amount]]</f>
        <v>0</v>
      </c>
      <c r="AK254" s="167">
        <f>Table1[[#This Row],[E&amp;D Rate per unit]]+Table1[[#This Row],[Hire Rate per week]]</f>
        <v>70.62</v>
      </c>
      <c r="AL254" s="8">
        <f>SUM(Table1[[#This Row],[Erect Charges]:[Dismantle Charges]])</f>
        <v>162.42000000000002</v>
      </c>
    </row>
    <row r="255" spans="1:43" ht="30" customHeight="1" x14ac:dyDescent="0.3">
      <c r="A255" s="90" t="s">
        <v>91</v>
      </c>
      <c r="B255" s="90" t="s">
        <v>98</v>
      </c>
      <c r="C255" s="145">
        <v>33</v>
      </c>
      <c r="D255" s="108">
        <v>77615</v>
      </c>
      <c r="E255" s="108">
        <v>76827</v>
      </c>
      <c r="F255" s="109" t="s">
        <v>401</v>
      </c>
      <c r="G255" s="17" t="s">
        <v>206</v>
      </c>
      <c r="H255" s="108" t="s">
        <v>207</v>
      </c>
      <c r="I255" s="108">
        <v>1</v>
      </c>
      <c r="J255" s="108">
        <v>3</v>
      </c>
      <c r="K255" s="108">
        <v>0.5</v>
      </c>
      <c r="L255" s="108">
        <v>1.5</v>
      </c>
      <c r="M255" s="108">
        <v>1</v>
      </c>
      <c r="N255" s="110" t="s">
        <v>208</v>
      </c>
      <c r="O255" s="110">
        <f t="shared" si="30"/>
        <v>4.5</v>
      </c>
      <c r="P255" s="124">
        <v>44869</v>
      </c>
      <c r="Q255" s="124">
        <v>44876</v>
      </c>
      <c r="R255" s="111">
        <v>1</v>
      </c>
      <c r="S255" s="111">
        <v>1</v>
      </c>
      <c r="T255" s="111">
        <v>1</v>
      </c>
      <c r="U255" s="112">
        <f>IF(ISBLANK(Table1[[#This Row],[OHC Date]]),$B$7-Table1[[#This Row],[HOC Date]]+1,Table1[[#This Row],[OHC Date]]-Table1[[#This Row],[HOC Date]]+1)/7</f>
        <v>1.1428571428571428</v>
      </c>
      <c r="V255" s="113">
        <v>12.01</v>
      </c>
      <c r="W255" s="113">
        <v>0.49</v>
      </c>
      <c r="X255" s="113">
        <f>ROUND(0.7*Table1[[#This Row],[E&amp;D Rate per unit]]*R255*Table1[[#This Row],[Quantity]],2)</f>
        <v>37.83</v>
      </c>
      <c r="Y255" s="113">
        <f t="shared" si="31"/>
        <v>2.52</v>
      </c>
      <c r="Z255" s="113">
        <f>ROUND(0.3*T255*Table1[[#This Row],[E&amp;D Rate per unit]]*Table1[[#This Row],[Quantity]],2)</f>
        <v>16.21</v>
      </c>
      <c r="AA255" s="113">
        <v>56.56</v>
      </c>
      <c r="AB255" s="135"/>
      <c r="AC255" s="135">
        <v>56.56</v>
      </c>
      <c r="AD255" s="114"/>
      <c r="AE255" s="153"/>
      <c r="AF255" s="161">
        <f>Table1[[#This Row],[Certified Amount (Cum)]]-Table1[[#This Row],[Certified Amount (Previous)]]</f>
        <v>56.56</v>
      </c>
      <c r="AG255" s="160">
        <f t="shared" si="23"/>
        <v>56.56</v>
      </c>
      <c r="AH255" s="158">
        <f>Table1[[#This Row],[Certified Amount (Cum)]]-Table1[[#This Row],[Total Amount]]</f>
        <v>0</v>
      </c>
      <c r="AK255" s="167">
        <f>Table1[[#This Row],[E&amp;D Rate per unit]]+Table1[[#This Row],[Hire Rate per week]]</f>
        <v>12.5</v>
      </c>
      <c r="AL255" s="8">
        <f>SUM(Table1[[#This Row],[Erect Charges]:[Dismantle Charges]])</f>
        <v>56.56</v>
      </c>
    </row>
    <row r="256" spans="1:43" ht="30" customHeight="1" x14ac:dyDescent="0.3">
      <c r="A256" s="90" t="s">
        <v>91</v>
      </c>
      <c r="B256" s="90" t="s">
        <v>98</v>
      </c>
      <c r="C256" s="145">
        <v>34</v>
      </c>
      <c r="D256" s="108">
        <v>77616</v>
      </c>
      <c r="E256" s="108"/>
      <c r="F256" s="109" t="s">
        <v>344</v>
      </c>
      <c r="G256" s="17" t="s">
        <v>228</v>
      </c>
      <c r="H256" s="108" t="s">
        <v>120</v>
      </c>
      <c r="I256" s="108">
        <v>1</v>
      </c>
      <c r="J256" s="108">
        <v>3.8</v>
      </c>
      <c r="K256" s="108">
        <v>2.5</v>
      </c>
      <c r="L256" s="108">
        <v>3</v>
      </c>
      <c r="M256" s="108">
        <v>1</v>
      </c>
      <c r="N256" s="110" t="s">
        <v>208</v>
      </c>
      <c r="O256" s="110">
        <f t="shared" si="30"/>
        <v>11.4</v>
      </c>
      <c r="P256" s="124">
        <v>44872</v>
      </c>
      <c r="Q256" s="124"/>
      <c r="R256" s="111">
        <v>1</v>
      </c>
      <c r="S256" s="111">
        <v>1</v>
      </c>
      <c r="T256" s="111">
        <v>0</v>
      </c>
      <c r="U256" s="112">
        <f>IF(ISBLANK(Table1[[#This Row],[OHC Date]]),$B$7-Table1[[#This Row],[HOC Date]]+1,Table1[[#This Row],[OHC Date]]-Table1[[#This Row],[HOC Date]]+1)/7</f>
        <v>2.7142857142857144</v>
      </c>
      <c r="V256" s="113">
        <v>16.760000000000002</v>
      </c>
      <c r="W256" s="113">
        <v>0.77</v>
      </c>
      <c r="X256" s="113">
        <f>ROUND(0.7*Table1[[#This Row],[E&amp;D Rate per unit]]*R256*Table1[[#This Row],[Quantity]],2)</f>
        <v>133.74</v>
      </c>
      <c r="Y256" s="113">
        <f t="shared" si="31"/>
        <v>23.83</v>
      </c>
      <c r="Z256" s="113">
        <f>ROUND(0.3*T256*Table1[[#This Row],[E&amp;D Rate per unit]]*Table1[[#This Row],[Quantity]],2)</f>
        <v>0</v>
      </c>
      <c r="AA256" s="113">
        <v>157.57</v>
      </c>
      <c r="AB256" s="135"/>
      <c r="AC256" s="135">
        <v>157.57</v>
      </c>
      <c r="AD256" s="114"/>
      <c r="AE256" s="153"/>
      <c r="AF256" s="161">
        <f>Table1[[#This Row],[Certified Amount (Cum)]]-Table1[[#This Row],[Certified Amount (Previous)]]</f>
        <v>157.57</v>
      </c>
      <c r="AG256" s="160">
        <f t="shared" si="23"/>
        <v>157.57</v>
      </c>
      <c r="AH256" s="158">
        <f>Table1[[#This Row],[Certified Amount (Cum)]]-Table1[[#This Row],[Total Amount]]</f>
        <v>0</v>
      </c>
      <c r="AK256" s="167">
        <f>Table1[[#This Row],[E&amp;D Rate per unit]]+Table1[[#This Row],[Hire Rate per week]]</f>
        <v>17.53</v>
      </c>
      <c r="AL256" s="8">
        <f>SUM(Table1[[#This Row],[Erect Charges]:[Dismantle Charges]])</f>
        <v>157.57</v>
      </c>
    </row>
    <row r="257" spans="1:44" ht="30" customHeight="1" x14ac:dyDescent="0.3">
      <c r="A257" s="90" t="s">
        <v>91</v>
      </c>
      <c r="B257" s="90" t="s">
        <v>98</v>
      </c>
      <c r="C257" s="145">
        <v>35</v>
      </c>
      <c r="D257" s="108">
        <v>77617</v>
      </c>
      <c r="E257" s="108"/>
      <c r="F257" s="109" t="s">
        <v>344</v>
      </c>
      <c r="G257" s="17" t="s">
        <v>228</v>
      </c>
      <c r="H257" s="108" t="s">
        <v>222</v>
      </c>
      <c r="I257" s="108">
        <v>1</v>
      </c>
      <c r="J257" s="108">
        <v>2.5</v>
      </c>
      <c r="K257" s="108">
        <v>1.3</v>
      </c>
      <c r="L257" s="108">
        <v>3.2</v>
      </c>
      <c r="M257" s="108">
        <v>1</v>
      </c>
      <c r="N257" s="110" t="s">
        <v>223</v>
      </c>
      <c r="O257" s="110">
        <f t="shared" si="30"/>
        <v>3.2</v>
      </c>
      <c r="P257" s="124">
        <v>44873</v>
      </c>
      <c r="Q257" s="124"/>
      <c r="R257" s="111">
        <v>1</v>
      </c>
      <c r="S257" s="111">
        <v>1</v>
      </c>
      <c r="T257" s="111">
        <v>0</v>
      </c>
      <c r="U257" s="112">
        <f>IF(ISBLANK(Table1[[#This Row],[OHC Date]]),$B$7-Table1[[#This Row],[HOC Date]]+1,Table1[[#This Row],[OHC Date]]-Table1[[#This Row],[HOC Date]]+1)/7</f>
        <v>2.5714285714285716</v>
      </c>
      <c r="V257" s="113">
        <v>63.34</v>
      </c>
      <c r="W257" s="113">
        <v>7.28</v>
      </c>
      <c r="X257" s="113">
        <f>ROUND(0.7*Table1[[#This Row],[E&amp;D Rate per unit]]*R257*Table1[[#This Row],[Quantity]],2)</f>
        <v>141.88</v>
      </c>
      <c r="Y257" s="113">
        <f t="shared" si="31"/>
        <v>59.9</v>
      </c>
      <c r="Z257" s="113">
        <f>ROUND(0.3*T257*Table1[[#This Row],[E&amp;D Rate per unit]]*Table1[[#This Row],[Quantity]],2)</f>
        <v>0</v>
      </c>
      <c r="AA257" s="113">
        <v>201.78</v>
      </c>
      <c r="AB257" s="135"/>
      <c r="AC257" s="135">
        <v>201.78</v>
      </c>
      <c r="AD257" s="114"/>
      <c r="AE257" s="153"/>
      <c r="AF257" s="161">
        <f>Table1[[#This Row],[Certified Amount (Cum)]]-Table1[[#This Row],[Certified Amount (Previous)]]</f>
        <v>201.78</v>
      </c>
      <c r="AG257" s="160">
        <f t="shared" si="23"/>
        <v>201.78</v>
      </c>
      <c r="AH257" s="158">
        <f>Table1[[#This Row],[Certified Amount (Cum)]]-Table1[[#This Row],[Total Amount]]</f>
        <v>0</v>
      </c>
      <c r="AK257" s="167">
        <f>Table1[[#This Row],[E&amp;D Rate per unit]]+Table1[[#This Row],[Hire Rate per week]]</f>
        <v>70.62</v>
      </c>
      <c r="AL257" s="8">
        <f>SUM(Table1[[#This Row],[Erect Charges]:[Dismantle Charges]])</f>
        <v>201.78</v>
      </c>
    </row>
    <row r="258" spans="1:44" ht="30" customHeight="1" x14ac:dyDescent="0.3">
      <c r="A258" s="90" t="s">
        <v>275</v>
      </c>
      <c r="B258" s="90" t="s">
        <v>98</v>
      </c>
      <c r="C258" s="147">
        <v>36</v>
      </c>
      <c r="D258" s="16">
        <v>77618</v>
      </c>
      <c r="E258" s="16"/>
      <c r="F258" s="17" t="s">
        <v>277</v>
      </c>
      <c r="G258" s="17" t="s">
        <v>403</v>
      </c>
      <c r="H258" s="16" t="s">
        <v>120</v>
      </c>
      <c r="I258" s="16">
        <v>1</v>
      </c>
      <c r="J258" s="16">
        <v>6</v>
      </c>
      <c r="K258" s="16">
        <v>1.8</v>
      </c>
      <c r="L258" s="16">
        <v>7</v>
      </c>
      <c r="M258" s="16">
        <v>1</v>
      </c>
      <c r="N258" s="91" t="s">
        <v>56</v>
      </c>
      <c r="O258" s="91">
        <f t="shared" si="30"/>
        <v>1</v>
      </c>
      <c r="P258" s="18">
        <v>44874</v>
      </c>
      <c r="Q258" s="18"/>
      <c r="R258" s="19">
        <v>1</v>
      </c>
      <c r="S258" s="19">
        <v>1</v>
      </c>
      <c r="T258" s="19">
        <v>0</v>
      </c>
      <c r="U258" s="20">
        <f>IF(ISBLANK(Table1[[#This Row],[OHC Date]]),$B$7-Table1[[#This Row],[HOC Date]]+1,Table1[[#This Row],[OHC Date]]-Table1[[#This Row],[HOC Date]]+1)/7</f>
        <v>2.4285714285714284</v>
      </c>
      <c r="V258" s="21">
        <v>5277.5</v>
      </c>
      <c r="W258" s="21">
        <v>48.26</v>
      </c>
      <c r="X258" s="21">
        <f>ROUND(0.7*Table1[[#This Row],[E&amp;D Rate per unit]]*R258*Table1[[#This Row],[Quantity]],2)</f>
        <v>3694.25</v>
      </c>
      <c r="Y258" s="21">
        <f t="shared" si="31"/>
        <v>117.2</v>
      </c>
      <c r="Z258" s="21">
        <f>ROUND(0.3*T258*Table1[[#This Row],[E&amp;D Rate per unit]]*Table1[[#This Row],[Quantity]],2)</f>
        <v>0</v>
      </c>
      <c r="AA258" s="21">
        <v>3811.45</v>
      </c>
      <c r="AB258" s="138"/>
      <c r="AC258" s="138">
        <v>3811.45</v>
      </c>
      <c r="AD258" s="141" t="s">
        <v>404</v>
      </c>
      <c r="AE258" s="175"/>
      <c r="AF258" s="171">
        <f>Table1[[#This Row],[Certified Amount (Cum)]]-Table1[[#This Row],[Certified Amount (Previous)]]</f>
        <v>3811.45</v>
      </c>
      <c r="AG258" s="172">
        <f t="shared" si="23"/>
        <v>3811.45</v>
      </c>
      <c r="AH258" s="172">
        <f>Table1[[#This Row],[Certified Amount (Cum)]]-Table1[[#This Row],[Total Amount]]</f>
        <v>0</v>
      </c>
      <c r="AK258" s="167">
        <f>Table1[[#This Row],[E&amp;D Rate per unit]]+Table1[[#This Row],[Hire Rate per week]]</f>
        <v>5325.76</v>
      </c>
      <c r="AL258" s="8">
        <f>SUM(Table1[[#This Row],[Erect Charges]:[Dismantle Charges]])</f>
        <v>3811.45</v>
      </c>
    </row>
    <row r="259" spans="1:44" ht="30" customHeight="1" x14ac:dyDescent="0.3">
      <c r="A259" s="90" t="s">
        <v>91</v>
      </c>
      <c r="B259" s="90" t="s">
        <v>98</v>
      </c>
      <c r="C259" s="147" t="s">
        <v>405</v>
      </c>
      <c r="D259" s="108">
        <v>77619</v>
      </c>
      <c r="E259" s="108"/>
      <c r="F259" s="109" t="s">
        <v>406</v>
      </c>
      <c r="G259" s="17" t="s">
        <v>253</v>
      </c>
      <c r="H259" s="108" t="s">
        <v>128</v>
      </c>
      <c r="I259" s="108">
        <v>1</v>
      </c>
      <c r="J259" s="108">
        <v>1.5</v>
      </c>
      <c r="K259" s="108">
        <v>0.5</v>
      </c>
      <c r="L259" s="108">
        <v>1</v>
      </c>
      <c r="M259" s="108">
        <v>1</v>
      </c>
      <c r="N259" s="110" t="s">
        <v>162</v>
      </c>
      <c r="O259" s="110">
        <f t="shared" si="30"/>
        <v>0.75</v>
      </c>
      <c r="P259" s="124">
        <v>44874</v>
      </c>
      <c r="Q259" s="124"/>
      <c r="R259" s="111">
        <v>1</v>
      </c>
      <c r="S259" s="111">
        <v>1</v>
      </c>
      <c r="T259" s="111">
        <v>0</v>
      </c>
      <c r="U259" s="112">
        <f>IF(ISBLANK(Table1[[#This Row],[OHC Date]]),$B$7-Table1[[#This Row],[HOC Date]]+1,Table1[[#This Row],[OHC Date]]-Table1[[#This Row],[HOC Date]]+1)/7</f>
        <v>2.4285714285714284</v>
      </c>
      <c r="V259" s="113">
        <v>32.75</v>
      </c>
      <c r="W259" s="113">
        <v>1.05</v>
      </c>
      <c r="X259" s="113">
        <f>ROUND(0.7*Table1[[#This Row],[E&amp;D Rate per unit]]*R259*Table1[[#This Row],[Quantity]],2)</f>
        <v>17.190000000000001</v>
      </c>
      <c r="Y259" s="113">
        <f t="shared" si="31"/>
        <v>1.91</v>
      </c>
      <c r="Z259" s="113">
        <f>ROUND(0.3*T259*Table1[[#This Row],[E&amp;D Rate per unit]]*Table1[[#This Row],[Quantity]],2)</f>
        <v>0</v>
      </c>
      <c r="AA259" s="113">
        <v>19.100000000000001</v>
      </c>
      <c r="AB259" s="135"/>
      <c r="AC259" s="135">
        <v>19.100000000000001</v>
      </c>
      <c r="AD259" s="114"/>
      <c r="AE259" s="153"/>
      <c r="AF259" s="161">
        <f>Table1[[#This Row],[Certified Amount (Cum)]]-Table1[[#This Row],[Certified Amount (Previous)]]</f>
        <v>19.100000000000001</v>
      </c>
      <c r="AG259" s="160">
        <f t="shared" si="23"/>
        <v>19.100000000000001</v>
      </c>
      <c r="AH259" s="158">
        <f>Table1[[#This Row],[Certified Amount (Cum)]]-Table1[[#This Row],[Total Amount]]</f>
        <v>0</v>
      </c>
      <c r="AK259" s="167">
        <f>Table1[[#This Row],[E&amp;D Rate per unit]]+Table1[[#This Row],[Hire Rate per week]]</f>
        <v>33.799999999999997</v>
      </c>
      <c r="AL259" s="8">
        <f>SUM(Table1[[#This Row],[Erect Charges]:[Dismantle Charges]])</f>
        <v>19.100000000000001</v>
      </c>
    </row>
    <row r="260" spans="1:44" s="159" customFormat="1" ht="30" customHeight="1" x14ac:dyDescent="0.3">
      <c r="A260" s="90" t="s">
        <v>91</v>
      </c>
      <c r="B260" s="90" t="s">
        <v>98</v>
      </c>
      <c r="C260" s="145" t="s">
        <v>407</v>
      </c>
      <c r="D260" s="108">
        <v>77620</v>
      </c>
      <c r="E260" s="108"/>
      <c r="F260" s="109" t="s">
        <v>283</v>
      </c>
      <c r="G260" s="17" t="s">
        <v>165</v>
      </c>
      <c r="H260" s="173" t="s">
        <v>495</v>
      </c>
      <c r="I260" s="108">
        <v>1</v>
      </c>
      <c r="J260" s="108">
        <v>3</v>
      </c>
      <c r="K260" s="108">
        <v>1.8</v>
      </c>
      <c r="L260" s="108">
        <v>1</v>
      </c>
      <c r="M260" s="108">
        <v>1</v>
      </c>
      <c r="N260" s="110" t="s">
        <v>162</v>
      </c>
      <c r="O260" s="110">
        <f t="shared" si="30"/>
        <v>5.4</v>
      </c>
      <c r="P260" s="124">
        <v>44874</v>
      </c>
      <c r="Q260" s="124"/>
      <c r="R260" s="111">
        <v>1</v>
      </c>
      <c r="S260" s="111">
        <v>1</v>
      </c>
      <c r="T260" s="111">
        <v>0</v>
      </c>
      <c r="U260" s="112">
        <f>IF(ISBLANK(Table1[[#This Row],[OHC Date]]),$B$7-Table1[[#This Row],[HOC Date]]+1,Table1[[#This Row],[OHC Date]]-Table1[[#This Row],[HOC Date]]+1)/7</f>
        <v>2.4285714285714284</v>
      </c>
      <c r="V260" s="113">
        <v>36.520000000000003</v>
      </c>
      <c r="W260" s="113">
        <v>2.94</v>
      </c>
      <c r="X260" s="113">
        <f>ROUND(0.7*Table1[[#This Row],[E&amp;D Rate per unit]]*R260*Table1[[#This Row],[Quantity]],2)</f>
        <v>138.05000000000001</v>
      </c>
      <c r="Y260" s="113">
        <f t="shared" si="31"/>
        <v>38.56</v>
      </c>
      <c r="Z260" s="113">
        <f>ROUND(0.3*T260*Table1[[#This Row],[E&amp;D Rate per unit]]*Table1[[#This Row],[Quantity]],2)</f>
        <v>0</v>
      </c>
      <c r="AA260" s="113">
        <v>176.61</v>
      </c>
      <c r="AB260" s="135"/>
      <c r="AC260" s="135">
        <v>176.61</v>
      </c>
      <c r="AD260" s="114"/>
      <c r="AE260" s="168"/>
      <c r="AF260" s="164">
        <f>Table1[[#This Row],[Certified Amount (Cum)]]-Table1[[#This Row],[Certified Amount (Previous)]]</f>
        <v>176.61</v>
      </c>
      <c r="AG260" s="165">
        <f t="shared" si="23"/>
        <v>176.61</v>
      </c>
      <c r="AH260" s="165">
        <f>Table1[[#This Row],[Certified Amount (Cum)]]-Table1[[#This Row],[Total Amount]]</f>
        <v>0</v>
      </c>
      <c r="AK260" s="174">
        <f>Table1[[#This Row],[E&amp;D Rate per unit]]+Table1[[#This Row],[Hire Rate per week]]</f>
        <v>39.46</v>
      </c>
      <c r="AL260" s="159">
        <f>SUM(Table1[[#This Row],[Erect Charges]:[Dismantle Charges]])</f>
        <v>176.61</v>
      </c>
      <c r="AR260" s="183"/>
    </row>
    <row r="261" spans="1:44" s="159" customFormat="1" ht="30" customHeight="1" x14ac:dyDescent="0.3">
      <c r="A261" s="90" t="s">
        <v>91</v>
      </c>
      <c r="B261" s="90" t="s">
        <v>98</v>
      </c>
      <c r="C261" s="145" t="s">
        <v>408</v>
      </c>
      <c r="D261" s="108">
        <v>77621</v>
      </c>
      <c r="E261" s="108"/>
      <c r="F261" s="109" t="s">
        <v>283</v>
      </c>
      <c r="G261" s="17" t="s">
        <v>165</v>
      </c>
      <c r="H261" s="173" t="s">
        <v>495</v>
      </c>
      <c r="I261" s="108">
        <v>1</v>
      </c>
      <c r="J261" s="108">
        <v>1.8</v>
      </c>
      <c r="K261" s="108">
        <v>1.5</v>
      </c>
      <c r="L261" s="108">
        <v>1</v>
      </c>
      <c r="M261" s="108">
        <v>1</v>
      </c>
      <c r="N261" s="110" t="s">
        <v>162</v>
      </c>
      <c r="O261" s="110">
        <f t="shared" si="30"/>
        <v>2.7</v>
      </c>
      <c r="P261" s="124">
        <v>44874</v>
      </c>
      <c r="Q261" s="124"/>
      <c r="R261" s="111">
        <v>1</v>
      </c>
      <c r="S261" s="111">
        <v>1</v>
      </c>
      <c r="T261" s="111">
        <v>0</v>
      </c>
      <c r="U261" s="112">
        <f>IF(ISBLANK(Table1[[#This Row],[OHC Date]]),$B$7-Table1[[#This Row],[HOC Date]]+1,Table1[[#This Row],[OHC Date]]-Table1[[#This Row],[HOC Date]]+1)/7</f>
        <v>2.4285714285714284</v>
      </c>
      <c r="V261" s="113">
        <v>36.520000000000003</v>
      </c>
      <c r="W261" s="113">
        <v>2.94</v>
      </c>
      <c r="X261" s="113">
        <f>ROUND(0.7*Table1[[#This Row],[E&amp;D Rate per unit]]*R261*Table1[[#This Row],[Quantity]],2)</f>
        <v>69.02</v>
      </c>
      <c r="Y261" s="113">
        <f t="shared" si="31"/>
        <v>19.28</v>
      </c>
      <c r="Z261" s="113">
        <f>ROUND(0.3*T261*Table1[[#This Row],[E&amp;D Rate per unit]]*Table1[[#This Row],[Quantity]],2)</f>
        <v>0</v>
      </c>
      <c r="AA261" s="113">
        <v>88.3</v>
      </c>
      <c r="AB261" s="135"/>
      <c r="AC261" s="135">
        <v>88.3</v>
      </c>
      <c r="AD261" s="114"/>
      <c r="AE261" s="168"/>
      <c r="AF261" s="164">
        <f>Table1[[#This Row],[Certified Amount (Cum)]]-Table1[[#This Row],[Certified Amount (Previous)]]</f>
        <v>88.3</v>
      </c>
      <c r="AG261" s="165">
        <f t="shared" si="23"/>
        <v>88.3</v>
      </c>
      <c r="AH261" s="165">
        <f>Table1[[#This Row],[Certified Amount (Cum)]]-Table1[[#This Row],[Total Amount]]</f>
        <v>0</v>
      </c>
      <c r="AK261" s="174">
        <f>Table1[[#This Row],[E&amp;D Rate per unit]]+Table1[[#This Row],[Hire Rate per week]]</f>
        <v>39.46</v>
      </c>
      <c r="AL261" s="159">
        <f>SUM(Table1[[#This Row],[Erect Charges]:[Dismantle Charges]])</f>
        <v>88.3</v>
      </c>
      <c r="AR261" s="183"/>
    </row>
    <row r="262" spans="1:44" ht="30" customHeight="1" x14ac:dyDescent="0.3">
      <c r="A262" s="90" t="s">
        <v>91</v>
      </c>
      <c r="B262" s="90" t="s">
        <v>98</v>
      </c>
      <c r="C262" s="145" t="s">
        <v>409</v>
      </c>
      <c r="D262" s="108">
        <v>77622</v>
      </c>
      <c r="E262" s="108">
        <v>76823</v>
      </c>
      <c r="F262" s="109" t="s">
        <v>310</v>
      </c>
      <c r="G262" s="17" t="s">
        <v>165</v>
      </c>
      <c r="H262" s="108" t="s">
        <v>410</v>
      </c>
      <c r="I262" s="108">
        <v>1</v>
      </c>
      <c r="J262" s="108">
        <v>41</v>
      </c>
      <c r="K262" s="108">
        <v>1</v>
      </c>
      <c r="L262" s="108">
        <v>1</v>
      </c>
      <c r="M262" s="108"/>
      <c r="N262" s="110" t="s">
        <v>285</v>
      </c>
      <c r="O262" s="110">
        <f t="shared" si="30"/>
        <v>41</v>
      </c>
      <c r="P262" s="124">
        <v>44874</v>
      </c>
      <c r="Q262" s="124">
        <v>44876</v>
      </c>
      <c r="R262" s="111">
        <v>1</v>
      </c>
      <c r="S262" s="111">
        <v>1</v>
      </c>
      <c r="T262" s="111">
        <v>1</v>
      </c>
      <c r="U262" s="112">
        <f>IF(ISBLANK(Table1[[#This Row],[OHC Date]]),$B$7-Table1[[#This Row],[HOC Date]]+1,Table1[[#This Row],[OHC Date]]-Table1[[#This Row],[HOC Date]]+1)/7</f>
        <v>0.42857142857142855</v>
      </c>
      <c r="V262" s="113">
        <v>7</v>
      </c>
      <c r="W262" s="113">
        <v>0.42</v>
      </c>
      <c r="X262" s="113">
        <f>ROUND(0.7*Table1[[#This Row],[E&amp;D Rate per unit]]*R262*Table1[[#This Row],[Quantity]],2)</f>
        <v>200.9</v>
      </c>
      <c r="Y262" s="113">
        <f t="shared" si="31"/>
        <v>7.38</v>
      </c>
      <c r="Z262" s="113">
        <f>ROUND(0.3*T262*Table1[[#This Row],[E&amp;D Rate per unit]]*Table1[[#This Row],[Quantity]],2)</f>
        <v>86.1</v>
      </c>
      <c r="AA262" s="113">
        <v>294.38</v>
      </c>
      <c r="AB262" s="135"/>
      <c r="AC262" s="135">
        <v>294.38</v>
      </c>
      <c r="AD262" s="114"/>
      <c r="AE262" s="153"/>
      <c r="AF262" s="161">
        <f>Table1[[#This Row],[Certified Amount (Cum)]]-Table1[[#This Row],[Certified Amount (Previous)]]</f>
        <v>294.38</v>
      </c>
      <c r="AG262" s="160">
        <f t="shared" si="23"/>
        <v>294.38</v>
      </c>
      <c r="AH262" s="158">
        <f>Table1[[#This Row],[Certified Amount (Cum)]]-Table1[[#This Row],[Total Amount]]</f>
        <v>0</v>
      </c>
      <c r="AK262" s="167">
        <f>Table1[[#This Row],[E&amp;D Rate per unit]]+Table1[[#This Row],[Hire Rate per week]]</f>
        <v>7.42</v>
      </c>
      <c r="AL262" s="8">
        <f>SUM(Table1[[#This Row],[Erect Charges]:[Dismantle Charges]])</f>
        <v>294.38</v>
      </c>
    </row>
    <row r="263" spans="1:44" ht="30" customHeight="1" x14ac:dyDescent="0.3">
      <c r="A263" s="90" t="s">
        <v>91</v>
      </c>
      <c r="B263" s="90" t="s">
        <v>98</v>
      </c>
      <c r="C263" s="145">
        <v>37</v>
      </c>
      <c r="D263" s="108">
        <v>77623</v>
      </c>
      <c r="E263" s="108">
        <v>76813</v>
      </c>
      <c r="F263" s="109" t="s">
        <v>411</v>
      </c>
      <c r="G263" s="17" t="s">
        <v>202</v>
      </c>
      <c r="H263" s="108" t="s">
        <v>207</v>
      </c>
      <c r="I263" s="108">
        <v>1</v>
      </c>
      <c r="J263" s="108">
        <v>3</v>
      </c>
      <c r="K263" s="108">
        <v>1.5</v>
      </c>
      <c r="L263" s="108">
        <v>1</v>
      </c>
      <c r="M263" s="108">
        <v>1</v>
      </c>
      <c r="N263" s="110" t="s">
        <v>208</v>
      </c>
      <c r="O263" s="110">
        <f t="shared" si="30"/>
        <v>3</v>
      </c>
      <c r="P263" s="124">
        <v>44874</v>
      </c>
      <c r="Q263" s="124">
        <v>44875</v>
      </c>
      <c r="R263" s="111">
        <v>1</v>
      </c>
      <c r="S263" s="111">
        <v>1</v>
      </c>
      <c r="T263" s="111">
        <v>1</v>
      </c>
      <c r="U263" s="112">
        <f>IF(ISBLANK(Table1[[#This Row],[OHC Date]]),$B$7-Table1[[#This Row],[HOC Date]]+1,Table1[[#This Row],[OHC Date]]-Table1[[#This Row],[HOC Date]]+1)/7</f>
        <v>0.2857142857142857</v>
      </c>
      <c r="V263" s="113">
        <v>12.01</v>
      </c>
      <c r="W263" s="113">
        <v>0.49</v>
      </c>
      <c r="X263" s="113">
        <f>ROUND(0.7*Table1[[#This Row],[E&amp;D Rate per unit]]*R263*Table1[[#This Row],[Quantity]],2)</f>
        <v>25.22</v>
      </c>
      <c r="Y263" s="113">
        <f t="shared" si="31"/>
        <v>0.42</v>
      </c>
      <c r="Z263" s="113">
        <f>ROUND(0.3*T263*Table1[[#This Row],[E&amp;D Rate per unit]]*Table1[[#This Row],[Quantity]],2)</f>
        <v>10.81</v>
      </c>
      <c r="AA263" s="113">
        <v>36.450000000000003</v>
      </c>
      <c r="AB263" s="135"/>
      <c r="AC263" s="135">
        <v>36.450000000000003</v>
      </c>
      <c r="AD263" s="114"/>
      <c r="AE263" s="153"/>
      <c r="AF263" s="161">
        <f>Table1[[#This Row],[Certified Amount (Cum)]]-Table1[[#This Row],[Certified Amount (Previous)]]</f>
        <v>36.450000000000003</v>
      </c>
      <c r="AG263" s="160">
        <f t="shared" si="23"/>
        <v>36.450000000000003</v>
      </c>
      <c r="AH263" s="158">
        <f>Table1[[#This Row],[Certified Amount (Cum)]]-Table1[[#This Row],[Total Amount]]</f>
        <v>0</v>
      </c>
      <c r="AK263" s="167">
        <f>Table1[[#This Row],[E&amp;D Rate per unit]]+Table1[[#This Row],[Hire Rate per week]]</f>
        <v>12.5</v>
      </c>
      <c r="AL263" s="8">
        <f>SUM(Table1[[#This Row],[Erect Charges]:[Dismantle Charges]])</f>
        <v>36.450000000000003</v>
      </c>
    </row>
    <row r="264" spans="1:44" ht="30" customHeight="1" x14ac:dyDescent="0.3">
      <c r="A264" s="90" t="s">
        <v>91</v>
      </c>
      <c r="B264" s="90" t="s">
        <v>98</v>
      </c>
      <c r="C264" s="145" t="s">
        <v>412</v>
      </c>
      <c r="D264" s="108">
        <v>77624</v>
      </c>
      <c r="E264" s="108"/>
      <c r="F264" s="109" t="s">
        <v>396</v>
      </c>
      <c r="G264" s="17" t="s">
        <v>228</v>
      </c>
      <c r="H264" s="108" t="s">
        <v>207</v>
      </c>
      <c r="I264" s="108">
        <v>1</v>
      </c>
      <c r="J264" s="108">
        <v>5</v>
      </c>
      <c r="K264" s="108">
        <v>1.3</v>
      </c>
      <c r="L264" s="108">
        <v>2.2000000000000002</v>
      </c>
      <c r="M264" s="108">
        <v>1</v>
      </c>
      <c r="N264" s="110" t="s">
        <v>208</v>
      </c>
      <c r="O264" s="110">
        <f t="shared" si="30"/>
        <v>11</v>
      </c>
      <c r="P264" s="124">
        <v>44875</v>
      </c>
      <c r="Q264" s="124"/>
      <c r="R264" s="111">
        <v>1</v>
      </c>
      <c r="S264" s="111">
        <v>1</v>
      </c>
      <c r="T264" s="111">
        <v>0</v>
      </c>
      <c r="U264" s="112">
        <f>IF(ISBLANK(Table1[[#This Row],[OHC Date]]),$B$7-Table1[[#This Row],[HOC Date]]+1,Table1[[#This Row],[OHC Date]]-Table1[[#This Row],[HOC Date]]+1)/7</f>
        <v>2.2857142857142856</v>
      </c>
      <c r="V264" s="113">
        <v>12.01</v>
      </c>
      <c r="W264" s="113">
        <v>0.49</v>
      </c>
      <c r="X264" s="113">
        <f>ROUND(0.7*Table1[[#This Row],[E&amp;D Rate per unit]]*R264*Table1[[#This Row],[Quantity]],2)</f>
        <v>92.48</v>
      </c>
      <c r="Y264" s="113">
        <f t="shared" si="31"/>
        <v>12.32</v>
      </c>
      <c r="Z264" s="113">
        <f>ROUND(0.3*T264*Table1[[#This Row],[E&amp;D Rate per unit]]*Table1[[#This Row],[Quantity]],2)</f>
        <v>0</v>
      </c>
      <c r="AA264" s="113">
        <v>104.8</v>
      </c>
      <c r="AB264" s="135"/>
      <c r="AC264" s="135">
        <v>104.8</v>
      </c>
      <c r="AD264" s="114"/>
      <c r="AE264" s="153"/>
      <c r="AF264" s="161">
        <f>Table1[[#This Row],[Certified Amount (Cum)]]-Table1[[#This Row],[Certified Amount (Previous)]]</f>
        <v>104.80000000000001</v>
      </c>
      <c r="AG264" s="160">
        <f t="shared" si="23"/>
        <v>104.80000000000001</v>
      </c>
      <c r="AH264" s="158">
        <f>Table1[[#This Row],[Certified Amount (Cum)]]-Table1[[#This Row],[Total Amount]]</f>
        <v>0</v>
      </c>
      <c r="AK264" s="167">
        <f>Table1[[#This Row],[E&amp;D Rate per unit]]+Table1[[#This Row],[Hire Rate per week]]</f>
        <v>12.5</v>
      </c>
      <c r="AL264" s="8">
        <f>SUM(Table1[[#This Row],[Erect Charges]:[Dismantle Charges]])</f>
        <v>104.80000000000001</v>
      </c>
    </row>
    <row r="265" spans="1:44" ht="30" customHeight="1" x14ac:dyDescent="0.3">
      <c r="A265" s="90" t="s">
        <v>91</v>
      </c>
      <c r="B265" s="90" t="s">
        <v>98</v>
      </c>
      <c r="C265" s="145" t="s">
        <v>413</v>
      </c>
      <c r="D265" s="108">
        <v>77625</v>
      </c>
      <c r="E265" s="108"/>
      <c r="F265" s="109" t="s">
        <v>396</v>
      </c>
      <c r="G265" s="17" t="s">
        <v>228</v>
      </c>
      <c r="H265" s="108" t="s">
        <v>207</v>
      </c>
      <c r="I265" s="108">
        <v>1</v>
      </c>
      <c r="J265" s="108">
        <v>8.3000000000000007</v>
      </c>
      <c r="K265" s="108">
        <v>1.3</v>
      </c>
      <c r="L265" s="108">
        <v>2.2000000000000002</v>
      </c>
      <c r="M265" s="108">
        <v>1</v>
      </c>
      <c r="N265" s="110" t="s">
        <v>208</v>
      </c>
      <c r="O265" s="110">
        <f t="shared" si="30"/>
        <v>18.260000000000002</v>
      </c>
      <c r="P265" s="124">
        <v>44875</v>
      </c>
      <c r="Q265" s="124"/>
      <c r="R265" s="111">
        <v>1</v>
      </c>
      <c r="S265" s="111">
        <v>1</v>
      </c>
      <c r="T265" s="111">
        <v>0</v>
      </c>
      <c r="U265" s="112">
        <f>IF(ISBLANK(Table1[[#This Row],[OHC Date]]),$B$7-Table1[[#This Row],[HOC Date]]+1,Table1[[#This Row],[OHC Date]]-Table1[[#This Row],[HOC Date]]+1)/7</f>
        <v>2.2857142857142856</v>
      </c>
      <c r="V265" s="113">
        <v>12.01</v>
      </c>
      <c r="W265" s="113">
        <v>0.49</v>
      </c>
      <c r="X265" s="113">
        <f>ROUND(0.7*Table1[[#This Row],[E&amp;D Rate per unit]]*R265*Table1[[#This Row],[Quantity]],2)</f>
        <v>153.51</v>
      </c>
      <c r="Y265" s="113">
        <f t="shared" si="31"/>
        <v>20.45</v>
      </c>
      <c r="Z265" s="113">
        <f>ROUND(0.3*T265*Table1[[#This Row],[E&amp;D Rate per unit]]*Table1[[#This Row],[Quantity]],2)</f>
        <v>0</v>
      </c>
      <c r="AA265" s="113">
        <v>173.96</v>
      </c>
      <c r="AB265" s="135"/>
      <c r="AC265" s="135">
        <v>173.96</v>
      </c>
      <c r="AD265" s="114"/>
      <c r="AE265" s="153"/>
      <c r="AF265" s="161">
        <f>Table1[[#This Row],[Certified Amount (Cum)]]-Table1[[#This Row],[Certified Amount (Previous)]]</f>
        <v>173.95999999999998</v>
      </c>
      <c r="AG265" s="160">
        <f t="shared" si="23"/>
        <v>173.95999999999998</v>
      </c>
      <c r="AH265" s="158">
        <f>Table1[[#This Row],[Certified Amount (Cum)]]-Table1[[#This Row],[Total Amount]]</f>
        <v>0</v>
      </c>
      <c r="AK265" s="167">
        <f>Table1[[#This Row],[E&amp;D Rate per unit]]+Table1[[#This Row],[Hire Rate per week]]</f>
        <v>12.5</v>
      </c>
      <c r="AL265" s="8">
        <f>SUM(Table1[[#This Row],[Erect Charges]:[Dismantle Charges]])</f>
        <v>173.95999999999998</v>
      </c>
    </row>
    <row r="266" spans="1:44" ht="30" customHeight="1" x14ac:dyDescent="0.3">
      <c r="A266" s="90" t="s">
        <v>91</v>
      </c>
      <c r="B266" s="90" t="s">
        <v>98</v>
      </c>
      <c r="C266" s="145">
        <v>38</v>
      </c>
      <c r="D266" s="108">
        <v>77626</v>
      </c>
      <c r="E266" s="108"/>
      <c r="F266" s="109" t="s">
        <v>344</v>
      </c>
      <c r="G266" s="17" t="s">
        <v>228</v>
      </c>
      <c r="H266" s="108" t="s">
        <v>207</v>
      </c>
      <c r="I266" s="108">
        <v>1</v>
      </c>
      <c r="J266" s="108">
        <v>3.8</v>
      </c>
      <c r="K266" s="108">
        <v>1.3</v>
      </c>
      <c r="L266" s="108">
        <v>2.8</v>
      </c>
      <c r="M266" s="108">
        <v>1</v>
      </c>
      <c r="N266" s="110" t="s">
        <v>208</v>
      </c>
      <c r="O266" s="110">
        <f t="shared" si="30"/>
        <v>10.64</v>
      </c>
      <c r="P266" s="124">
        <v>44876</v>
      </c>
      <c r="Q266" s="124"/>
      <c r="R266" s="111">
        <v>1</v>
      </c>
      <c r="S266" s="111">
        <v>1</v>
      </c>
      <c r="T266" s="111">
        <v>0</v>
      </c>
      <c r="U266" s="112">
        <f>IF(ISBLANK(Table1[[#This Row],[OHC Date]]),$B$7-Table1[[#This Row],[HOC Date]]+1,Table1[[#This Row],[OHC Date]]-Table1[[#This Row],[HOC Date]]+1)/7</f>
        <v>2.1428571428571428</v>
      </c>
      <c r="V266" s="113">
        <v>12.01</v>
      </c>
      <c r="W266" s="113">
        <v>0.49</v>
      </c>
      <c r="X266" s="113">
        <f>ROUND(0.7*Table1[[#This Row],[E&amp;D Rate per unit]]*R266*Table1[[#This Row],[Quantity]],2)</f>
        <v>89.45</v>
      </c>
      <c r="Y266" s="113">
        <f t="shared" si="31"/>
        <v>11.17</v>
      </c>
      <c r="Z266" s="113">
        <f>ROUND(0.3*T266*Table1[[#This Row],[E&amp;D Rate per unit]]*Table1[[#This Row],[Quantity]],2)</f>
        <v>0</v>
      </c>
      <c r="AA266" s="113">
        <v>100.62</v>
      </c>
      <c r="AB266" s="135"/>
      <c r="AC266" s="135">
        <v>100.62</v>
      </c>
      <c r="AD266" s="114"/>
      <c r="AE266" s="153"/>
      <c r="AF266" s="161">
        <f>Table1[[#This Row],[Certified Amount (Cum)]]-Table1[[#This Row],[Certified Amount (Previous)]]</f>
        <v>100.62</v>
      </c>
      <c r="AG266" s="160">
        <f t="shared" ref="AG266:AG310" si="32">SUM(X266,Y266,Z266)</f>
        <v>100.62</v>
      </c>
      <c r="AH266" s="158">
        <f>Table1[[#This Row],[Certified Amount (Cum)]]-Table1[[#This Row],[Total Amount]]</f>
        <v>0</v>
      </c>
      <c r="AK266" s="167">
        <f>Table1[[#This Row],[E&amp;D Rate per unit]]+Table1[[#This Row],[Hire Rate per week]]</f>
        <v>12.5</v>
      </c>
      <c r="AL266" s="8">
        <f>SUM(Table1[[#This Row],[Erect Charges]:[Dismantle Charges]])</f>
        <v>100.62</v>
      </c>
    </row>
    <row r="267" spans="1:44" ht="30" customHeight="1" x14ac:dyDescent="0.3">
      <c r="A267" s="90" t="s">
        <v>91</v>
      </c>
      <c r="B267" s="90" t="s">
        <v>98</v>
      </c>
      <c r="C267" s="145">
        <v>39</v>
      </c>
      <c r="D267" s="108">
        <v>77627</v>
      </c>
      <c r="E267" s="108">
        <v>80801</v>
      </c>
      <c r="F267" s="109" t="s">
        <v>328</v>
      </c>
      <c r="G267" s="17" t="s">
        <v>202</v>
      </c>
      <c r="H267" s="108" t="s">
        <v>120</v>
      </c>
      <c r="I267" s="108">
        <v>1</v>
      </c>
      <c r="J267" s="108">
        <v>3.8</v>
      </c>
      <c r="K267" s="108">
        <v>2.5</v>
      </c>
      <c r="L267" s="108">
        <v>4</v>
      </c>
      <c r="M267" s="108">
        <v>1</v>
      </c>
      <c r="N267" s="110" t="s">
        <v>208</v>
      </c>
      <c r="O267" s="110">
        <f t="shared" si="30"/>
        <v>15.2</v>
      </c>
      <c r="P267" s="124">
        <v>44876</v>
      </c>
      <c r="Q267" s="124">
        <v>44882</v>
      </c>
      <c r="R267" s="111">
        <v>1</v>
      </c>
      <c r="S267" s="111">
        <v>1</v>
      </c>
      <c r="T267" s="111">
        <v>1</v>
      </c>
      <c r="U267" s="112">
        <f>IF(ISBLANK(Table1[[#This Row],[OHC Date]]),$B$7-Table1[[#This Row],[HOC Date]]+1,Table1[[#This Row],[OHC Date]]-Table1[[#This Row],[HOC Date]]+1)/7</f>
        <v>1</v>
      </c>
      <c r="V267" s="113">
        <v>16.760000000000002</v>
      </c>
      <c r="W267" s="113">
        <v>0.77</v>
      </c>
      <c r="X267" s="113">
        <f>ROUND(0.7*Table1[[#This Row],[E&amp;D Rate per unit]]*R267*Table1[[#This Row],[Quantity]],2)</f>
        <v>178.33</v>
      </c>
      <c r="Y267" s="113">
        <f t="shared" si="31"/>
        <v>11.7</v>
      </c>
      <c r="Z267" s="113">
        <f>ROUND(0.3*T267*Table1[[#This Row],[E&amp;D Rate per unit]]*Table1[[#This Row],[Quantity]],2)</f>
        <v>76.430000000000007</v>
      </c>
      <c r="AA267" s="113">
        <v>266.45999999999998</v>
      </c>
      <c r="AB267" s="135"/>
      <c r="AC267" s="135">
        <v>266.45999999999998</v>
      </c>
      <c r="AD267" s="114"/>
      <c r="AE267" s="153"/>
      <c r="AF267" s="161">
        <f>Table1[[#This Row],[Certified Amount (Cum)]]-Table1[[#This Row],[Certified Amount (Previous)]]</f>
        <v>266.46000000000004</v>
      </c>
      <c r="AG267" s="160">
        <f t="shared" si="32"/>
        <v>266.46000000000004</v>
      </c>
      <c r="AH267" s="158">
        <f>Table1[[#This Row],[Certified Amount (Cum)]]-Table1[[#This Row],[Total Amount]]</f>
        <v>0</v>
      </c>
      <c r="AK267" s="167">
        <f>Table1[[#This Row],[E&amp;D Rate per unit]]+Table1[[#This Row],[Hire Rate per week]]</f>
        <v>17.53</v>
      </c>
      <c r="AL267" s="8">
        <f>SUM(Table1[[#This Row],[Erect Charges]:[Dismantle Charges]])</f>
        <v>266.46000000000004</v>
      </c>
    </row>
    <row r="268" spans="1:44" ht="30" customHeight="1" x14ac:dyDescent="0.3">
      <c r="A268" s="90" t="s">
        <v>91</v>
      </c>
      <c r="B268" s="90" t="s">
        <v>98</v>
      </c>
      <c r="C268" s="145">
        <v>40</v>
      </c>
      <c r="D268" s="108">
        <v>77628</v>
      </c>
      <c r="E268" s="108"/>
      <c r="F268" s="109" t="s">
        <v>373</v>
      </c>
      <c r="G268" s="17" t="s">
        <v>228</v>
      </c>
      <c r="H268" s="108" t="s">
        <v>222</v>
      </c>
      <c r="I268" s="108">
        <v>1</v>
      </c>
      <c r="J268" s="108">
        <v>2.5</v>
      </c>
      <c r="K268" s="108">
        <v>1.3</v>
      </c>
      <c r="L268" s="108">
        <v>3.5</v>
      </c>
      <c r="M268" s="108">
        <v>1</v>
      </c>
      <c r="N268" s="110" t="s">
        <v>223</v>
      </c>
      <c r="O268" s="110">
        <f t="shared" si="30"/>
        <v>3.5</v>
      </c>
      <c r="P268" s="124">
        <v>44877</v>
      </c>
      <c r="Q268" s="124"/>
      <c r="R268" s="111">
        <v>1</v>
      </c>
      <c r="S268" s="111">
        <v>1</v>
      </c>
      <c r="T268" s="111">
        <v>0</v>
      </c>
      <c r="U268" s="112">
        <f>IF(ISBLANK(Table1[[#This Row],[OHC Date]]),$B$7-Table1[[#This Row],[HOC Date]]+1,Table1[[#This Row],[OHC Date]]-Table1[[#This Row],[HOC Date]]+1)/7</f>
        <v>2</v>
      </c>
      <c r="V268" s="113">
        <v>63.34</v>
      </c>
      <c r="W268" s="113">
        <v>7.28</v>
      </c>
      <c r="X268" s="113">
        <f>ROUND(0.7*Table1[[#This Row],[E&amp;D Rate per unit]]*R268*Table1[[#This Row],[Quantity]],2)</f>
        <v>155.18</v>
      </c>
      <c r="Y268" s="113">
        <f t="shared" si="31"/>
        <v>50.96</v>
      </c>
      <c r="Z268" s="113">
        <f>ROUND(0.3*T268*Table1[[#This Row],[E&amp;D Rate per unit]]*Table1[[#This Row],[Quantity]],2)</f>
        <v>0</v>
      </c>
      <c r="AA268" s="113">
        <v>206.14</v>
      </c>
      <c r="AB268" s="135"/>
      <c r="AC268" s="135">
        <v>206.14</v>
      </c>
      <c r="AD268" s="114"/>
      <c r="AE268" s="153"/>
      <c r="AF268" s="161">
        <f>Table1[[#This Row],[Certified Amount (Cum)]]-Table1[[#This Row],[Certified Amount (Previous)]]</f>
        <v>206.14000000000001</v>
      </c>
      <c r="AG268" s="160">
        <f t="shared" si="32"/>
        <v>206.14000000000001</v>
      </c>
      <c r="AH268" s="158">
        <f>Table1[[#This Row],[Certified Amount (Cum)]]-Table1[[#This Row],[Total Amount]]</f>
        <v>0</v>
      </c>
      <c r="AK268" s="167">
        <f>Table1[[#This Row],[E&amp;D Rate per unit]]+Table1[[#This Row],[Hire Rate per week]]</f>
        <v>70.62</v>
      </c>
      <c r="AL268" s="8">
        <f>SUM(Table1[[#This Row],[Erect Charges]:[Dismantle Charges]])</f>
        <v>206.14000000000001</v>
      </c>
    </row>
    <row r="269" spans="1:44" ht="30" customHeight="1" x14ac:dyDescent="0.3">
      <c r="A269" s="90" t="s">
        <v>91</v>
      </c>
      <c r="B269" s="90" t="s">
        <v>98</v>
      </c>
      <c r="C269" s="145">
        <v>41</v>
      </c>
      <c r="D269" s="108">
        <v>77629</v>
      </c>
      <c r="E269" s="108"/>
      <c r="F269" s="109" t="s">
        <v>373</v>
      </c>
      <c r="G269" s="17" t="s">
        <v>228</v>
      </c>
      <c r="H269" s="108" t="s">
        <v>222</v>
      </c>
      <c r="I269" s="108">
        <v>1</v>
      </c>
      <c r="J269" s="108">
        <v>2.5</v>
      </c>
      <c r="K269" s="108">
        <v>1.3</v>
      </c>
      <c r="L269" s="108">
        <v>3</v>
      </c>
      <c r="M269" s="108">
        <v>1</v>
      </c>
      <c r="N269" s="110" t="s">
        <v>223</v>
      </c>
      <c r="O269" s="110">
        <f t="shared" si="30"/>
        <v>3</v>
      </c>
      <c r="P269" s="124">
        <v>44877</v>
      </c>
      <c r="Q269" s="124"/>
      <c r="R269" s="111">
        <v>1</v>
      </c>
      <c r="S269" s="111">
        <v>1</v>
      </c>
      <c r="T269" s="111">
        <v>0</v>
      </c>
      <c r="U269" s="112">
        <f>IF(ISBLANK(Table1[[#This Row],[OHC Date]]),$B$7-Table1[[#This Row],[HOC Date]]+1,Table1[[#This Row],[OHC Date]]-Table1[[#This Row],[HOC Date]]+1)/7</f>
        <v>2</v>
      </c>
      <c r="V269" s="113">
        <v>63.34</v>
      </c>
      <c r="W269" s="113">
        <v>7.28</v>
      </c>
      <c r="X269" s="113">
        <f>ROUND(0.7*Table1[[#This Row],[E&amp;D Rate per unit]]*R269*Table1[[#This Row],[Quantity]],2)</f>
        <v>133.01</v>
      </c>
      <c r="Y269" s="113">
        <f t="shared" si="31"/>
        <v>43.68</v>
      </c>
      <c r="Z269" s="113">
        <f>ROUND(0.3*T269*Table1[[#This Row],[E&amp;D Rate per unit]]*Table1[[#This Row],[Quantity]],2)</f>
        <v>0</v>
      </c>
      <c r="AA269" s="113">
        <v>176.69</v>
      </c>
      <c r="AB269" s="135"/>
      <c r="AC269" s="135">
        <v>176.69</v>
      </c>
      <c r="AD269" s="114"/>
      <c r="AE269" s="153"/>
      <c r="AF269" s="161">
        <f>Table1[[#This Row],[Certified Amount (Cum)]]-Table1[[#This Row],[Certified Amount (Previous)]]</f>
        <v>176.69</v>
      </c>
      <c r="AG269" s="160">
        <f t="shared" si="32"/>
        <v>176.69</v>
      </c>
      <c r="AH269" s="158">
        <f>Table1[[#This Row],[Certified Amount (Cum)]]-Table1[[#This Row],[Total Amount]]</f>
        <v>0</v>
      </c>
      <c r="AK269" s="167">
        <f>Table1[[#This Row],[E&amp;D Rate per unit]]+Table1[[#This Row],[Hire Rate per week]]</f>
        <v>70.62</v>
      </c>
      <c r="AL269" s="8">
        <f>SUM(Table1[[#This Row],[Erect Charges]:[Dismantle Charges]])</f>
        <v>176.69</v>
      </c>
    </row>
    <row r="270" spans="1:44" ht="30" customHeight="1" x14ac:dyDescent="0.3">
      <c r="A270" s="90" t="s">
        <v>91</v>
      </c>
      <c r="B270" s="90" t="s">
        <v>98</v>
      </c>
      <c r="C270" s="145">
        <v>42</v>
      </c>
      <c r="D270" s="108">
        <v>77630</v>
      </c>
      <c r="E270" s="108"/>
      <c r="F270" s="109" t="s">
        <v>373</v>
      </c>
      <c r="G270" s="17" t="s">
        <v>228</v>
      </c>
      <c r="H270" s="108" t="s">
        <v>222</v>
      </c>
      <c r="I270" s="108">
        <v>1</v>
      </c>
      <c r="J270" s="108">
        <v>1.8</v>
      </c>
      <c r="K270" s="108">
        <v>1.3</v>
      </c>
      <c r="L270" s="108">
        <v>2.5</v>
      </c>
      <c r="M270" s="108">
        <v>1</v>
      </c>
      <c r="N270" s="110" t="s">
        <v>223</v>
      </c>
      <c r="O270" s="110">
        <f t="shared" si="30"/>
        <v>2.5</v>
      </c>
      <c r="P270" s="124">
        <v>44877</v>
      </c>
      <c r="Q270" s="124"/>
      <c r="R270" s="111">
        <v>1</v>
      </c>
      <c r="S270" s="111">
        <v>1</v>
      </c>
      <c r="T270" s="111">
        <v>0</v>
      </c>
      <c r="U270" s="112">
        <f>IF(ISBLANK(Table1[[#This Row],[OHC Date]]),$B$7-Table1[[#This Row],[HOC Date]]+1,Table1[[#This Row],[OHC Date]]-Table1[[#This Row],[HOC Date]]+1)/7</f>
        <v>2</v>
      </c>
      <c r="V270" s="113">
        <v>63.34</v>
      </c>
      <c r="W270" s="113">
        <v>7.28</v>
      </c>
      <c r="X270" s="113">
        <f>ROUND(0.7*Table1[[#This Row],[E&amp;D Rate per unit]]*R270*Table1[[#This Row],[Quantity]],2)</f>
        <v>110.85</v>
      </c>
      <c r="Y270" s="113">
        <f t="shared" si="31"/>
        <v>36.4</v>
      </c>
      <c r="Z270" s="113">
        <f>ROUND(0.3*T270*Table1[[#This Row],[E&amp;D Rate per unit]]*Table1[[#This Row],[Quantity]],2)</f>
        <v>0</v>
      </c>
      <c r="AA270" s="113">
        <v>147.25</v>
      </c>
      <c r="AB270" s="135"/>
      <c r="AC270" s="135">
        <v>147.25</v>
      </c>
      <c r="AD270" s="114"/>
      <c r="AE270" s="153"/>
      <c r="AF270" s="161">
        <f>Table1[[#This Row],[Certified Amount (Cum)]]-Table1[[#This Row],[Certified Amount (Previous)]]</f>
        <v>147.25</v>
      </c>
      <c r="AG270" s="160">
        <f t="shared" si="32"/>
        <v>147.25</v>
      </c>
      <c r="AH270" s="158">
        <f>Table1[[#This Row],[Certified Amount (Cum)]]-Table1[[#This Row],[Total Amount]]</f>
        <v>0</v>
      </c>
      <c r="AK270" s="167">
        <f>Table1[[#This Row],[E&amp;D Rate per unit]]+Table1[[#This Row],[Hire Rate per week]]</f>
        <v>70.62</v>
      </c>
      <c r="AL270" s="8">
        <f>SUM(Table1[[#This Row],[Erect Charges]:[Dismantle Charges]])</f>
        <v>147.25</v>
      </c>
    </row>
    <row r="271" spans="1:44" ht="30" customHeight="1" x14ac:dyDescent="0.3">
      <c r="A271" s="140" t="s">
        <v>417</v>
      </c>
      <c r="B271" s="90" t="s">
        <v>98</v>
      </c>
      <c r="C271" s="145" t="s">
        <v>416</v>
      </c>
      <c r="D271" s="108">
        <v>77633</v>
      </c>
      <c r="E271" s="108"/>
      <c r="F271" s="109" t="s">
        <v>414</v>
      </c>
      <c r="G271" s="17" t="s">
        <v>202</v>
      </c>
      <c r="H271" s="108" t="s">
        <v>415</v>
      </c>
      <c r="I271" s="108">
        <v>1</v>
      </c>
      <c r="J271" s="108">
        <v>9.1</v>
      </c>
      <c r="K271" s="108">
        <v>1.3</v>
      </c>
      <c r="L271" s="16">
        <v>5</v>
      </c>
      <c r="M271" s="108">
        <v>1</v>
      </c>
      <c r="N271" s="110" t="s">
        <v>208</v>
      </c>
      <c r="O271" s="110">
        <f t="shared" si="30"/>
        <v>45.5</v>
      </c>
      <c r="P271" s="124">
        <v>44879</v>
      </c>
      <c r="Q271" s="124"/>
      <c r="R271" s="111">
        <v>1</v>
      </c>
      <c r="S271" s="111">
        <v>1</v>
      </c>
      <c r="T271" s="111">
        <v>0</v>
      </c>
      <c r="U271" s="112">
        <f>IF(ISBLANK(Table1[[#This Row],[OHC Date]]),$B$7-Table1[[#This Row],[HOC Date]]+1,Table1[[#This Row],[OHC Date]]-Table1[[#This Row],[HOC Date]]+1)/7</f>
        <v>1.7142857142857142</v>
      </c>
      <c r="V271" s="113">
        <v>95.9</v>
      </c>
      <c r="W271" s="113">
        <v>13.9</v>
      </c>
      <c r="X271" s="113">
        <f>ROUND(0.7*Table1[[#This Row],[E&amp;D Rate per unit]]*R271*Table1[[#This Row],[Quantity]],2)</f>
        <v>3054.42</v>
      </c>
      <c r="Y271" s="113">
        <f t="shared" si="31"/>
        <v>1084.2</v>
      </c>
      <c r="Z271" s="113">
        <f>ROUND(0.3*T271*Table1[[#This Row],[E&amp;D Rate per unit]]*Table1[[#This Row],[Quantity]],2)</f>
        <v>0</v>
      </c>
      <c r="AA271" s="113">
        <v>4138.62</v>
      </c>
      <c r="AB271" s="135"/>
      <c r="AC271" s="135">
        <v>4138.62</v>
      </c>
      <c r="AD271" s="141" t="s">
        <v>439</v>
      </c>
      <c r="AE271" s="168"/>
      <c r="AF271" s="164">
        <f>Table1[[#This Row],[Certified Amount (Cum)]]-Table1[[#This Row],[Certified Amount (Previous)]]</f>
        <v>4138.62</v>
      </c>
      <c r="AG271" s="165">
        <f t="shared" si="32"/>
        <v>4138.62</v>
      </c>
      <c r="AH271" s="165">
        <f>Table1[[#This Row],[Certified Amount (Cum)]]-Table1[[#This Row],[Total Amount]]</f>
        <v>0</v>
      </c>
      <c r="AK271" s="167">
        <f>Table1[[#This Row],[E&amp;D Rate per unit]]+Table1[[#This Row],[Hire Rate per week]]</f>
        <v>109.80000000000001</v>
      </c>
      <c r="AL271" s="8">
        <f>SUM(Table1[[#This Row],[Erect Charges]:[Dismantle Charges]])</f>
        <v>4138.62</v>
      </c>
    </row>
    <row r="272" spans="1:44" ht="30" customHeight="1" x14ac:dyDescent="0.3">
      <c r="A272" s="90" t="s">
        <v>91</v>
      </c>
      <c r="B272" s="90" t="s">
        <v>98</v>
      </c>
      <c r="C272" s="145">
        <v>44</v>
      </c>
      <c r="D272" s="108">
        <v>77631</v>
      </c>
      <c r="E272" s="108"/>
      <c r="F272" s="17" t="s">
        <v>373</v>
      </c>
      <c r="G272" s="17" t="s">
        <v>228</v>
      </c>
      <c r="H272" s="16" t="s">
        <v>222</v>
      </c>
      <c r="I272" s="108">
        <v>1</v>
      </c>
      <c r="J272" s="108">
        <v>2.5</v>
      </c>
      <c r="K272" s="108">
        <v>1.3</v>
      </c>
      <c r="L272" s="108">
        <v>4</v>
      </c>
      <c r="M272" s="108">
        <v>1</v>
      </c>
      <c r="N272" s="91" t="s">
        <v>223</v>
      </c>
      <c r="O272" s="110">
        <f t="shared" si="30"/>
        <v>4</v>
      </c>
      <c r="P272" s="124">
        <v>44880</v>
      </c>
      <c r="Q272" s="124"/>
      <c r="R272" s="111">
        <v>1</v>
      </c>
      <c r="S272" s="111">
        <v>1</v>
      </c>
      <c r="T272" s="111">
        <v>0</v>
      </c>
      <c r="U272" s="112">
        <f>IF(ISBLANK(Table1[[#This Row],[OHC Date]]),$B$7-Table1[[#This Row],[HOC Date]]+1,Table1[[#This Row],[OHC Date]]-Table1[[#This Row],[HOC Date]]+1)/7</f>
        <v>1.5714285714285714</v>
      </c>
      <c r="V272" s="113">
        <v>63.34</v>
      </c>
      <c r="W272" s="113">
        <v>7.28</v>
      </c>
      <c r="X272" s="113">
        <f>ROUND(0.7*Table1[[#This Row],[E&amp;D Rate per unit]]*R272*Table1[[#This Row],[Quantity]],2)</f>
        <v>177.35</v>
      </c>
      <c r="Y272" s="113">
        <f t="shared" si="31"/>
        <v>45.76</v>
      </c>
      <c r="Z272" s="113">
        <f>ROUND(0.3*T272*Table1[[#This Row],[E&amp;D Rate per unit]]*Table1[[#This Row],[Quantity]],2)</f>
        <v>0</v>
      </c>
      <c r="AA272" s="113">
        <v>223.11</v>
      </c>
      <c r="AB272" s="135"/>
      <c r="AC272" s="135">
        <v>223.11</v>
      </c>
      <c r="AD272" s="114"/>
      <c r="AE272" s="153"/>
      <c r="AF272" s="161">
        <f>Table1[[#This Row],[Certified Amount (Cum)]]-Table1[[#This Row],[Certified Amount (Previous)]]</f>
        <v>223.10999999999999</v>
      </c>
      <c r="AG272" s="160">
        <f t="shared" si="32"/>
        <v>223.10999999999999</v>
      </c>
      <c r="AH272" s="158">
        <f>Table1[[#This Row],[Certified Amount (Cum)]]-Table1[[#This Row],[Total Amount]]</f>
        <v>0</v>
      </c>
      <c r="AK272" s="167">
        <f>Table1[[#This Row],[E&amp;D Rate per unit]]+Table1[[#This Row],[Hire Rate per week]]</f>
        <v>70.62</v>
      </c>
      <c r="AL272" s="8">
        <f>SUM(Table1[[#This Row],[Erect Charges]:[Dismantle Charges]])</f>
        <v>223.10999999999999</v>
      </c>
    </row>
    <row r="273" spans="1:38" ht="30" customHeight="1" x14ac:dyDescent="0.3">
      <c r="A273" s="90" t="s">
        <v>91</v>
      </c>
      <c r="B273" s="90" t="s">
        <v>98</v>
      </c>
      <c r="C273" s="145">
        <v>45</v>
      </c>
      <c r="D273" s="108">
        <v>77632</v>
      </c>
      <c r="E273" s="108"/>
      <c r="F273" s="17" t="s">
        <v>373</v>
      </c>
      <c r="G273" s="17" t="s">
        <v>228</v>
      </c>
      <c r="H273" s="108" t="s">
        <v>120</v>
      </c>
      <c r="I273" s="108">
        <v>1</v>
      </c>
      <c r="J273" s="108">
        <v>5</v>
      </c>
      <c r="K273" s="108">
        <v>2.5</v>
      </c>
      <c r="L273" s="108">
        <v>3.25</v>
      </c>
      <c r="M273" s="108">
        <v>1</v>
      </c>
      <c r="N273" s="110" t="s">
        <v>208</v>
      </c>
      <c r="O273" s="110">
        <f t="shared" si="30"/>
        <v>16.25</v>
      </c>
      <c r="P273" s="124">
        <v>44880</v>
      </c>
      <c r="Q273" s="124"/>
      <c r="R273" s="111">
        <v>1</v>
      </c>
      <c r="S273" s="111">
        <v>1</v>
      </c>
      <c r="T273" s="111">
        <v>0</v>
      </c>
      <c r="U273" s="112">
        <f>IF(ISBLANK(Table1[[#This Row],[OHC Date]]),$B$7-Table1[[#This Row],[HOC Date]]+1,Table1[[#This Row],[OHC Date]]-Table1[[#This Row],[HOC Date]]+1)/7</f>
        <v>1.5714285714285714</v>
      </c>
      <c r="V273" s="113">
        <v>16.760000000000002</v>
      </c>
      <c r="W273" s="113">
        <v>0.77</v>
      </c>
      <c r="X273" s="113">
        <f>ROUND(0.7*Table1[[#This Row],[E&amp;D Rate per unit]]*R273*Table1[[#This Row],[Quantity]],2)</f>
        <v>190.65</v>
      </c>
      <c r="Y273" s="113">
        <f t="shared" si="31"/>
        <v>19.66</v>
      </c>
      <c r="Z273" s="113">
        <f>ROUND(0.3*T273*Table1[[#This Row],[E&amp;D Rate per unit]]*Table1[[#This Row],[Quantity]],2)</f>
        <v>0</v>
      </c>
      <c r="AA273" s="113">
        <v>210.31</v>
      </c>
      <c r="AB273" s="135"/>
      <c r="AC273" s="135">
        <v>210.31</v>
      </c>
      <c r="AD273" s="114"/>
      <c r="AE273" s="153"/>
      <c r="AF273" s="161">
        <f>Table1[[#This Row],[Certified Amount (Cum)]]-Table1[[#This Row],[Certified Amount (Previous)]]</f>
        <v>210.31</v>
      </c>
      <c r="AG273" s="160">
        <f t="shared" si="32"/>
        <v>210.31</v>
      </c>
      <c r="AH273" s="158">
        <f>Table1[[#This Row],[Certified Amount (Cum)]]-Table1[[#This Row],[Total Amount]]</f>
        <v>0</v>
      </c>
      <c r="AK273" s="167">
        <f>Table1[[#This Row],[E&amp;D Rate per unit]]+Table1[[#This Row],[Hire Rate per week]]</f>
        <v>17.53</v>
      </c>
      <c r="AL273" s="8">
        <f>SUM(Table1[[#This Row],[Erect Charges]:[Dismantle Charges]])</f>
        <v>210.31</v>
      </c>
    </row>
    <row r="274" spans="1:38" ht="30" customHeight="1" x14ac:dyDescent="0.3">
      <c r="A274" s="90" t="s">
        <v>91</v>
      </c>
      <c r="B274" s="90" t="s">
        <v>98</v>
      </c>
      <c r="C274" s="147" t="s">
        <v>197</v>
      </c>
      <c r="D274" s="108">
        <v>77634</v>
      </c>
      <c r="E274" s="108"/>
      <c r="F274" s="17" t="s">
        <v>419</v>
      </c>
      <c r="G274" s="17" t="s">
        <v>256</v>
      </c>
      <c r="H274" s="16" t="s">
        <v>178</v>
      </c>
      <c r="I274" s="108">
        <v>1</v>
      </c>
      <c r="J274" s="108">
        <v>3</v>
      </c>
      <c r="K274" s="108">
        <v>1</v>
      </c>
      <c r="L274" s="108">
        <v>1</v>
      </c>
      <c r="M274" s="108">
        <v>1</v>
      </c>
      <c r="N274" s="110" t="s">
        <v>162</v>
      </c>
      <c r="O274" s="110">
        <f t="shared" si="30"/>
        <v>3</v>
      </c>
      <c r="P274" s="124">
        <v>44881</v>
      </c>
      <c r="Q274" s="124"/>
      <c r="R274" s="111">
        <v>1</v>
      </c>
      <c r="S274" s="111">
        <v>1</v>
      </c>
      <c r="T274" s="111">
        <v>0</v>
      </c>
      <c r="U274" s="112">
        <f>IF(ISBLANK(Table1[[#This Row],[OHC Date]]),$B$7-Table1[[#This Row],[HOC Date]]+1,Table1[[#This Row],[OHC Date]]-Table1[[#This Row],[HOC Date]]+1)/7</f>
        <v>1.4285714285714286</v>
      </c>
      <c r="V274" s="113">
        <v>6.63</v>
      </c>
      <c r="W274" s="113">
        <v>0.7</v>
      </c>
      <c r="X274" s="113">
        <f>ROUND(0.7*Table1[[#This Row],[E&amp;D Rate per unit]]*R274*Table1[[#This Row],[Quantity]],2)</f>
        <v>13.92</v>
      </c>
      <c r="Y274" s="113">
        <f t="shared" si="31"/>
        <v>3</v>
      </c>
      <c r="Z274" s="113">
        <f>ROUND(0.3*T274*Table1[[#This Row],[E&amp;D Rate per unit]]*Table1[[#This Row],[Quantity]],2)</f>
        <v>0</v>
      </c>
      <c r="AA274" s="113">
        <v>16.920000000000002</v>
      </c>
      <c r="AB274" s="135"/>
      <c r="AC274" s="135">
        <v>16.920000000000002</v>
      </c>
      <c r="AD274" s="114"/>
      <c r="AE274" s="153"/>
      <c r="AF274" s="161">
        <f>Table1[[#This Row],[Certified Amount (Cum)]]-Table1[[#This Row],[Certified Amount (Previous)]]</f>
        <v>16.920000000000002</v>
      </c>
      <c r="AG274" s="160">
        <f t="shared" si="32"/>
        <v>16.920000000000002</v>
      </c>
      <c r="AH274" s="158">
        <f>Table1[[#This Row],[Certified Amount (Cum)]]-Table1[[#This Row],[Total Amount]]</f>
        <v>0</v>
      </c>
      <c r="AK274" s="167">
        <f>Table1[[#This Row],[E&amp;D Rate per unit]]+Table1[[#This Row],[Hire Rate per week]]</f>
        <v>7.33</v>
      </c>
      <c r="AL274" s="8">
        <f>SUM(Table1[[#This Row],[Erect Charges]:[Dismantle Charges]])</f>
        <v>16.920000000000002</v>
      </c>
    </row>
    <row r="275" spans="1:38" ht="30" customHeight="1" x14ac:dyDescent="0.3">
      <c r="A275" s="90" t="s">
        <v>91</v>
      </c>
      <c r="B275" s="90" t="s">
        <v>98</v>
      </c>
      <c r="C275" s="147">
        <v>46</v>
      </c>
      <c r="D275" s="16">
        <v>77635</v>
      </c>
      <c r="E275" s="16"/>
      <c r="F275" s="17" t="s">
        <v>373</v>
      </c>
      <c r="G275" s="17" t="s">
        <v>228</v>
      </c>
      <c r="H275" s="16" t="s">
        <v>222</v>
      </c>
      <c r="I275" s="16">
        <v>1</v>
      </c>
      <c r="J275" s="16">
        <v>2.5</v>
      </c>
      <c r="K275" s="16">
        <v>2.5</v>
      </c>
      <c r="L275" s="16">
        <v>3</v>
      </c>
      <c r="M275" s="16">
        <v>1</v>
      </c>
      <c r="N275" s="91" t="s">
        <v>223</v>
      </c>
      <c r="O275" s="91">
        <f t="shared" si="30"/>
        <v>3</v>
      </c>
      <c r="P275" s="124">
        <v>44882</v>
      </c>
      <c r="Q275" s="18"/>
      <c r="R275" s="111">
        <v>1</v>
      </c>
      <c r="S275" s="111">
        <v>1</v>
      </c>
      <c r="T275" s="111">
        <v>0</v>
      </c>
      <c r="U275" s="20">
        <f>IF(ISBLANK(Table1[[#This Row],[OHC Date]]),$B$7-Table1[[#This Row],[HOC Date]]+1,Table1[[#This Row],[OHC Date]]-Table1[[#This Row],[HOC Date]]+1)/7</f>
        <v>1.2857142857142858</v>
      </c>
      <c r="V275" s="21">
        <v>63.34</v>
      </c>
      <c r="W275" s="21">
        <v>7.28</v>
      </c>
      <c r="X275" s="21">
        <f>ROUND(0.7*Table1[[#This Row],[E&amp;D Rate per unit]]*R275*Table1[[#This Row],[Quantity]],2)</f>
        <v>133.01</v>
      </c>
      <c r="Y275" s="21">
        <f t="shared" si="31"/>
        <v>28.08</v>
      </c>
      <c r="Z275" s="21">
        <f>ROUND(0.3*T275*Table1[[#This Row],[E&amp;D Rate per unit]]*Table1[[#This Row],[Quantity]],2)</f>
        <v>0</v>
      </c>
      <c r="AA275" s="21">
        <v>161.09</v>
      </c>
      <c r="AB275" s="138"/>
      <c r="AC275" s="138">
        <v>161.09</v>
      </c>
      <c r="AD275" s="136"/>
      <c r="AE275" s="153"/>
      <c r="AF275" s="161">
        <f>Table1[[#This Row],[Certified Amount (Cum)]]-Table1[[#This Row],[Certified Amount (Previous)]]</f>
        <v>161.08999999999997</v>
      </c>
      <c r="AG275" s="160">
        <f t="shared" si="32"/>
        <v>161.08999999999997</v>
      </c>
      <c r="AH275" s="158">
        <f>Table1[[#This Row],[Certified Amount (Cum)]]-Table1[[#This Row],[Total Amount]]</f>
        <v>0</v>
      </c>
      <c r="AK275" s="167">
        <f>Table1[[#This Row],[E&amp;D Rate per unit]]+Table1[[#This Row],[Hire Rate per week]]</f>
        <v>70.62</v>
      </c>
      <c r="AL275" s="8">
        <f>SUM(Table1[[#This Row],[Erect Charges]:[Dismantle Charges]])</f>
        <v>161.08999999999997</v>
      </c>
    </row>
    <row r="276" spans="1:38" ht="30" customHeight="1" x14ac:dyDescent="0.3">
      <c r="A276" s="90" t="s">
        <v>91</v>
      </c>
      <c r="B276" s="90" t="s">
        <v>98</v>
      </c>
      <c r="C276" s="147" t="s">
        <v>343</v>
      </c>
      <c r="D276" s="16">
        <v>77636</v>
      </c>
      <c r="E276" s="16"/>
      <c r="F276" s="17" t="s">
        <v>373</v>
      </c>
      <c r="G276" s="17" t="s">
        <v>228</v>
      </c>
      <c r="H276" s="16" t="s">
        <v>290</v>
      </c>
      <c r="I276" s="16">
        <v>1</v>
      </c>
      <c r="J276" s="16">
        <v>2.5</v>
      </c>
      <c r="K276" s="16">
        <v>2.5</v>
      </c>
      <c r="L276" s="16">
        <v>3</v>
      </c>
      <c r="M276" s="16"/>
      <c r="N276" s="91" t="s">
        <v>226</v>
      </c>
      <c r="O276" s="91">
        <f t="shared" si="30"/>
        <v>18.75</v>
      </c>
      <c r="P276" s="124">
        <v>44882</v>
      </c>
      <c r="Q276" s="18"/>
      <c r="R276" s="111">
        <v>1</v>
      </c>
      <c r="S276" s="111">
        <v>1</v>
      </c>
      <c r="T276" s="111">
        <v>0</v>
      </c>
      <c r="U276" s="20">
        <f>IF(ISBLANK(Table1[[#This Row],[OHC Date]]),$B$7-Table1[[#This Row],[HOC Date]]+1,Table1[[#This Row],[OHC Date]]-Table1[[#This Row],[HOC Date]]+1)/7</f>
        <v>1.2857142857142858</v>
      </c>
      <c r="V276" s="21">
        <v>5.29</v>
      </c>
      <c r="W276" s="21">
        <v>0.35</v>
      </c>
      <c r="X276" s="21">
        <f>ROUND(0.7*Table1[[#This Row],[E&amp;D Rate per unit]]*R276*Table1[[#This Row],[Quantity]],2)</f>
        <v>69.430000000000007</v>
      </c>
      <c r="Y276" s="21">
        <f t="shared" si="31"/>
        <v>8.44</v>
      </c>
      <c r="Z276" s="21">
        <f>ROUND(0.3*T276*Table1[[#This Row],[E&amp;D Rate per unit]]*Table1[[#This Row],[Quantity]],2)</f>
        <v>0</v>
      </c>
      <c r="AA276" s="21">
        <v>77.87</v>
      </c>
      <c r="AB276" s="138"/>
      <c r="AC276" s="138">
        <v>77.87</v>
      </c>
      <c r="AD276" s="136"/>
      <c r="AE276" s="153"/>
      <c r="AF276" s="161">
        <f>Table1[[#This Row],[Certified Amount (Cum)]]-Table1[[#This Row],[Certified Amount (Previous)]]</f>
        <v>77.87</v>
      </c>
      <c r="AG276" s="160">
        <f t="shared" si="32"/>
        <v>77.87</v>
      </c>
      <c r="AH276" s="158">
        <f>Table1[[#This Row],[Certified Amount (Cum)]]-Table1[[#This Row],[Total Amount]]</f>
        <v>0</v>
      </c>
      <c r="AK276" s="167">
        <f>Table1[[#This Row],[E&amp;D Rate per unit]]+Table1[[#This Row],[Hire Rate per week]]</f>
        <v>5.64</v>
      </c>
      <c r="AL276" s="8">
        <f>SUM(Table1[[#This Row],[Erect Charges]:[Dismantle Charges]])</f>
        <v>77.87</v>
      </c>
    </row>
    <row r="277" spans="1:38" ht="30" customHeight="1" x14ac:dyDescent="0.3">
      <c r="A277" s="90" t="s">
        <v>91</v>
      </c>
      <c r="B277" s="90" t="s">
        <v>98</v>
      </c>
      <c r="C277" s="147">
        <v>47</v>
      </c>
      <c r="D277" s="16">
        <v>77637</v>
      </c>
      <c r="E277" s="16"/>
      <c r="F277" s="17" t="s">
        <v>373</v>
      </c>
      <c r="G277" s="17" t="s">
        <v>228</v>
      </c>
      <c r="H277" s="16" t="s">
        <v>222</v>
      </c>
      <c r="I277" s="16">
        <v>1</v>
      </c>
      <c r="J277" s="16">
        <v>2.5</v>
      </c>
      <c r="K277" s="16">
        <v>2.5</v>
      </c>
      <c r="L277" s="16">
        <v>4.2</v>
      </c>
      <c r="M277" s="16">
        <v>1</v>
      </c>
      <c r="N277" s="91" t="s">
        <v>223</v>
      </c>
      <c r="O277" s="91">
        <f t="shared" si="30"/>
        <v>4.2</v>
      </c>
      <c r="P277" s="124">
        <v>44882</v>
      </c>
      <c r="Q277" s="18"/>
      <c r="R277" s="111">
        <v>1</v>
      </c>
      <c r="S277" s="111">
        <v>1</v>
      </c>
      <c r="T277" s="111">
        <v>0</v>
      </c>
      <c r="U277" s="20">
        <f>IF(ISBLANK(Table1[[#This Row],[OHC Date]]),$B$7-Table1[[#This Row],[HOC Date]]+1,Table1[[#This Row],[OHC Date]]-Table1[[#This Row],[HOC Date]]+1)/7</f>
        <v>1.2857142857142858</v>
      </c>
      <c r="V277" s="21">
        <v>63.34</v>
      </c>
      <c r="W277" s="21">
        <v>7.28</v>
      </c>
      <c r="X277" s="21">
        <f>ROUND(0.7*Table1[[#This Row],[E&amp;D Rate per unit]]*R277*Table1[[#This Row],[Quantity]],2)</f>
        <v>186.22</v>
      </c>
      <c r="Y277" s="21">
        <f t="shared" si="31"/>
        <v>39.31</v>
      </c>
      <c r="Z277" s="21">
        <f>ROUND(0.3*T277*Table1[[#This Row],[E&amp;D Rate per unit]]*Table1[[#This Row],[Quantity]],2)</f>
        <v>0</v>
      </c>
      <c r="AA277" s="21">
        <v>225.53</v>
      </c>
      <c r="AB277" s="138"/>
      <c r="AC277" s="138">
        <v>225.53</v>
      </c>
      <c r="AD277" s="136"/>
      <c r="AE277" s="153"/>
      <c r="AF277" s="161">
        <f>Table1[[#This Row],[Certified Amount (Cum)]]-Table1[[#This Row],[Certified Amount (Previous)]]</f>
        <v>225.53</v>
      </c>
      <c r="AG277" s="160">
        <f t="shared" si="32"/>
        <v>225.53</v>
      </c>
      <c r="AH277" s="158">
        <f>Table1[[#This Row],[Certified Amount (Cum)]]-Table1[[#This Row],[Total Amount]]</f>
        <v>0</v>
      </c>
      <c r="AK277" s="167">
        <f>Table1[[#This Row],[E&amp;D Rate per unit]]+Table1[[#This Row],[Hire Rate per week]]</f>
        <v>70.62</v>
      </c>
      <c r="AL277" s="8">
        <f>SUM(Table1[[#This Row],[Erect Charges]:[Dismantle Charges]])</f>
        <v>225.53</v>
      </c>
    </row>
    <row r="278" spans="1:38" ht="30" customHeight="1" x14ac:dyDescent="0.3">
      <c r="A278" s="90" t="s">
        <v>91</v>
      </c>
      <c r="B278" s="90" t="s">
        <v>98</v>
      </c>
      <c r="C278" s="147">
        <v>48</v>
      </c>
      <c r="D278" s="16">
        <v>77638</v>
      </c>
      <c r="E278" s="16"/>
      <c r="F278" s="17" t="s">
        <v>420</v>
      </c>
      <c r="G278" s="17" t="s">
        <v>278</v>
      </c>
      <c r="H278" s="16" t="s">
        <v>222</v>
      </c>
      <c r="I278" s="16">
        <v>1</v>
      </c>
      <c r="J278" s="16">
        <v>1.8</v>
      </c>
      <c r="K278" s="16">
        <v>1.8</v>
      </c>
      <c r="L278" s="16">
        <v>1.5</v>
      </c>
      <c r="M278" s="16">
        <v>1</v>
      </c>
      <c r="N278" s="91" t="s">
        <v>223</v>
      </c>
      <c r="O278" s="91">
        <f t="shared" si="30"/>
        <v>1.5</v>
      </c>
      <c r="P278" s="124">
        <v>44882</v>
      </c>
      <c r="Q278" s="18"/>
      <c r="R278" s="111">
        <v>1</v>
      </c>
      <c r="S278" s="111">
        <v>1</v>
      </c>
      <c r="T278" s="111">
        <v>0</v>
      </c>
      <c r="U278" s="20">
        <f>IF(ISBLANK(Table1[[#This Row],[OHC Date]]),$B$7-Table1[[#This Row],[HOC Date]]+1,Table1[[#This Row],[OHC Date]]-Table1[[#This Row],[HOC Date]]+1)/7</f>
        <v>1.2857142857142858</v>
      </c>
      <c r="V278" s="21">
        <v>63.34</v>
      </c>
      <c r="W278" s="21">
        <v>7.28</v>
      </c>
      <c r="X278" s="21">
        <f>ROUND(0.7*Table1[[#This Row],[E&amp;D Rate per unit]]*R278*Table1[[#This Row],[Quantity]],2)</f>
        <v>66.510000000000005</v>
      </c>
      <c r="Y278" s="21">
        <f t="shared" si="31"/>
        <v>14.04</v>
      </c>
      <c r="Z278" s="21">
        <f>ROUND(0.3*T278*Table1[[#This Row],[E&amp;D Rate per unit]]*Table1[[#This Row],[Quantity]],2)</f>
        <v>0</v>
      </c>
      <c r="AA278" s="21">
        <v>80.55</v>
      </c>
      <c r="AB278" s="138"/>
      <c r="AC278" s="138">
        <v>80.55</v>
      </c>
      <c r="AD278" s="136"/>
      <c r="AE278" s="153"/>
      <c r="AF278" s="161">
        <f>Table1[[#This Row],[Certified Amount (Cum)]]-Table1[[#This Row],[Certified Amount (Previous)]]</f>
        <v>80.550000000000011</v>
      </c>
      <c r="AG278" s="160">
        <f t="shared" si="32"/>
        <v>80.550000000000011</v>
      </c>
      <c r="AH278" s="158">
        <f>Table1[[#This Row],[Certified Amount (Cum)]]-Table1[[#This Row],[Total Amount]]</f>
        <v>0</v>
      </c>
      <c r="AK278" s="167">
        <f>Table1[[#This Row],[E&amp;D Rate per unit]]+Table1[[#This Row],[Hire Rate per week]]</f>
        <v>70.62</v>
      </c>
      <c r="AL278" s="8">
        <f>SUM(Table1[[#This Row],[Erect Charges]:[Dismantle Charges]])</f>
        <v>80.550000000000011</v>
      </c>
    </row>
    <row r="279" spans="1:38" ht="30" customHeight="1" x14ac:dyDescent="0.3">
      <c r="A279" s="90" t="s">
        <v>91</v>
      </c>
      <c r="B279" s="90" t="s">
        <v>98</v>
      </c>
      <c r="C279" s="147" t="s">
        <v>421</v>
      </c>
      <c r="D279" s="16">
        <v>77638</v>
      </c>
      <c r="E279" s="16"/>
      <c r="F279" s="17" t="s">
        <v>420</v>
      </c>
      <c r="G279" s="17" t="s">
        <v>278</v>
      </c>
      <c r="H279" s="108" t="s">
        <v>128</v>
      </c>
      <c r="I279" s="16">
        <v>1</v>
      </c>
      <c r="J279" s="16">
        <v>3.5</v>
      </c>
      <c r="K279" s="16">
        <v>0.5</v>
      </c>
      <c r="L279" s="16">
        <v>1</v>
      </c>
      <c r="M279" s="16">
        <v>1</v>
      </c>
      <c r="N279" s="91" t="s">
        <v>162</v>
      </c>
      <c r="O279" s="91">
        <f t="shared" si="30"/>
        <v>1.75</v>
      </c>
      <c r="P279" s="124">
        <v>44882</v>
      </c>
      <c r="Q279" s="18"/>
      <c r="R279" s="111">
        <v>1</v>
      </c>
      <c r="S279" s="111">
        <v>1</v>
      </c>
      <c r="T279" s="111">
        <v>0</v>
      </c>
      <c r="U279" s="20">
        <f>IF(ISBLANK(Table1[[#This Row],[OHC Date]]),$B$7-Table1[[#This Row],[HOC Date]]+1,Table1[[#This Row],[OHC Date]]-Table1[[#This Row],[HOC Date]]+1)/7</f>
        <v>1.2857142857142858</v>
      </c>
      <c r="V279" s="21">
        <v>32.75</v>
      </c>
      <c r="W279" s="21">
        <v>1.05</v>
      </c>
      <c r="X279" s="21">
        <f>ROUND(0.7*Table1[[#This Row],[E&amp;D Rate per unit]]*R279*Table1[[#This Row],[Quantity]],2)</f>
        <v>40.119999999999997</v>
      </c>
      <c r="Y279" s="21">
        <f t="shared" si="31"/>
        <v>2.36</v>
      </c>
      <c r="Z279" s="21">
        <f>ROUND(0.3*T279*Table1[[#This Row],[E&amp;D Rate per unit]]*Table1[[#This Row],[Quantity]],2)</f>
        <v>0</v>
      </c>
      <c r="AA279" s="21">
        <v>42.48</v>
      </c>
      <c r="AB279" s="138"/>
      <c r="AC279" s="138">
        <v>42.48</v>
      </c>
      <c r="AD279" s="136"/>
      <c r="AE279" s="153"/>
      <c r="AF279" s="161">
        <f>Table1[[#This Row],[Certified Amount (Cum)]]-Table1[[#This Row],[Certified Amount (Previous)]]</f>
        <v>42.48</v>
      </c>
      <c r="AG279" s="160">
        <f t="shared" si="32"/>
        <v>42.48</v>
      </c>
      <c r="AH279" s="158">
        <f>Table1[[#This Row],[Certified Amount (Cum)]]-Table1[[#This Row],[Total Amount]]</f>
        <v>0</v>
      </c>
      <c r="AK279" s="167">
        <f>Table1[[#This Row],[E&amp;D Rate per unit]]+Table1[[#This Row],[Hire Rate per week]]</f>
        <v>33.799999999999997</v>
      </c>
      <c r="AL279" s="8">
        <f>SUM(Table1[[#This Row],[Erect Charges]:[Dismantle Charges]])</f>
        <v>42.48</v>
      </c>
    </row>
    <row r="280" spans="1:38" ht="30" customHeight="1" x14ac:dyDescent="0.3">
      <c r="A280" s="90" t="s">
        <v>91</v>
      </c>
      <c r="B280" s="90" t="s">
        <v>98</v>
      </c>
      <c r="C280" s="147" t="s">
        <v>421</v>
      </c>
      <c r="D280" s="16">
        <v>77638</v>
      </c>
      <c r="E280" s="16"/>
      <c r="F280" s="17" t="s">
        <v>420</v>
      </c>
      <c r="G280" s="17" t="s">
        <v>278</v>
      </c>
      <c r="H280" s="16" t="s">
        <v>422</v>
      </c>
      <c r="I280" s="16">
        <v>1</v>
      </c>
      <c r="J280" s="16">
        <v>9</v>
      </c>
      <c r="K280" s="16">
        <v>1</v>
      </c>
      <c r="L280" s="16">
        <v>1</v>
      </c>
      <c r="M280" s="16">
        <v>1</v>
      </c>
      <c r="N280" s="91" t="s">
        <v>208</v>
      </c>
      <c r="O280" s="91">
        <f t="shared" si="30"/>
        <v>9</v>
      </c>
      <c r="P280" s="124">
        <v>44882</v>
      </c>
      <c r="Q280" s="18"/>
      <c r="R280" s="111">
        <v>1</v>
      </c>
      <c r="S280" s="111">
        <v>1</v>
      </c>
      <c r="T280" s="111">
        <v>0</v>
      </c>
      <c r="U280" s="20">
        <f>IF(ISBLANK(Table1[[#This Row],[OHC Date]]),$B$7-Table1[[#This Row],[HOC Date]]+1,Table1[[#This Row],[OHC Date]]-Table1[[#This Row],[HOC Date]]+1)/7</f>
        <v>1.2857142857142858</v>
      </c>
      <c r="V280" s="21">
        <v>8.52</v>
      </c>
      <c r="W280" s="21">
        <v>0</v>
      </c>
      <c r="X280" s="21">
        <f>ROUND(0.7*Table1[[#This Row],[E&amp;D Rate per unit]]*R280*Table1[[#This Row],[Quantity]],2)</f>
        <v>53.68</v>
      </c>
      <c r="Y280" s="21">
        <f t="shared" si="31"/>
        <v>0</v>
      </c>
      <c r="Z280" s="21">
        <f>ROUND(0.3*T280*Table1[[#This Row],[E&amp;D Rate per unit]]*Table1[[#This Row],[Quantity]],2)</f>
        <v>0</v>
      </c>
      <c r="AA280" s="21">
        <v>53.68</v>
      </c>
      <c r="AB280" s="138"/>
      <c r="AC280" s="138">
        <v>53.68</v>
      </c>
      <c r="AD280" s="136"/>
      <c r="AE280" s="153"/>
      <c r="AF280" s="161">
        <f>Table1[[#This Row],[Certified Amount (Cum)]]-Table1[[#This Row],[Certified Amount (Previous)]]</f>
        <v>53.68</v>
      </c>
      <c r="AG280" s="160">
        <f t="shared" si="32"/>
        <v>53.68</v>
      </c>
      <c r="AH280" s="158">
        <f>Table1[[#This Row],[Certified Amount (Cum)]]-Table1[[#This Row],[Total Amount]]</f>
        <v>0</v>
      </c>
      <c r="AK280" s="167">
        <f>Table1[[#This Row],[E&amp;D Rate per unit]]+Table1[[#This Row],[Hire Rate per week]]</f>
        <v>8.52</v>
      </c>
      <c r="AL280" s="8">
        <f>SUM(Table1[[#This Row],[Erect Charges]:[Dismantle Charges]])</f>
        <v>53.68</v>
      </c>
    </row>
    <row r="281" spans="1:38" ht="30" customHeight="1" x14ac:dyDescent="0.3">
      <c r="A281" s="90" t="s">
        <v>91</v>
      </c>
      <c r="B281" s="90" t="s">
        <v>98</v>
      </c>
      <c r="C281" s="147" t="s">
        <v>423</v>
      </c>
      <c r="D281" s="16">
        <v>77639</v>
      </c>
      <c r="E281" s="16"/>
      <c r="F281" s="17" t="s">
        <v>420</v>
      </c>
      <c r="G281" s="17" t="s">
        <v>403</v>
      </c>
      <c r="H281" s="16" t="s">
        <v>222</v>
      </c>
      <c r="I281" s="16">
        <v>1</v>
      </c>
      <c r="J281" s="16">
        <v>1.8</v>
      </c>
      <c r="K281" s="16">
        <v>1.8</v>
      </c>
      <c r="L281" s="16">
        <v>7</v>
      </c>
      <c r="M281" s="16">
        <v>1</v>
      </c>
      <c r="N281" s="91" t="s">
        <v>223</v>
      </c>
      <c r="O281" s="91">
        <f t="shared" si="30"/>
        <v>7</v>
      </c>
      <c r="P281" s="124">
        <v>44882</v>
      </c>
      <c r="Q281" s="18"/>
      <c r="R281" s="111">
        <v>1</v>
      </c>
      <c r="S281" s="111">
        <v>1</v>
      </c>
      <c r="T281" s="111">
        <v>0</v>
      </c>
      <c r="U281" s="20">
        <f>IF(ISBLANK(Table1[[#This Row],[OHC Date]]),$B$7-Table1[[#This Row],[HOC Date]]+1,Table1[[#This Row],[OHC Date]]-Table1[[#This Row],[HOC Date]]+1)/7</f>
        <v>1.2857142857142858</v>
      </c>
      <c r="V281" s="21">
        <v>63.34</v>
      </c>
      <c r="W281" s="21">
        <v>7.28</v>
      </c>
      <c r="X281" s="21">
        <f>ROUND(0.7*Table1[[#This Row],[E&amp;D Rate per unit]]*R281*Table1[[#This Row],[Quantity]],2)</f>
        <v>310.37</v>
      </c>
      <c r="Y281" s="21">
        <f t="shared" si="31"/>
        <v>65.52</v>
      </c>
      <c r="Z281" s="21">
        <f>ROUND(0.3*T281*Table1[[#This Row],[E&amp;D Rate per unit]]*Table1[[#This Row],[Quantity]],2)</f>
        <v>0</v>
      </c>
      <c r="AA281" s="21">
        <v>375.89</v>
      </c>
      <c r="AB281" s="138"/>
      <c r="AC281" s="138">
        <v>375.89</v>
      </c>
      <c r="AD281" s="136"/>
      <c r="AE281" s="153"/>
      <c r="AF281" s="161">
        <f>Table1[[#This Row],[Certified Amount (Cum)]]-Table1[[#This Row],[Certified Amount (Previous)]]</f>
        <v>375.89</v>
      </c>
      <c r="AG281" s="160">
        <f t="shared" si="32"/>
        <v>375.89</v>
      </c>
      <c r="AH281" s="158">
        <f>Table1[[#This Row],[Certified Amount (Cum)]]-Table1[[#This Row],[Total Amount]]</f>
        <v>0</v>
      </c>
      <c r="AK281" s="167">
        <f>Table1[[#This Row],[E&amp;D Rate per unit]]+Table1[[#This Row],[Hire Rate per week]]</f>
        <v>70.62</v>
      </c>
      <c r="AL281" s="8">
        <f>SUM(Table1[[#This Row],[Erect Charges]:[Dismantle Charges]])</f>
        <v>375.89</v>
      </c>
    </row>
    <row r="282" spans="1:38" ht="30" customHeight="1" x14ac:dyDescent="0.3">
      <c r="A282" s="90" t="s">
        <v>91</v>
      </c>
      <c r="B282" s="90" t="s">
        <v>98</v>
      </c>
      <c r="C282" s="147" t="s">
        <v>424</v>
      </c>
      <c r="D282" s="16">
        <v>77639</v>
      </c>
      <c r="E282" s="16"/>
      <c r="F282" s="17" t="s">
        <v>420</v>
      </c>
      <c r="G282" s="17" t="s">
        <v>403</v>
      </c>
      <c r="H282" s="108" t="s">
        <v>128</v>
      </c>
      <c r="I282" s="16">
        <v>1</v>
      </c>
      <c r="J282" s="16">
        <v>3</v>
      </c>
      <c r="K282" s="16">
        <v>0.5</v>
      </c>
      <c r="L282" s="16">
        <v>1</v>
      </c>
      <c r="M282" s="16">
        <v>1</v>
      </c>
      <c r="N282" s="91" t="s">
        <v>162</v>
      </c>
      <c r="O282" s="91">
        <f t="shared" si="30"/>
        <v>1.5</v>
      </c>
      <c r="P282" s="124">
        <v>44882</v>
      </c>
      <c r="Q282" s="18"/>
      <c r="R282" s="111">
        <v>1</v>
      </c>
      <c r="S282" s="111">
        <v>1</v>
      </c>
      <c r="T282" s="111">
        <v>0</v>
      </c>
      <c r="U282" s="20">
        <f>IF(ISBLANK(Table1[[#This Row],[OHC Date]]),$B$7-Table1[[#This Row],[HOC Date]]+1,Table1[[#This Row],[OHC Date]]-Table1[[#This Row],[HOC Date]]+1)/7</f>
        <v>1.2857142857142858</v>
      </c>
      <c r="V282" s="21">
        <v>32.75</v>
      </c>
      <c r="W282" s="21">
        <v>1.05</v>
      </c>
      <c r="X282" s="21">
        <f>ROUND(0.7*Table1[[#This Row],[E&amp;D Rate per unit]]*R282*Table1[[#This Row],[Quantity]],2)</f>
        <v>34.39</v>
      </c>
      <c r="Y282" s="21">
        <f t="shared" si="31"/>
        <v>2.0299999999999998</v>
      </c>
      <c r="Z282" s="21">
        <f>ROUND(0.3*T282*Table1[[#This Row],[E&amp;D Rate per unit]]*Table1[[#This Row],[Quantity]],2)</f>
        <v>0</v>
      </c>
      <c r="AA282" s="21">
        <v>36.42</v>
      </c>
      <c r="AB282" s="138"/>
      <c r="AC282" s="138">
        <v>36.42</v>
      </c>
      <c r="AD282" s="136"/>
      <c r="AE282" s="153"/>
      <c r="AF282" s="161">
        <f>Table1[[#This Row],[Certified Amount (Cum)]]-Table1[[#This Row],[Certified Amount (Previous)]]</f>
        <v>36.42</v>
      </c>
      <c r="AG282" s="160">
        <f t="shared" si="32"/>
        <v>36.42</v>
      </c>
      <c r="AH282" s="158">
        <f>Table1[[#This Row],[Certified Amount (Cum)]]-Table1[[#This Row],[Total Amount]]</f>
        <v>0</v>
      </c>
      <c r="AK282" s="167">
        <f>Table1[[#This Row],[E&amp;D Rate per unit]]+Table1[[#This Row],[Hire Rate per week]]</f>
        <v>33.799999999999997</v>
      </c>
      <c r="AL282" s="8">
        <f>SUM(Table1[[#This Row],[Erect Charges]:[Dismantle Charges]])</f>
        <v>36.42</v>
      </c>
    </row>
    <row r="283" spans="1:38" ht="30" customHeight="1" x14ac:dyDescent="0.3">
      <c r="A283" s="90" t="s">
        <v>91</v>
      </c>
      <c r="B283" s="90" t="s">
        <v>98</v>
      </c>
      <c r="C283" s="147" t="s">
        <v>424</v>
      </c>
      <c r="D283" s="16">
        <v>77639</v>
      </c>
      <c r="E283" s="16"/>
      <c r="F283" s="17" t="s">
        <v>420</v>
      </c>
      <c r="G283" s="17" t="s">
        <v>403</v>
      </c>
      <c r="H283" s="16" t="s">
        <v>422</v>
      </c>
      <c r="I283" s="16">
        <v>1</v>
      </c>
      <c r="J283" s="16">
        <v>37.799999999999997</v>
      </c>
      <c r="K283" s="16">
        <v>1</v>
      </c>
      <c r="L283" s="16">
        <v>1</v>
      </c>
      <c r="M283" s="16"/>
      <c r="N283" s="91" t="s">
        <v>208</v>
      </c>
      <c r="O283" s="91">
        <f t="shared" si="30"/>
        <v>37.799999999999997</v>
      </c>
      <c r="P283" s="124">
        <v>44882</v>
      </c>
      <c r="Q283" s="18"/>
      <c r="R283" s="111">
        <v>1</v>
      </c>
      <c r="S283" s="111">
        <v>1</v>
      </c>
      <c r="T283" s="111">
        <v>0</v>
      </c>
      <c r="U283" s="20">
        <f>IF(ISBLANK(Table1[[#This Row],[OHC Date]]),$B$7-Table1[[#This Row],[HOC Date]]+1,Table1[[#This Row],[OHC Date]]-Table1[[#This Row],[HOC Date]]+1)/7</f>
        <v>1.2857142857142858</v>
      </c>
      <c r="V283" s="21">
        <v>8.52</v>
      </c>
      <c r="W283" s="21"/>
      <c r="X283" s="21">
        <f>ROUND(0.7*Table1[[#This Row],[E&amp;D Rate per unit]]*R283*Table1[[#This Row],[Quantity]],2)</f>
        <v>225.44</v>
      </c>
      <c r="Y283" s="21">
        <f t="shared" si="31"/>
        <v>0</v>
      </c>
      <c r="Z283" s="21">
        <f>ROUND(0.3*T283*Table1[[#This Row],[E&amp;D Rate per unit]]*Table1[[#This Row],[Quantity]],2)</f>
        <v>0</v>
      </c>
      <c r="AA283" s="21">
        <v>225.44</v>
      </c>
      <c r="AB283" s="138"/>
      <c r="AC283" s="138">
        <v>225.44</v>
      </c>
      <c r="AD283" s="136"/>
      <c r="AE283" s="153"/>
      <c r="AF283" s="161">
        <f>Table1[[#This Row],[Certified Amount (Cum)]]-Table1[[#This Row],[Certified Amount (Previous)]]</f>
        <v>225.44</v>
      </c>
      <c r="AG283" s="160">
        <f t="shared" si="32"/>
        <v>225.44</v>
      </c>
      <c r="AH283" s="158">
        <f>Table1[[#This Row],[Certified Amount (Cum)]]-Table1[[#This Row],[Total Amount]]</f>
        <v>0</v>
      </c>
      <c r="AK283" s="167">
        <f>Table1[[#This Row],[E&amp;D Rate per unit]]+Table1[[#This Row],[Hire Rate per week]]</f>
        <v>8.52</v>
      </c>
      <c r="AL283" s="8">
        <f>SUM(Table1[[#This Row],[Erect Charges]:[Dismantle Charges]])</f>
        <v>225.44</v>
      </c>
    </row>
    <row r="284" spans="1:38" ht="30" customHeight="1" x14ac:dyDescent="0.3">
      <c r="A284" s="107" t="s">
        <v>97</v>
      </c>
      <c r="B284" s="90" t="s">
        <v>98</v>
      </c>
      <c r="C284" s="147">
        <v>49</v>
      </c>
      <c r="D284" s="16">
        <v>77640</v>
      </c>
      <c r="E284" s="16"/>
      <c r="F284" s="17" t="s">
        <v>283</v>
      </c>
      <c r="G284" s="17" t="s">
        <v>165</v>
      </c>
      <c r="H284" s="16" t="s">
        <v>426</v>
      </c>
      <c r="I284" s="16">
        <v>1</v>
      </c>
      <c r="J284" s="16">
        <v>21</v>
      </c>
      <c r="K284" s="16">
        <v>1.8</v>
      </c>
      <c r="L284" s="16">
        <v>4</v>
      </c>
      <c r="M284" s="16">
        <v>1</v>
      </c>
      <c r="N284" s="91" t="s">
        <v>285</v>
      </c>
      <c r="O284" s="91">
        <f t="shared" si="30"/>
        <v>21</v>
      </c>
      <c r="P284" s="124">
        <v>44882</v>
      </c>
      <c r="Q284" s="18"/>
      <c r="R284" s="19">
        <v>1</v>
      </c>
      <c r="S284" s="19">
        <v>1</v>
      </c>
      <c r="T284" s="19">
        <v>0</v>
      </c>
      <c r="U284" s="20">
        <f>IF(ISBLANK(Table1[[#This Row],[OHC Date]]),$B$7-Table1[[#This Row],[HOC Date]]+1,Table1[[#This Row],[OHC Date]]-Table1[[#This Row],[HOC Date]]+1)/7</f>
        <v>1.2857142857142858</v>
      </c>
      <c r="V284" s="113">
        <v>1002.22</v>
      </c>
      <c r="W284" s="113">
        <v>98.12</v>
      </c>
      <c r="X284" s="21">
        <f>ROUND(0.7*Table1[[#This Row],[E&amp;D Rate per unit]]*R284*Table1[[#This Row],[Quantity]],2)</f>
        <v>14732.63</v>
      </c>
      <c r="Y284" s="21">
        <f t="shared" si="31"/>
        <v>2649.24</v>
      </c>
      <c r="Z284" s="21">
        <f>ROUND(0.3*T284*Table1[[#This Row],[E&amp;D Rate per unit]]*Table1[[#This Row],[Quantity]],2)</f>
        <v>0</v>
      </c>
      <c r="AA284" s="21">
        <v>17381.87</v>
      </c>
      <c r="AB284" s="138"/>
      <c r="AC284" s="138">
        <v>17381.87</v>
      </c>
      <c r="AD284" s="114" t="s">
        <v>284</v>
      </c>
      <c r="AE284" s="168"/>
      <c r="AF284" s="164">
        <f>Table1[[#This Row],[Certified Amount (Cum)]]-Table1[[#This Row],[Certified Amount (Previous)]]</f>
        <v>17381.87</v>
      </c>
      <c r="AG284" s="165">
        <f t="shared" si="32"/>
        <v>17381.87</v>
      </c>
      <c r="AH284" s="165">
        <f>Table1[[#This Row],[Certified Amount (Cum)]]-Table1[[#This Row],[Total Amount]]</f>
        <v>0</v>
      </c>
      <c r="AK284" s="167">
        <f>Table1[[#This Row],[E&amp;D Rate per unit]]+Table1[[#This Row],[Hire Rate per week]]</f>
        <v>1100.3400000000001</v>
      </c>
      <c r="AL284" s="8">
        <f>SUM(Table1[[#This Row],[Erect Charges]:[Dismantle Charges]])</f>
        <v>17381.87</v>
      </c>
    </row>
    <row r="285" spans="1:38" ht="30" customHeight="1" x14ac:dyDescent="0.3">
      <c r="A285" s="90" t="s">
        <v>91</v>
      </c>
      <c r="B285" s="90" t="s">
        <v>98</v>
      </c>
      <c r="C285" s="147" t="s">
        <v>427</v>
      </c>
      <c r="D285" s="16">
        <v>77641</v>
      </c>
      <c r="E285" s="16"/>
      <c r="F285" s="17" t="s">
        <v>425</v>
      </c>
      <c r="G285" s="17" t="s">
        <v>165</v>
      </c>
      <c r="H285" s="16" t="s">
        <v>178</v>
      </c>
      <c r="I285" s="16">
        <v>1</v>
      </c>
      <c r="J285" s="16">
        <v>15</v>
      </c>
      <c r="K285" s="16">
        <v>1</v>
      </c>
      <c r="L285" s="16">
        <v>1</v>
      </c>
      <c r="M285" s="16">
        <v>1</v>
      </c>
      <c r="N285" s="91" t="s">
        <v>162</v>
      </c>
      <c r="O285" s="91">
        <f t="shared" si="30"/>
        <v>15</v>
      </c>
      <c r="P285" s="124">
        <v>44882</v>
      </c>
      <c r="Q285" s="18"/>
      <c r="R285" s="19">
        <v>1</v>
      </c>
      <c r="S285" s="19">
        <v>1</v>
      </c>
      <c r="T285" s="19">
        <v>0</v>
      </c>
      <c r="U285" s="20">
        <f>IF(ISBLANK(Table1[[#This Row],[OHC Date]]),$B$7-Table1[[#This Row],[HOC Date]]+1,Table1[[#This Row],[OHC Date]]-Table1[[#This Row],[HOC Date]]+1)/7</f>
        <v>1.2857142857142858</v>
      </c>
      <c r="V285" s="21">
        <v>6.63</v>
      </c>
      <c r="W285" s="21">
        <v>0.7</v>
      </c>
      <c r="X285" s="21">
        <f>ROUND(0.7*Table1[[#This Row],[E&amp;D Rate per unit]]*R285*Table1[[#This Row],[Quantity]],2)</f>
        <v>69.62</v>
      </c>
      <c r="Y285" s="21">
        <f t="shared" si="31"/>
        <v>13.5</v>
      </c>
      <c r="Z285" s="21">
        <f>ROUND(0.3*T285*Table1[[#This Row],[E&amp;D Rate per unit]]*Table1[[#This Row],[Quantity]],2)</f>
        <v>0</v>
      </c>
      <c r="AA285" s="21">
        <v>83.12</v>
      </c>
      <c r="AB285" s="138"/>
      <c r="AC285" s="138">
        <v>83.12</v>
      </c>
      <c r="AD285" s="136"/>
      <c r="AE285" s="153"/>
      <c r="AF285" s="161">
        <f>Table1[[#This Row],[Certified Amount (Cum)]]-Table1[[#This Row],[Certified Amount (Previous)]]</f>
        <v>83.12</v>
      </c>
      <c r="AG285" s="160">
        <f t="shared" si="32"/>
        <v>83.12</v>
      </c>
      <c r="AH285" s="158">
        <f>Table1[[#This Row],[Certified Amount (Cum)]]-Table1[[#This Row],[Total Amount]]</f>
        <v>0</v>
      </c>
      <c r="AK285" s="167">
        <f>Table1[[#This Row],[E&amp;D Rate per unit]]+Table1[[#This Row],[Hire Rate per week]]</f>
        <v>7.33</v>
      </c>
      <c r="AL285" s="8">
        <f>SUM(Table1[[#This Row],[Erect Charges]:[Dismantle Charges]])</f>
        <v>83.12</v>
      </c>
    </row>
    <row r="286" spans="1:38" ht="30" customHeight="1" x14ac:dyDescent="0.3">
      <c r="A286" s="90" t="s">
        <v>91</v>
      </c>
      <c r="B286" s="90" t="s">
        <v>98</v>
      </c>
      <c r="C286" s="147">
        <v>50</v>
      </c>
      <c r="D286" s="16">
        <v>77642</v>
      </c>
      <c r="E286" s="16"/>
      <c r="F286" s="17" t="s">
        <v>373</v>
      </c>
      <c r="G286" s="17" t="s">
        <v>228</v>
      </c>
      <c r="H286" s="16" t="s">
        <v>222</v>
      </c>
      <c r="I286" s="16">
        <v>1</v>
      </c>
      <c r="J286" s="16">
        <v>2.5</v>
      </c>
      <c r="K286" s="16">
        <v>2.5</v>
      </c>
      <c r="L286" s="16">
        <v>4</v>
      </c>
      <c r="M286" s="16">
        <v>1</v>
      </c>
      <c r="N286" s="91" t="s">
        <v>223</v>
      </c>
      <c r="O286" s="91">
        <f t="shared" si="30"/>
        <v>4</v>
      </c>
      <c r="P286" s="124">
        <v>44883</v>
      </c>
      <c r="Q286" s="18"/>
      <c r="R286" s="19">
        <v>1</v>
      </c>
      <c r="S286" s="19">
        <v>1</v>
      </c>
      <c r="T286" s="19">
        <v>0</v>
      </c>
      <c r="U286" s="20">
        <f>IF(ISBLANK(Table1[[#This Row],[OHC Date]]),$B$7-Table1[[#This Row],[HOC Date]]+1,Table1[[#This Row],[OHC Date]]-Table1[[#This Row],[HOC Date]]+1)/7</f>
        <v>1.1428571428571428</v>
      </c>
      <c r="V286" s="21">
        <v>63.34</v>
      </c>
      <c r="W286" s="21">
        <v>7.28</v>
      </c>
      <c r="X286" s="21">
        <f>ROUND(0.7*Table1[[#This Row],[E&amp;D Rate per unit]]*R286*Table1[[#This Row],[Quantity]],2)</f>
        <v>177.35</v>
      </c>
      <c r="Y286" s="21">
        <f t="shared" si="31"/>
        <v>33.28</v>
      </c>
      <c r="Z286" s="21">
        <f>ROUND(0.3*T286*Table1[[#This Row],[E&amp;D Rate per unit]]*Table1[[#This Row],[Quantity]],2)</f>
        <v>0</v>
      </c>
      <c r="AA286" s="21">
        <v>210.63</v>
      </c>
      <c r="AB286" s="138"/>
      <c r="AC286" s="138">
        <v>210.63</v>
      </c>
      <c r="AD286" s="136"/>
      <c r="AE286" s="153"/>
      <c r="AF286" s="161">
        <f>Table1[[#This Row],[Certified Amount (Cum)]]-Table1[[#This Row],[Certified Amount (Previous)]]</f>
        <v>210.63</v>
      </c>
      <c r="AG286" s="160">
        <f t="shared" si="32"/>
        <v>210.63</v>
      </c>
      <c r="AH286" s="158">
        <f>Table1[[#This Row],[Certified Amount (Cum)]]-Table1[[#This Row],[Total Amount]]</f>
        <v>0</v>
      </c>
      <c r="AK286" s="167">
        <f>Table1[[#This Row],[E&amp;D Rate per unit]]+Table1[[#This Row],[Hire Rate per week]]</f>
        <v>70.62</v>
      </c>
      <c r="AL286" s="8">
        <f>SUM(Table1[[#This Row],[Erect Charges]:[Dismantle Charges]])</f>
        <v>210.63</v>
      </c>
    </row>
    <row r="287" spans="1:38" ht="30" customHeight="1" x14ac:dyDescent="0.3">
      <c r="A287" s="90" t="s">
        <v>91</v>
      </c>
      <c r="B287" s="90" t="s">
        <v>98</v>
      </c>
      <c r="C287" s="147">
        <v>51</v>
      </c>
      <c r="D287" s="16">
        <v>77643</v>
      </c>
      <c r="E287" s="16"/>
      <c r="F287" s="17" t="s">
        <v>386</v>
      </c>
      <c r="G287" s="17" t="s">
        <v>202</v>
      </c>
      <c r="H287" s="108" t="s">
        <v>120</v>
      </c>
      <c r="I287" s="16">
        <v>1</v>
      </c>
      <c r="J287" s="16">
        <v>3.8</v>
      </c>
      <c r="K287" s="16">
        <v>2.5</v>
      </c>
      <c r="L287" s="16">
        <v>2.8</v>
      </c>
      <c r="M287" s="16">
        <v>1</v>
      </c>
      <c r="N287" s="91" t="s">
        <v>208</v>
      </c>
      <c r="O287" s="91">
        <f t="shared" si="30"/>
        <v>10.64</v>
      </c>
      <c r="P287" s="124">
        <v>44883</v>
      </c>
      <c r="Q287" s="18"/>
      <c r="R287" s="19">
        <v>1</v>
      </c>
      <c r="S287" s="19">
        <v>1</v>
      </c>
      <c r="T287" s="19">
        <v>0</v>
      </c>
      <c r="U287" s="20">
        <f>IF(ISBLANK(Table1[[#This Row],[OHC Date]]),$B$7-Table1[[#This Row],[HOC Date]]+1,Table1[[#This Row],[OHC Date]]-Table1[[#This Row],[HOC Date]]+1)/7</f>
        <v>1.1428571428571428</v>
      </c>
      <c r="V287" s="113">
        <v>16.760000000000002</v>
      </c>
      <c r="W287" s="113">
        <v>0.77</v>
      </c>
      <c r="X287" s="21">
        <f>ROUND(0.7*Table1[[#This Row],[E&amp;D Rate per unit]]*R287*Table1[[#This Row],[Quantity]],2)</f>
        <v>124.83</v>
      </c>
      <c r="Y287" s="21">
        <f>ROUND(O287*U287*W287*S287,2)</f>
        <v>9.36</v>
      </c>
      <c r="Z287" s="21">
        <f>ROUND(0.3*T287*Table1[[#This Row],[E&amp;D Rate per unit]]*Table1[[#This Row],[Quantity]],2)</f>
        <v>0</v>
      </c>
      <c r="AA287" s="21">
        <v>134.19</v>
      </c>
      <c r="AB287" s="138"/>
      <c r="AC287" s="138">
        <v>134.19</v>
      </c>
      <c r="AD287" s="136"/>
      <c r="AE287" s="153"/>
      <c r="AF287" s="161">
        <f>Table1[[#This Row],[Certified Amount (Cum)]]-Table1[[#This Row],[Certified Amount (Previous)]]</f>
        <v>134.19</v>
      </c>
      <c r="AG287" s="160">
        <f t="shared" si="32"/>
        <v>134.19</v>
      </c>
      <c r="AH287" s="158">
        <f>Table1[[#This Row],[Certified Amount (Cum)]]-Table1[[#This Row],[Total Amount]]</f>
        <v>0</v>
      </c>
      <c r="AK287" s="167">
        <f>Table1[[#This Row],[E&amp;D Rate per unit]]+Table1[[#This Row],[Hire Rate per week]]</f>
        <v>17.53</v>
      </c>
      <c r="AL287" s="8">
        <f>SUM(Table1[[#This Row],[Erect Charges]:[Dismantle Charges]])</f>
        <v>134.19</v>
      </c>
    </row>
    <row r="288" spans="1:38" ht="30" customHeight="1" x14ac:dyDescent="0.3">
      <c r="A288" s="140" t="s">
        <v>428</v>
      </c>
      <c r="B288" s="90" t="s">
        <v>98</v>
      </c>
      <c r="C288" s="147">
        <v>52</v>
      </c>
      <c r="D288" s="16">
        <v>77645</v>
      </c>
      <c r="E288" s="16"/>
      <c r="F288" s="17" t="s">
        <v>429</v>
      </c>
      <c r="G288" s="17" t="s">
        <v>430</v>
      </c>
      <c r="H288" s="16" t="s">
        <v>222</v>
      </c>
      <c r="I288" s="16">
        <v>1</v>
      </c>
      <c r="J288" s="16">
        <v>2.5</v>
      </c>
      <c r="K288" s="16">
        <v>1.3</v>
      </c>
      <c r="L288" s="16">
        <v>3.5</v>
      </c>
      <c r="M288" s="16">
        <v>1</v>
      </c>
      <c r="N288" s="91" t="s">
        <v>56</v>
      </c>
      <c r="O288" s="91">
        <f t="shared" si="30"/>
        <v>1</v>
      </c>
      <c r="P288" s="124">
        <v>44883</v>
      </c>
      <c r="Q288" s="18"/>
      <c r="R288" s="19">
        <v>1</v>
      </c>
      <c r="S288" s="19">
        <v>1</v>
      </c>
      <c r="T288" s="19">
        <v>0</v>
      </c>
      <c r="U288" s="20">
        <f>IF(ISBLANK(Table1[[#This Row],[OHC Date]]),$B$7-Table1[[#This Row],[HOC Date]]+1,Table1[[#This Row],[OHC Date]]-Table1[[#This Row],[HOC Date]]+1)/7</f>
        <v>1.1428571428571428</v>
      </c>
      <c r="V288" s="21">
        <v>1278.3599999999999</v>
      </c>
      <c r="W288" s="21">
        <v>29.12</v>
      </c>
      <c r="X288" s="21">
        <f>ROUND(0.7*Table1[[#This Row],[E&amp;D Rate per unit]]*R288*Table1[[#This Row],[Quantity]],2)</f>
        <v>894.85</v>
      </c>
      <c r="Y288" s="21">
        <f t="shared" si="31"/>
        <v>33.28</v>
      </c>
      <c r="Z288" s="21">
        <f>ROUND(0.3*T288*Table1[[#This Row],[E&amp;D Rate per unit]]*Table1[[#This Row],[Quantity]],2)</f>
        <v>0</v>
      </c>
      <c r="AA288" s="21">
        <v>928.13</v>
      </c>
      <c r="AB288" s="138"/>
      <c r="AC288" s="138">
        <v>928.13</v>
      </c>
      <c r="AD288" s="141" t="s">
        <v>431</v>
      </c>
      <c r="AE288" s="168"/>
      <c r="AF288" s="164">
        <f>Table1[[#This Row],[Certified Amount (Cum)]]-Table1[[#This Row],[Certified Amount (Previous)]]</f>
        <v>928.13</v>
      </c>
      <c r="AG288" s="165">
        <f t="shared" si="32"/>
        <v>928.13</v>
      </c>
      <c r="AH288" s="165">
        <f>Table1[[#This Row],[Certified Amount (Cum)]]-Table1[[#This Row],[Total Amount]]</f>
        <v>0</v>
      </c>
      <c r="AK288" s="167">
        <f>Table1[[#This Row],[E&amp;D Rate per unit]]+Table1[[#This Row],[Hire Rate per week]]</f>
        <v>1307.4799999999998</v>
      </c>
      <c r="AL288" s="8">
        <f>SUM(Table1[[#This Row],[Erect Charges]:[Dismantle Charges]])</f>
        <v>928.13</v>
      </c>
    </row>
    <row r="289" spans="1:44" ht="30" customHeight="1" x14ac:dyDescent="0.3">
      <c r="A289" s="90" t="s">
        <v>91</v>
      </c>
      <c r="B289" s="90" t="s">
        <v>98</v>
      </c>
      <c r="C289" s="147" t="s">
        <v>432</v>
      </c>
      <c r="D289" s="16">
        <v>77645</v>
      </c>
      <c r="E289" s="16"/>
      <c r="F289" s="17" t="s">
        <v>429</v>
      </c>
      <c r="G289" s="17" t="s">
        <v>433</v>
      </c>
      <c r="H289" s="108" t="s">
        <v>129</v>
      </c>
      <c r="I289" s="16">
        <v>1</v>
      </c>
      <c r="J289" s="16">
        <v>1.3</v>
      </c>
      <c r="K289" s="16">
        <v>0.75</v>
      </c>
      <c r="L289" s="16">
        <v>1</v>
      </c>
      <c r="M289" s="16">
        <v>1</v>
      </c>
      <c r="N289" s="91" t="s">
        <v>162</v>
      </c>
      <c r="O289" s="91">
        <f t="shared" si="30"/>
        <v>0.98</v>
      </c>
      <c r="P289" s="124">
        <v>44883</v>
      </c>
      <c r="Q289" s="18"/>
      <c r="R289" s="19">
        <v>1</v>
      </c>
      <c r="S289" s="19">
        <v>1</v>
      </c>
      <c r="T289" s="19">
        <v>0</v>
      </c>
      <c r="U289" s="20">
        <f>IF(ISBLANK(Table1[[#This Row],[OHC Date]]),$B$7-Table1[[#This Row],[HOC Date]]+1,Table1[[#This Row],[OHC Date]]-Table1[[#This Row],[HOC Date]]+1)/7</f>
        <v>1.1428571428571428</v>
      </c>
      <c r="V289" s="21">
        <v>36.520000000000003</v>
      </c>
      <c r="W289" s="21">
        <v>2.94</v>
      </c>
      <c r="X289" s="21">
        <f>ROUND(0.7*Table1[[#This Row],[E&amp;D Rate per unit]]*R289*Table1[[#This Row],[Quantity]],2)</f>
        <v>25.05</v>
      </c>
      <c r="Y289" s="21">
        <f t="shared" si="31"/>
        <v>3.29</v>
      </c>
      <c r="Z289" s="21">
        <f>ROUND(0.3*T289*Table1[[#This Row],[E&amp;D Rate per unit]]*Table1[[#This Row],[Quantity]],2)</f>
        <v>0</v>
      </c>
      <c r="AA289" s="21">
        <v>28.34</v>
      </c>
      <c r="AB289" s="138"/>
      <c r="AC289" s="138">
        <v>28.34</v>
      </c>
      <c r="AD289" s="136"/>
      <c r="AE289" s="153"/>
      <c r="AF289" s="161">
        <f>Table1[[#This Row],[Certified Amount (Cum)]]-Table1[[#This Row],[Certified Amount (Previous)]]</f>
        <v>28.34</v>
      </c>
      <c r="AG289" s="160">
        <f t="shared" si="32"/>
        <v>28.34</v>
      </c>
      <c r="AH289" s="158">
        <f>Table1[[#This Row],[Certified Amount (Cum)]]-Table1[[#This Row],[Total Amount]]</f>
        <v>0</v>
      </c>
      <c r="AK289" s="167">
        <f>Table1[[#This Row],[E&amp;D Rate per unit]]+Table1[[#This Row],[Hire Rate per week]]</f>
        <v>39.46</v>
      </c>
      <c r="AL289" s="8">
        <f>SUM(Table1[[#This Row],[Erect Charges]:[Dismantle Charges]])</f>
        <v>28.34</v>
      </c>
      <c r="AP289" s="8">
        <f>12.01+37.43+36.52</f>
        <v>85.960000000000008</v>
      </c>
    </row>
    <row r="290" spans="1:44" ht="30" customHeight="1" x14ac:dyDescent="0.3">
      <c r="A290" s="90" t="s">
        <v>91</v>
      </c>
      <c r="B290" s="90" t="s">
        <v>98</v>
      </c>
      <c r="C290" s="147" t="s">
        <v>434</v>
      </c>
      <c r="D290" s="16">
        <v>77646</v>
      </c>
      <c r="E290" s="16"/>
      <c r="F290" s="17" t="s">
        <v>420</v>
      </c>
      <c r="G290" s="17" t="s">
        <v>253</v>
      </c>
      <c r="H290" s="16" t="s">
        <v>222</v>
      </c>
      <c r="I290" s="16">
        <v>1</v>
      </c>
      <c r="J290" s="16">
        <v>1.5</v>
      </c>
      <c r="K290" s="16">
        <v>0.5</v>
      </c>
      <c r="L290" s="16">
        <v>1.5</v>
      </c>
      <c r="M290" s="16">
        <v>1</v>
      </c>
      <c r="N290" s="91" t="s">
        <v>223</v>
      </c>
      <c r="O290" s="91">
        <f t="shared" si="30"/>
        <v>1.5</v>
      </c>
      <c r="P290" s="124">
        <v>44883</v>
      </c>
      <c r="Q290" s="18"/>
      <c r="R290" s="19">
        <v>1</v>
      </c>
      <c r="S290" s="19">
        <v>1</v>
      </c>
      <c r="T290" s="19">
        <v>0</v>
      </c>
      <c r="U290" s="20">
        <f>IF(ISBLANK(Table1[[#This Row],[OHC Date]]),$B$7-Table1[[#This Row],[HOC Date]]+1,Table1[[#This Row],[OHC Date]]-Table1[[#This Row],[HOC Date]]+1)/7</f>
        <v>1.1428571428571428</v>
      </c>
      <c r="V290" s="21">
        <v>63.34</v>
      </c>
      <c r="W290" s="21">
        <v>7.28</v>
      </c>
      <c r="X290" s="21">
        <f>ROUND(0.7*Table1[[#This Row],[E&amp;D Rate per unit]]*R290*Table1[[#This Row],[Quantity]],2)</f>
        <v>66.510000000000005</v>
      </c>
      <c r="Y290" s="21">
        <f t="shared" si="31"/>
        <v>12.48</v>
      </c>
      <c r="Z290" s="21">
        <f>ROUND(0.3*T290*Table1[[#This Row],[E&amp;D Rate per unit]]*Table1[[#This Row],[Quantity]],2)</f>
        <v>0</v>
      </c>
      <c r="AA290" s="21">
        <v>78.989999999999995</v>
      </c>
      <c r="AB290" s="138"/>
      <c r="AC290" s="138">
        <v>78.989999999999995</v>
      </c>
      <c r="AD290" s="136"/>
      <c r="AE290" s="153"/>
      <c r="AF290" s="161">
        <f>Table1[[#This Row],[Certified Amount (Cum)]]-Table1[[#This Row],[Certified Amount (Previous)]]</f>
        <v>78.990000000000009</v>
      </c>
      <c r="AG290" s="160">
        <f t="shared" si="32"/>
        <v>78.990000000000009</v>
      </c>
      <c r="AH290" s="158">
        <f>Table1[[#This Row],[Certified Amount (Cum)]]-Table1[[#This Row],[Total Amount]]</f>
        <v>0</v>
      </c>
      <c r="AK290" s="167">
        <f>Table1[[#This Row],[E&amp;D Rate per unit]]+Table1[[#This Row],[Hire Rate per week]]</f>
        <v>70.62</v>
      </c>
      <c r="AL290" s="8">
        <f>SUM(Table1[[#This Row],[Erect Charges]:[Dismantle Charges]])</f>
        <v>78.990000000000009</v>
      </c>
    </row>
    <row r="291" spans="1:44" ht="30" customHeight="1" x14ac:dyDescent="0.3">
      <c r="A291" s="90" t="s">
        <v>91</v>
      </c>
      <c r="B291" s="90" t="s">
        <v>98</v>
      </c>
      <c r="C291" s="147" t="s">
        <v>435</v>
      </c>
      <c r="D291" s="16">
        <v>77647</v>
      </c>
      <c r="E291" s="16"/>
      <c r="F291" s="17" t="s">
        <v>436</v>
      </c>
      <c r="G291" s="17" t="s">
        <v>228</v>
      </c>
      <c r="H291" s="108" t="s">
        <v>129</v>
      </c>
      <c r="I291" s="16">
        <v>1</v>
      </c>
      <c r="J291" s="16">
        <v>1.5</v>
      </c>
      <c r="K291" s="16">
        <v>1</v>
      </c>
      <c r="L291" s="16">
        <v>1</v>
      </c>
      <c r="M291" s="16">
        <v>1</v>
      </c>
      <c r="N291" s="91" t="s">
        <v>162</v>
      </c>
      <c r="O291" s="91">
        <f t="shared" si="30"/>
        <v>1.5</v>
      </c>
      <c r="P291" s="124">
        <v>44884</v>
      </c>
      <c r="Q291" s="18"/>
      <c r="R291" s="19">
        <v>1</v>
      </c>
      <c r="S291" s="19">
        <v>1</v>
      </c>
      <c r="T291" s="19">
        <v>0</v>
      </c>
      <c r="U291" s="20">
        <f>IF(ISBLANK(Table1[[#This Row],[OHC Date]]),$B$7-Table1[[#This Row],[HOC Date]]+1,Table1[[#This Row],[OHC Date]]-Table1[[#This Row],[HOC Date]]+1)/7</f>
        <v>1</v>
      </c>
      <c r="V291" s="21">
        <v>36.520000000000003</v>
      </c>
      <c r="W291" s="21">
        <v>2.94</v>
      </c>
      <c r="X291" s="21">
        <f>ROUND(0.7*Table1[[#This Row],[E&amp;D Rate per unit]]*R291*Table1[[#This Row],[Quantity]],2)</f>
        <v>38.35</v>
      </c>
      <c r="Y291" s="21">
        <f t="shared" si="31"/>
        <v>4.41</v>
      </c>
      <c r="Z291" s="21">
        <f>ROUND(0.3*T291*Table1[[#This Row],[E&amp;D Rate per unit]]*Table1[[#This Row],[Quantity]],2)</f>
        <v>0</v>
      </c>
      <c r="AA291" s="21">
        <v>42.76</v>
      </c>
      <c r="AB291" s="138"/>
      <c r="AC291" s="138">
        <v>42.76</v>
      </c>
      <c r="AD291" s="136"/>
      <c r="AE291" s="153"/>
      <c r="AF291" s="161">
        <f>Table1[[#This Row],[Certified Amount (Cum)]]-Table1[[#This Row],[Certified Amount (Previous)]]</f>
        <v>42.760000000000005</v>
      </c>
      <c r="AG291" s="160">
        <f t="shared" si="32"/>
        <v>42.760000000000005</v>
      </c>
      <c r="AH291" s="158">
        <f>Table1[[#This Row],[Certified Amount (Cum)]]-Table1[[#This Row],[Total Amount]]</f>
        <v>0</v>
      </c>
      <c r="AK291" s="167">
        <f>Table1[[#This Row],[E&amp;D Rate per unit]]+Table1[[#This Row],[Hire Rate per week]]</f>
        <v>39.46</v>
      </c>
      <c r="AL291" s="8">
        <f>SUM(Table1[[#This Row],[Erect Charges]:[Dismantle Charges]])</f>
        <v>42.760000000000005</v>
      </c>
      <c r="AO291" s="8">
        <f>0.49+0.49+2.94+0.7+8.52</f>
        <v>13.14</v>
      </c>
    </row>
    <row r="292" spans="1:44" ht="30" customHeight="1" x14ac:dyDescent="0.3">
      <c r="A292" s="90" t="s">
        <v>91</v>
      </c>
      <c r="B292" s="90" t="s">
        <v>98</v>
      </c>
      <c r="C292" s="145" t="s">
        <v>437</v>
      </c>
      <c r="D292" s="108">
        <v>77644</v>
      </c>
      <c r="E292" s="108"/>
      <c r="F292" s="109" t="s">
        <v>386</v>
      </c>
      <c r="G292" s="17" t="s">
        <v>202</v>
      </c>
      <c r="H292" s="108" t="s">
        <v>222</v>
      </c>
      <c r="I292" s="108">
        <v>1</v>
      </c>
      <c r="J292" s="108">
        <v>2.5</v>
      </c>
      <c r="K292" s="108">
        <v>0.9</v>
      </c>
      <c r="L292" s="108">
        <v>2.5</v>
      </c>
      <c r="M292" s="108">
        <v>1</v>
      </c>
      <c r="N292" s="110" t="s">
        <v>223</v>
      </c>
      <c r="O292" s="110">
        <f t="shared" ref="O292:O310" si="33">ROUND(IF(N292="m3",I292*J292*K292*L292,IF(N292="m2-LxH",I292*J292*L292,IF(N292="m2-LxW",I292*J292*K292,IF(N292="rm",I292*L292,IF(N292="lm",I292*J292,IF(N292="unit",I292,"NA")))))),2)</f>
        <v>2.5</v>
      </c>
      <c r="P292" s="124">
        <v>44883</v>
      </c>
      <c r="Q292" s="124"/>
      <c r="R292" s="111">
        <v>1</v>
      </c>
      <c r="S292" s="111">
        <v>1</v>
      </c>
      <c r="T292" s="111">
        <v>0</v>
      </c>
      <c r="U292" s="112">
        <f>IF(ISBLANK(Table1[[#This Row],[OHC Date]]),$B$7-Table1[[#This Row],[HOC Date]]+1,Table1[[#This Row],[OHC Date]]-Table1[[#This Row],[HOC Date]]+1)/7</f>
        <v>1.1428571428571428</v>
      </c>
      <c r="V292" s="113">
        <v>63.34</v>
      </c>
      <c r="W292" s="113">
        <v>7.28</v>
      </c>
      <c r="X292" s="113">
        <f>ROUND(0.7*Table1[[#This Row],[E&amp;D Rate per unit]]*R292*Table1[[#This Row],[Quantity]],2)</f>
        <v>110.85</v>
      </c>
      <c r="Y292" s="113">
        <f t="shared" ref="Y292:Y310" si="34">ROUND(O292*U292*W292*S292,2)</f>
        <v>20.8</v>
      </c>
      <c r="Z292" s="113">
        <f>ROUND(0.3*T292*Table1[[#This Row],[E&amp;D Rate per unit]]*Table1[[#This Row],[Quantity]],2)</f>
        <v>0</v>
      </c>
      <c r="AA292" s="113">
        <v>131.65</v>
      </c>
      <c r="AB292" s="135"/>
      <c r="AC292" s="135">
        <v>131.65</v>
      </c>
      <c r="AD292" s="114"/>
      <c r="AE292" s="153"/>
      <c r="AF292" s="161">
        <f>Table1[[#This Row],[Certified Amount (Cum)]]-Table1[[#This Row],[Certified Amount (Previous)]]</f>
        <v>131.65</v>
      </c>
      <c r="AG292" s="160">
        <f t="shared" si="32"/>
        <v>131.65</v>
      </c>
      <c r="AH292" s="158">
        <f>Table1[[#This Row],[Certified Amount (Cum)]]-Table1[[#This Row],[Total Amount]]</f>
        <v>0</v>
      </c>
      <c r="AK292" s="167">
        <f>Table1[[#This Row],[E&amp;D Rate per unit]]+Table1[[#This Row],[Hire Rate per week]]</f>
        <v>70.62</v>
      </c>
      <c r="AL292" s="8">
        <f>SUM(Table1[[#This Row],[Erect Charges]:[Dismantle Charges]])</f>
        <v>131.65</v>
      </c>
      <c r="AQ292" s="8" t="s">
        <v>493</v>
      </c>
      <c r="AR292" s="180" t="s">
        <v>494</v>
      </c>
    </row>
    <row r="293" spans="1:44" s="146" customFormat="1" ht="30" customHeight="1" x14ac:dyDescent="0.3">
      <c r="A293" s="140" t="s">
        <v>417</v>
      </c>
      <c r="B293" s="90" t="s">
        <v>98</v>
      </c>
      <c r="C293" s="145" t="s">
        <v>438</v>
      </c>
      <c r="D293" s="145">
        <v>77648</v>
      </c>
      <c r="E293" s="108"/>
      <c r="F293" s="109" t="s">
        <v>414</v>
      </c>
      <c r="G293" s="17" t="s">
        <v>202</v>
      </c>
      <c r="H293" s="108" t="s">
        <v>415</v>
      </c>
      <c r="I293" s="108">
        <v>1</v>
      </c>
      <c r="J293" s="108">
        <v>5.0999999999999996</v>
      </c>
      <c r="K293" s="108">
        <v>1.3</v>
      </c>
      <c r="L293" s="108">
        <v>5</v>
      </c>
      <c r="M293" s="108">
        <v>1</v>
      </c>
      <c r="N293" s="110" t="s">
        <v>208</v>
      </c>
      <c r="O293" s="110">
        <f t="shared" si="33"/>
        <v>25.5</v>
      </c>
      <c r="P293" s="124">
        <v>44886</v>
      </c>
      <c r="Q293" s="124"/>
      <c r="R293" s="111">
        <v>1</v>
      </c>
      <c r="S293" s="111">
        <v>1</v>
      </c>
      <c r="T293" s="111">
        <v>0</v>
      </c>
      <c r="U293" s="112">
        <f>IF(ISBLANK(Table1[[#This Row],[OHC Date]]),$B$7-Table1[[#This Row],[HOC Date]]+1,Table1[[#This Row],[OHC Date]]-Table1[[#This Row],[HOC Date]]+1)/7</f>
        <v>0.7142857142857143</v>
      </c>
      <c r="V293" s="113">
        <v>95.9</v>
      </c>
      <c r="W293" s="113">
        <v>13.9</v>
      </c>
      <c r="X293" s="113">
        <f>ROUND(0.7*Table1[[#This Row],[E&amp;D Rate per unit]]*R293*Table1[[#This Row],[Quantity]],2)</f>
        <v>1711.82</v>
      </c>
      <c r="Y293" s="113">
        <f t="shared" si="34"/>
        <v>253.18</v>
      </c>
      <c r="Z293" s="113">
        <f>ROUND(0.3*T293*Table1[[#This Row],[E&amp;D Rate per unit]]*Table1[[#This Row],[Quantity]],2)</f>
        <v>0</v>
      </c>
      <c r="AA293" s="113">
        <v>1965</v>
      </c>
      <c r="AB293" s="135"/>
      <c r="AC293" s="135">
        <v>1965</v>
      </c>
      <c r="AD293" s="141" t="s">
        <v>439</v>
      </c>
      <c r="AE293" s="153"/>
      <c r="AF293" s="161">
        <f>Table1[[#This Row],[Certified Amount (Cum)]]-Table1[[#This Row],[Certified Amount (Previous)]]</f>
        <v>1965</v>
      </c>
      <c r="AG293" s="160">
        <f t="shared" si="32"/>
        <v>1965</v>
      </c>
      <c r="AH293" s="160">
        <f>Table1[[#This Row],[Certified Amount (Cum)]]-Table1[[#This Row],[Total Amount]]</f>
        <v>0</v>
      </c>
      <c r="AK293" s="179">
        <f>Table1[[#This Row],[E&amp;D Rate per unit]]+Table1[[#This Row],[Hire Rate per week]]</f>
        <v>109.80000000000001</v>
      </c>
      <c r="AL293" s="146">
        <f>SUM(Table1[[#This Row],[Erect Charges]:[Dismantle Charges]])</f>
        <v>1965</v>
      </c>
      <c r="AQ293" s="146">
        <v>1234.6300000000001</v>
      </c>
      <c r="AR293" s="182">
        <v>50.37</v>
      </c>
    </row>
    <row r="294" spans="1:44" ht="30" customHeight="1" x14ac:dyDescent="0.3">
      <c r="A294" s="90" t="s">
        <v>91</v>
      </c>
      <c r="B294" s="90" t="s">
        <v>98</v>
      </c>
      <c r="C294" s="145">
        <v>53</v>
      </c>
      <c r="D294" s="108">
        <v>77649</v>
      </c>
      <c r="E294" s="108"/>
      <c r="F294" s="109" t="s">
        <v>440</v>
      </c>
      <c r="G294" s="17" t="s">
        <v>256</v>
      </c>
      <c r="H294" s="108" t="s">
        <v>120</v>
      </c>
      <c r="I294" s="108">
        <v>1</v>
      </c>
      <c r="J294" s="108">
        <v>4.3</v>
      </c>
      <c r="K294" s="108">
        <v>1.8</v>
      </c>
      <c r="L294" s="108">
        <v>4.5</v>
      </c>
      <c r="M294" s="108">
        <v>1</v>
      </c>
      <c r="N294" s="110" t="s">
        <v>208</v>
      </c>
      <c r="O294" s="110">
        <f t="shared" si="33"/>
        <v>19.350000000000001</v>
      </c>
      <c r="P294" s="124">
        <v>44886</v>
      </c>
      <c r="Q294" s="124"/>
      <c r="R294" s="111">
        <v>1</v>
      </c>
      <c r="S294" s="111">
        <v>1</v>
      </c>
      <c r="T294" s="111">
        <v>0</v>
      </c>
      <c r="U294" s="112">
        <f>IF(ISBLANK(Table1[[#This Row],[OHC Date]]),$B$7-Table1[[#This Row],[HOC Date]]+1,Table1[[#This Row],[OHC Date]]-Table1[[#This Row],[HOC Date]]+1)/7</f>
        <v>0.7142857142857143</v>
      </c>
      <c r="V294" s="113">
        <v>16.760000000000002</v>
      </c>
      <c r="W294" s="113">
        <v>0.77</v>
      </c>
      <c r="X294" s="113">
        <f>ROUND(0.7*Table1[[#This Row],[E&amp;D Rate per unit]]*R294*Table1[[#This Row],[Quantity]],2)</f>
        <v>227.01</v>
      </c>
      <c r="Y294" s="113">
        <f t="shared" si="34"/>
        <v>10.64</v>
      </c>
      <c r="Z294" s="113">
        <f>ROUND(0.3*T294*Table1[[#This Row],[E&amp;D Rate per unit]]*Table1[[#This Row],[Quantity]],2)</f>
        <v>0</v>
      </c>
      <c r="AA294" s="113">
        <v>237.65</v>
      </c>
      <c r="AB294" s="135"/>
      <c r="AC294" s="135">
        <v>237.65</v>
      </c>
      <c r="AD294" s="114"/>
      <c r="AE294" s="153"/>
      <c r="AF294" s="161">
        <f>Table1[[#This Row],[Certified Amount (Cum)]]-Table1[[#This Row],[Certified Amount (Previous)]]</f>
        <v>237.64999999999998</v>
      </c>
      <c r="AG294" s="160">
        <f t="shared" si="32"/>
        <v>237.64999999999998</v>
      </c>
      <c r="AH294" s="158">
        <f>Table1[[#This Row],[Certified Amount (Cum)]]-Table1[[#This Row],[Total Amount]]</f>
        <v>0</v>
      </c>
      <c r="AK294" s="167">
        <f>Table1[[#This Row],[E&amp;D Rate per unit]]+Table1[[#This Row],[Hire Rate per week]]</f>
        <v>17.53</v>
      </c>
      <c r="AL294" s="8">
        <f>SUM(Table1[[#This Row],[Erect Charges]:[Dismantle Charges]])</f>
        <v>237.64999999999998</v>
      </c>
      <c r="AQ294" s="8">
        <v>370.39</v>
      </c>
      <c r="AR294" s="180">
        <v>15.11</v>
      </c>
    </row>
    <row r="295" spans="1:44" ht="30" customHeight="1" x14ac:dyDescent="0.3">
      <c r="A295" s="90" t="s">
        <v>91</v>
      </c>
      <c r="B295" s="90" t="s">
        <v>98</v>
      </c>
      <c r="C295" s="145" t="s">
        <v>340</v>
      </c>
      <c r="D295" s="108">
        <v>79051</v>
      </c>
      <c r="E295" s="108"/>
      <c r="F295" s="109" t="s">
        <v>440</v>
      </c>
      <c r="G295" s="17" t="s">
        <v>256</v>
      </c>
      <c r="H295" s="108" t="s">
        <v>222</v>
      </c>
      <c r="I295" s="108">
        <v>1</v>
      </c>
      <c r="J295" s="108">
        <v>2.5</v>
      </c>
      <c r="K295" s="108">
        <v>1.8</v>
      </c>
      <c r="L295" s="108">
        <v>2.5</v>
      </c>
      <c r="M295" s="108">
        <v>1</v>
      </c>
      <c r="N295" s="110" t="s">
        <v>223</v>
      </c>
      <c r="O295" s="110">
        <f t="shared" si="33"/>
        <v>2.5</v>
      </c>
      <c r="P295" s="124">
        <v>44887</v>
      </c>
      <c r="Q295" s="124"/>
      <c r="R295" s="111">
        <v>1</v>
      </c>
      <c r="S295" s="111">
        <v>1</v>
      </c>
      <c r="T295" s="111">
        <v>0</v>
      </c>
      <c r="U295" s="112">
        <f>IF(ISBLANK(Table1[[#This Row],[OHC Date]]),$B$7-Table1[[#This Row],[HOC Date]]+1,Table1[[#This Row],[OHC Date]]-Table1[[#This Row],[HOC Date]]+1)/7</f>
        <v>0.5714285714285714</v>
      </c>
      <c r="V295" s="113">
        <v>63.34</v>
      </c>
      <c r="W295" s="113">
        <v>7.28</v>
      </c>
      <c r="X295" s="113">
        <f>ROUND(0.7*Table1[[#This Row],[E&amp;D Rate per unit]]*R295*Table1[[#This Row],[Quantity]],2)</f>
        <v>110.85</v>
      </c>
      <c r="Y295" s="113">
        <f t="shared" si="34"/>
        <v>10.4</v>
      </c>
      <c r="Z295" s="113">
        <f>ROUND(0.3*T295*Table1[[#This Row],[E&amp;D Rate per unit]]*Table1[[#This Row],[Quantity]],2)</f>
        <v>0</v>
      </c>
      <c r="AA295" s="113">
        <v>121.25</v>
      </c>
      <c r="AB295" s="135"/>
      <c r="AC295" s="135">
        <v>121.25</v>
      </c>
      <c r="AD295" s="114"/>
      <c r="AE295" s="153"/>
      <c r="AF295" s="161">
        <f>Table1[[#This Row],[Certified Amount (Cum)]]-Table1[[#This Row],[Certified Amount (Previous)]]</f>
        <v>121.25</v>
      </c>
      <c r="AG295" s="160">
        <f t="shared" si="32"/>
        <v>121.25</v>
      </c>
      <c r="AH295" s="158">
        <f>Table1[[#This Row],[Certified Amount (Cum)]]-Table1[[#This Row],[Total Amount]]</f>
        <v>0</v>
      </c>
      <c r="AK295" s="167">
        <f>Table1[[#This Row],[E&amp;D Rate per unit]]+Table1[[#This Row],[Hire Rate per week]]</f>
        <v>70.62</v>
      </c>
      <c r="AL295" s="8">
        <f>SUM(Table1[[#This Row],[Erect Charges]:[Dismantle Charges]])</f>
        <v>121.25</v>
      </c>
      <c r="AQ295" s="8">
        <v>1347.48</v>
      </c>
      <c r="AR295" s="180">
        <v>50.4</v>
      </c>
    </row>
    <row r="296" spans="1:44" ht="30" customHeight="1" x14ac:dyDescent="0.3">
      <c r="A296" s="140" t="s">
        <v>428</v>
      </c>
      <c r="B296" s="90" t="s">
        <v>98</v>
      </c>
      <c r="C296" s="145">
        <v>54</v>
      </c>
      <c r="D296" s="108">
        <v>79052</v>
      </c>
      <c r="E296" s="108"/>
      <c r="F296" s="17" t="s">
        <v>429</v>
      </c>
      <c r="G296" s="17" t="s">
        <v>441</v>
      </c>
      <c r="H296" s="108" t="s">
        <v>222</v>
      </c>
      <c r="I296" s="108">
        <v>1</v>
      </c>
      <c r="J296" s="108">
        <v>2.5</v>
      </c>
      <c r="K296" s="108">
        <v>1.3</v>
      </c>
      <c r="L296" s="108">
        <v>4</v>
      </c>
      <c r="M296" s="108">
        <v>1</v>
      </c>
      <c r="N296" s="110" t="s">
        <v>56</v>
      </c>
      <c r="O296" s="110">
        <f t="shared" si="33"/>
        <v>1</v>
      </c>
      <c r="P296" s="124">
        <v>44887</v>
      </c>
      <c r="Q296" s="124"/>
      <c r="R296" s="111">
        <v>1</v>
      </c>
      <c r="S296" s="111">
        <v>1</v>
      </c>
      <c r="T296" s="111">
        <v>0</v>
      </c>
      <c r="U296" s="112">
        <f>IF(ISBLANK(Table1[[#This Row],[OHC Date]]),$B$7-Table1[[#This Row],[HOC Date]]+1,Table1[[#This Row],[OHC Date]]-Table1[[#This Row],[HOC Date]]+1)/7</f>
        <v>0.5714285714285714</v>
      </c>
      <c r="V296" s="113">
        <v>1278.3599999999999</v>
      </c>
      <c r="W296" s="113">
        <v>29.12</v>
      </c>
      <c r="X296" s="113">
        <f>ROUND(0.7*Table1[[#This Row],[E&amp;D Rate per unit]]*R296*Table1[[#This Row],[Quantity]],2)</f>
        <v>894.85</v>
      </c>
      <c r="Y296" s="113">
        <f t="shared" si="34"/>
        <v>16.64</v>
      </c>
      <c r="Z296" s="113">
        <f>ROUND(0.3*T296*Table1[[#This Row],[E&amp;D Rate per unit]]*Table1[[#This Row],[Quantity]],2)</f>
        <v>0</v>
      </c>
      <c r="AA296" s="113">
        <v>911.49</v>
      </c>
      <c r="AB296" s="135"/>
      <c r="AC296" s="135">
        <v>911.49</v>
      </c>
      <c r="AD296" s="141" t="s">
        <v>442</v>
      </c>
      <c r="AE296" s="168"/>
      <c r="AF296" s="164">
        <f>Table1[[#This Row],[Certified Amount (Cum)]]-Table1[[#This Row],[Certified Amount (Previous)]]</f>
        <v>911.49</v>
      </c>
      <c r="AG296" s="165">
        <f t="shared" si="32"/>
        <v>911.49</v>
      </c>
      <c r="AH296" s="165">
        <f>Table1[[#This Row],[Certified Amount (Cum)]]-Table1[[#This Row],[Total Amount]]</f>
        <v>0</v>
      </c>
      <c r="AK296" s="167">
        <f>Table1[[#This Row],[E&amp;D Rate per unit]]+Table1[[#This Row],[Hire Rate per week]]</f>
        <v>1307.4799999999998</v>
      </c>
      <c r="AL296" s="8">
        <f>SUM(Table1[[#This Row],[Erect Charges]:[Dismantle Charges]])</f>
        <v>911.49</v>
      </c>
      <c r="AQ296" s="8">
        <v>750.85</v>
      </c>
      <c r="AR296" s="180">
        <v>60.45</v>
      </c>
    </row>
    <row r="297" spans="1:44" ht="30" customHeight="1" x14ac:dyDescent="0.3">
      <c r="A297" s="90" t="s">
        <v>91</v>
      </c>
      <c r="B297" s="90" t="s">
        <v>98</v>
      </c>
      <c r="C297" s="145" t="s">
        <v>443</v>
      </c>
      <c r="D297" s="108">
        <v>79052</v>
      </c>
      <c r="E297" s="108"/>
      <c r="F297" s="17" t="s">
        <v>429</v>
      </c>
      <c r="G297" s="17" t="s">
        <v>441</v>
      </c>
      <c r="H297" s="108" t="s">
        <v>129</v>
      </c>
      <c r="I297" s="108">
        <v>1</v>
      </c>
      <c r="J297" s="108">
        <v>1.5</v>
      </c>
      <c r="K297" s="108">
        <v>1.3</v>
      </c>
      <c r="L297" s="108">
        <v>1</v>
      </c>
      <c r="M297" s="108">
        <v>1</v>
      </c>
      <c r="N297" s="110" t="s">
        <v>162</v>
      </c>
      <c r="O297" s="110">
        <f t="shared" si="33"/>
        <v>1.95</v>
      </c>
      <c r="P297" s="124">
        <v>44887</v>
      </c>
      <c r="Q297" s="124"/>
      <c r="R297" s="111">
        <v>1</v>
      </c>
      <c r="S297" s="111">
        <v>1</v>
      </c>
      <c r="T297" s="111">
        <v>0</v>
      </c>
      <c r="U297" s="112">
        <f>IF(ISBLANK(Table1[[#This Row],[OHC Date]]),$B$7-Table1[[#This Row],[HOC Date]]+1,Table1[[#This Row],[OHC Date]]-Table1[[#This Row],[HOC Date]]+1)/7</f>
        <v>0.5714285714285714</v>
      </c>
      <c r="V297" s="113">
        <v>36.520000000000003</v>
      </c>
      <c r="W297" s="113">
        <v>2.94</v>
      </c>
      <c r="X297" s="113">
        <f>ROUND(0.7*Table1[[#This Row],[E&amp;D Rate per unit]]*R297*Table1[[#This Row],[Quantity]],2)</f>
        <v>49.85</v>
      </c>
      <c r="Y297" s="113">
        <f t="shared" si="34"/>
        <v>3.28</v>
      </c>
      <c r="Z297" s="113">
        <f>ROUND(0.3*T297*Table1[[#This Row],[E&amp;D Rate per unit]]*Table1[[#This Row],[Quantity]],2)</f>
        <v>0</v>
      </c>
      <c r="AA297" s="113">
        <v>53.13</v>
      </c>
      <c r="AB297" s="135"/>
      <c r="AC297" s="135">
        <v>53.13</v>
      </c>
      <c r="AD297" s="114"/>
      <c r="AE297" s="153"/>
      <c r="AF297" s="161">
        <f>Table1[[#This Row],[Certified Amount (Cum)]]-Table1[[#This Row],[Certified Amount (Previous)]]</f>
        <v>53.13</v>
      </c>
      <c r="AG297" s="160">
        <f t="shared" si="32"/>
        <v>53.13</v>
      </c>
      <c r="AH297" s="158">
        <f>Table1[[#This Row],[Certified Amount (Cum)]]-Table1[[#This Row],[Total Amount]]</f>
        <v>0</v>
      </c>
      <c r="AK297" s="167">
        <f>Table1[[#This Row],[E&amp;D Rate per unit]]+Table1[[#This Row],[Hire Rate per week]]</f>
        <v>39.46</v>
      </c>
      <c r="AL297" s="8">
        <f>SUM(Table1[[#This Row],[Erect Charges]:[Dismantle Charges]])</f>
        <v>53.13</v>
      </c>
      <c r="AQ297" s="8">
        <v>177.21</v>
      </c>
      <c r="AR297" s="180">
        <v>18.71</v>
      </c>
    </row>
    <row r="298" spans="1:44" ht="30" customHeight="1" x14ac:dyDescent="0.3">
      <c r="A298" s="90" t="s">
        <v>91</v>
      </c>
      <c r="B298" s="90" t="s">
        <v>98</v>
      </c>
      <c r="C298" s="145">
        <v>55</v>
      </c>
      <c r="D298" s="108">
        <v>79053</v>
      </c>
      <c r="E298" s="108"/>
      <c r="F298" s="109" t="s">
        <v>420</v>
      </c>
      <c r="G298" s="17" t="s">
        <v>276</v>
      </c>
      <c r="H298" s="108" t="s">
        <v>222</v>
      </c>
      <c r="I298" s="108">
        <v>1</v>
      </c>
      <c r="J298" s="108">
        <v>2.5</v>
      </c>
      <c r="K298" s="108">
        <v>1</v>
      </c>
      <c r="L298" s="108">
        <v>4.7</v>
      </c>
      <c r="M298" s="108">
        <v>1</v>
      </c>
      <c r="N298" s="110" t="s">
        <v>223</v>
      </c>
      <c r="O298" s="110">
        <f t="shared" si="33"/>
        <v>4.7</v>
      </c>
      <c r="P298" s="124">
        <v>44887</v>
      </c>
      <c r="Q298" s="124"/>
      <c r="R298" s="111">
        <v>1</v>
      </c>
      <c r="S298" s="111">
        <v>1</v>
      </c>
      <c r="T298" s="111">
        <v>0</v>
      </c>
      <c r="U298" s="112">
        <f>IF(ISBLANK(Table1[[#This Row],[OHC Date]]),$B$7-Table1[[#This Row],[HOC Date]]+1,Table1[[#This Row],[OHC Date]]-Table1[[#This Row],[HOC Date]]+1)/7</f>
        <v>0.5714285714285714</v>
      </c>
      <c r="V298" s="113">
        <v>63.34</v>
      </c>
      <c r="W298" s="113">
        <v>7.28</v>
      </c>
      <c r="X298" s="113">
        <f>ROUND(0.7*Table1[[#This Row],[E&amp;D Rate per unit]]*R298*Table1[[#This Row],[Quantity]],2)</f>
        <v>208.39</v>
      </c>
      <c r="Y298" s="113">
        <f t="shared" si="34"/>
        <v>19.55</v>
      </c>
      <c r="Z298" s="113">
        <f>ROUND(0.3*T298*Table1[[#This Row],[E&amp;D Rate per unit]]*Table1[[#This Row],[Quantity]],2)</f>
        <v>0</v>
      </c>
      <c r="AA298" s="113">
        <v>227.94</v>
      </c>
      <c r="AB298" s="135"/>
      <c r="AC298" s="135">
        <v>227.94</v>
      </c>
      <c r="AD298" s="114"/>
      <c r="AE298" s="153"/>
      <c r="AF298" s="161">
        <f>Table1[[#This Row],[Certified Amount (Cum)]]-Table1[[#This Row],[Certified Amount (Previous)]]</f>
        <v>227.94</v>
      </c>
      <c r="AG298" s="160">
        <f t="shared" si="32"/>
        <v>227.94</v>
      </c>
      <c r="AH298" s="158">
        <f>Table1[[#This Row],[Certified Amount (Cum)]]-Table1[[#This Row],[Total Amount]]</f>
        <v>0</v>
      </c>
      <c r="AK298" s="167">
        <f>Table1[[#This Row],[E&amp;D Rate per unit]]+Table1[[#This Row],[Hire Rate per week]]</f>
        <v>70.62</v>
      </c>
      <c r="AL298" s="8">
        <f>SUM(Table1[[#This Row],[Erect Charges]:[Dismantle Charges]])</f>
        <v>227.94</v>
      </c>
      <c r="AR298" s="180">
        <f>SUM(AR293:AR297)</f>
        <v>195.04</v>
      </c>
    </row>
    <row r="299" spans="1:44" ht="30" customHeight="1" x14ac:dyDescent="0.3">
      <c r="A299" s="90" t="s">
        <v>91</v>
      </c>
      <c r="B299" s="90" t="s">
        <v>98</v>
      </c>
      <c r="C299" s="145" t="s">
        <v>444</v>
      </c>
      <c r="D299" s="108">
        <v>79053</v>
      </c>
      <c r="E299" s="108"/>
      <c r="F299" s="109" t="s">
        <v>420</v>
      </c>
      <c r="G299" s="17" t="s">
        <v>276</v>
      </c>
      <c r="H299" s="108" t="s">
        <v>128</v>
      </c>
      <c r="I299" s="108">
        <v>1</v>
      </c>
      <c r="J299" s="108">
        <v>1</v>
      </c>
      <c r="K299" s="108">
        <v>0.5</v>
      </c>
      <c r="L299" s="108">
        <v>1</v>
      </c>
      <c r="M299" s="108">
        <v>1</v>
      </c>
      <c r="N299" s="110" t="s">
        <v>162</v>
      </c>
      <c r="O299" s="110">
        <f t="shared" si="33"/>
        <v>0.5</v>
      </c>
      <c r="P299" s="124">
        <v>44887</v>
      </c>
      <c r="Q299" s="124"/>
      <c r="R299" s="111">
        <v>1</v>
      </c>
      <c r="S299" s="111">
        <v>1</v>
      </c>
      <c r="T299" s="111">
        <v>0</v>
      </c>
      <c r="U299" s="112">
        <f>IF(ISBLANK(Table1[[#This Row],[OHC Date]]),$B$7-Table1[[#This Row],[HOC Date]]+1,Table1[[#This Row],[OHC Date]]-Table1[[#This Row],[HOC Date]]+1)/7</f>
        <v>0.5714285714285714</v>
      </c>
      <c r="V299" s="113">
        <v>32.75</v>
      </c>
      <c r="W299" s="113">
        <v>1.05</v>
      </c>
      <c r="X299" s="113">
        <f>ROUND(0.7*Table1[[#This Row],[E&amp;D Rate per unit]]*R299*Table1[[#This Row],[Quantity]],2)</f>
        <v>11.46</v>
      </c>
      <c r="Y299" s="113">
        <f t="shared" si="34"/>
        <v>0.3</v>
      </c>
      <c r="Z299" s="113">
        <f>ROUND(0.3*T299*Table1[[#This Row],[E&amp;D Rate per unit]]*Table1[[#This Row],[Quantity]],2)</f>
        <v>0</v>
      </c>
      <c r="AA299" s="113">
        <v>11.76</v>
      </c>
      <c r="AB299" s="135"/>
      <c r="AC299" s="135">
        <v>11.76</v>
      </c>
      <c r="AD299" s="114"/>
      <c r="AE299" s="153"/>
      <c r="AF299" s="161">
        <f>Table1[[#This Row],[Certified Amount (Cum)]]-Table1[[#This Row],[Certified Amount (Previous)]]</f>
        <v>11.760000000000002</v>
      </c>
      <c r="AG299" s="160">
        <f t="shared" si="32"/>
        <v>11.760000000000002</v>
      </c>
      <c r="AH299" s="158">
        <f>Table1[[#This Row],[Certified Amount (Cum)]]-Table1[[#This Row],[Total Amount]]</f>
        <v>0</v>
      </c>
      <c r="AK299" s="167">
        <f>Table1[[#This Row],[E&amp;D Rate per unit]]+Table1[[#This Row],[Hire Rate per week]]</f>
        <v>33.799999999999997</v>
      </c>
      <c r="AL299" s="8">
        <f>SUM(Table1[[#This Row],[Erect Charges]:[Dismantle Charges]])</f>
        <v>11.760000000000002</v>
      </c>
      <c r="AQ299" s="8">
        <f>SUM(AQ293:AQ297)</f>
        <v>3880.56</v>
      </c>
    </row>
    <row r="300" spans="1:44" ht="30" customHeight="1" x14ac:dyDescent="0.3">
      <c r="A300" s="90" t="s">
        <v>91</v>
      </c>
      <c r="B300" s="90" t="s">
        <v>98</v>
      </c>
      <c r="C300" s="145">
        <v>55</v>
      </c>
      <c r="D300" s="108">
        <v>79053</v>
      </c>
      <c r="E300" s="108"/>
      <c r="F300" s="109" t="s">
        <v>420</v>
      </c>
      <c r="G300" s="17" t="s">
        <v>276</v>
      </c>
      <c r="H300" s="108" t="s">
        <v>422</v>
      </c>
      <c r="I300" s="108">
        <v>1</v>
      </c>
      <c r="J300" s="108">
        <v>25</v>
      </c>
      <c r="K300" s="108">
        <v>1</v>
      </c>
      <c r="L300" s="108">
        <v>1</v>
      </c>
      <c r="M300" s="108">
        <v>1</v>
      </c>
      <c r="N300" s="110" t="s">
        <v>208</v>
      </c>
      <c r="O300" s="110">
        <f t="shared" si="33"/>
        <v>25</v>
      </c>
      <c r="P300" s="124">
        <v>44887</v>
      </c>
      <c r="Q300" s="124"/>
      <c r="R300" s="111">
        <v>1</v>
      </c>
      <c r="S300" s="111">
        <v>1</v>
      </c>
      <c r="T300" s="111">
        <v>0</v>
      </c>
      <c r="U300" s="112">
        <f>IF(ISBLANK(Table1[[#This Row],[OHC Date]]),$B$7-Table1[[#This Row],[HOC Date]]+1,Table1[[#This Row],[OHC Date]]-Table1[[#This Row],[HOC Date]]+1)/7</f>
        <v>0.5714285714285714</v>
      </c>
      <c r="V300" s="113">
        <v>8.52</v>
      </c>
      <c r="W300" s="113">
        <v>0</v>
      </c>
      <c r="X300" s="113">
        <f>ROUND(0.7*Table1[[#This Row],[E&amp;D Rate per unit]]*R300*Table1[[#This Row],[Quantity]],2)</f>
        <v>149.1</v>
      </c>
      <c r="Y300" s="113">
        <f t="shared" si="34"/>
        <v>0</v>
      </c>
      <c r="Z300" s="113">
        <f>ROUND(0.3*T300*Table1[[#This Row],[E&amp;D Rate per unit]]*Table1[[#This Row],[Quantity]],2)</f>
        <v>0</v>
      </c>
      <c r="AA300" s="113">
        <v>149.1</v>
      </c>
      <c r="AB300" s="135"/>
      <c r="AC300" s="135">
        <v>149.1</v>
      </c>
      <c r="AD300" s="114"/>
      <c r="AE300" s="153"/>
      <c r="AF300" s="161">
        <f>Table1[[#This Row],[Certified Amount (Cum)]]-Table1[[#This Row],[Certified Amount (Previous)]]</f>
        <v>149.1</v>
      </c>
      <c r="AG300" s="160">
        <f t="shared" si="32"/>
        <v>149.1</v>
      </c>
      <c r="AH300" s="158">
        <f>Table1[[#This Row],[Certified Amount (Cum)]]-Table1[[#This Row],[Total Amount]]</f>
        <v>0</v>
      </c>
      <c r="AK300" s="167">
        <f>Table1[[#This Row],[E&amp;D Rate per unit]]+Table1[[#This Row],[Hire Rate per week]]</f>
        <v>8.52</v>
      </c>
      <c r="AL300" s="8">
        <f>SUM(Table1[[#This Row],[Erect Charges]:[Dismantle Charges]])</f>
        <v>149.1</v>
      </c>
    </row>
    <row r="301" spans="1:44" ht="30" customHeight="1" x14ac:dyDescent="0.3">
      <c r="A301" s="90" t="s">
        <v>91</v>
      </c>
      <c r="B301" s="90" t="s">
        <v>98</v>
      </c>
      <c r="C301" s="145" t="s">
        <v>445</v>
      </c>
      <c r="D301" s="108">
        <v>79054</v>
      </c>
      <c r="E301" s="108"/>
      <c r="F301" s="109" t="s">
        <v>420</v>
      </c>
      <c r="G301" s="17" t="s">
        <v>446</v>
      </c>
      <c r="H301" s="108" t="s">
        <v>129</v>
      </c>
      <c r="I301" s="108">
        <v>1</v>
      </c>
      <c r="J301" s="108">
        <v>1.5</v>
      </c>
      <c r="K301" s="108">
        <v>1.2</v>
      </c>
      <c r="L301" s="108">
        <v>1</v>
      </c>
      <c r="M301" s="108">
        <v>1</v>
      </c>
      <c r="N301" s="110" t="s">
        <v>162</v>
      </c>
      <c r="O301" s="110">
        <f t="shared" si="33"/>
        <v>1.8</v>
      </c>
      <c r="P301" s="124">
        <v>44887</v>
      </c>
      <c r="Q301" s="124"/>
      <c r="R301" s="111">
        <v>1</v>
      </c>
      <c r="S301" s="111">
        <v>1</v>
      </c>
      <c r="T301" s="111">
        <v>0</v>
      </c>
      <c r="U301" s="112">
        <f>IF(ISBLANK(Table1[[#This Row],[OHC Date]]),$B$7-Table1[[#This Row],[HOC Date]]+1,Table1[[#This Row],[OHC Date]]-Table1[[#This Row],[HOC Date]]+1)/7</f>
        <v>0.5714285714285714</v>
      </c>
      <c r="V301" s="113">
        <v>36.520000000000003</v>
      </c>
      <c r="W301" s="113">
        <v>2.94</v>
      </c>
      <c r="X301" s="113">
        <f>ROUND(0.7*Table1[[#This Row],[E&amp;D Rate per unit]]*R301*Table1[[#This Row],[Quantity]],2)</f>
        <v>46.02</v>
      </c>
      <c r="Y301" s="113">
        <f t="shared" si="34"/>
        <v>3.02</v>
      </c>
      <c r="Z301" s="113">
        <f>ROUND(0.3*T301*Table1[[#This Row],[E&amp;D Rate per unit]]*Table1[[#This Row],[Quantity]],2)</f>
        <v>0</v>
      </c>
      <c r="AA301" s="113">
        <v>49.04</v>
      </c>
      <c r="AB301" s="135"/>
      <c r="AC301" s="135">
        <v>49.04</v>
      </c>
      <c r="AD301" s="114"/>
      <c r="AE301" s="153"/>
      <c r="AF301" s="161">
        <f>Table1[[#This Row],[Certified Amount (Cum)]]-Table1[[#This Row],[Certified Amount (Previous)]]</f>
        <v>49.040000000000006</v>
      </c>
      <c r="AG301" s="160">
        <f t="shared" si="32"/>
        <v>49.040000000000006</v>
      </c>
      <c r="AH301" s="158">
        <f>Table1[[#This Row],[Certified Amount (Cum)]]-Table1[[#This Row],[Total Amount]]</f>
        <v>0</v>
      </c>
      <c r="AK301" s="167">
        <f>Table1[[#This Row],[E&amp;D Rate per unit]]+Table1[[#This Row],[Hire Rate per week]]</f>
        <v>39.46</v>
      </c>
      <c r="AL301" s="8">
        <f>SUM(Table1[[#This Row],[Erect Charges]:[Dismantle Charges]])</f>
        <v>49.040000000000006</v>
      </c>
    </row>
    <row r="302" spans="1:44" ht="30" customHeight="1" x14ac:dyDescent="0.3">
      <c r="A302" s="140" t="s">
        <v>428</v>
      </c>
      <c r="B302" s="90" t="s">
        <v>98</v>
      </c>
      <c r="C302" s="145">
        <v>56</v>
      </c>
      <c r="D302" s="108">
        <v>79055</v>
      </c>
      <c r="E302" s="108"/>
      <c r="F302" s="109" t="s">
        <v>429</v>
      </c>
      <c r="G302" s="17" t="s">
        <v>280</v>
      </c>
      <c r="H302" s="108" t="s">
        <v>222</v>
      </c>
      <c r="I302" s="108">
        <v>1</v>
      </c>
      <c r="J302" s="108">
        <v>2.5</v>
      </c>
      <c r="K302" s="108">
        <v>1</v>
      </c>
      <c r="L302" s="108">
        <v>3.5</v>
      </c>
      <c r="M302" s="108">
        <v>1</v>
      </c>
      <c r="N302" s="110" t="s">
        <v>56</v>
      </c>
      <c r="O302" s="110">
        <f t="shared" si="33"/>
        <v>1</v>
      </c>
      <c r="P302" s="124">
        <v>44888</v>
      </c>
      <c r="Q302" s="124"/>
      <c r="R302" s="111">
        <v>1</v>
      </c>
      <c r="S302" s="111">
        <v>1</v>
      </c>
      <c r="T302" s="111">
        <v>0</v>
      </c>
      <c r="U302" s="112">
        <f>IF(ISBLANK(Table1[[#This Row],[OHC Date]]),$B$7-Table1[[#This Row],[HOC Date]]+1,Table1[[#This Row],[OHC Date]]-Table1[[#This Row],[HOC Date]]+1)/7</f>
        <v>0.42857142857142855</v>
      </c>
      <c r="V302" s="113">
        <v>1278.3599999999999</v>
      </c>
      <c r="W302" s="113">
        <v>29.12</v>
      </c>
      <c r="X302" s="113">
        <f>ROUND(0.7*Table1[[#This Row],[E&amp;D Rate per unit]]*R302*Table1[[#This Row],[Quantity]],2)</f>
        <v>894.85</v>
      </c>
      <c r="Y302" s="113">
        <f t="shared" si="34"/>
        <v>12.48</v>
      </c>
      <c r="Z302" s="113">
        <f>ROUND(0.3*T302*Table1[[#This Row],[E&amp;D Rate per unit]]*Table1[[#This Row],[Quantity]],2)</f>
        <v>0</v>
      </c>
      <c r="AA302" s="113">
        <v>907.33</v>
      </c>
      <c r="AB302" s="135"/>
      <c r="AC302" s="135">
        <v>907.33</v>
      </c>
      <c r="AD302" s="141" t="s">
        <v>447</v>
      </c>
      <c r="AE302" s="168"/>
      <c r="AF302" s="164">
        <f>Table1[[#This Row],[Certified Amount (Cum)]]-Table1[[#This Row],[Certified Amount (Previous)]]</f>
        <v>907.33</v>
      </c>
      <c r="AG302" s="165">
        <f t="shared" si="32"/>
        <v>907.33</v>
      </c>
      <c r="AH302" s="165">
        <f>Table1[[#This Row],[Certified Amount (Cum)]]-Table1[[#This Row],[Total Amount]]</f>
        <v>0</v>
      </c>
      <c r="AK302" s="167">
        <f>Table1[[#This Row],[E&amp;D Rate per unit]]+Table1[[#This Row],[Hire Rate per week]]</f>
        <v>1307.4799999999998</v>
      </c>
      <c r="AL302" s="8">
        <f>SUM(Table1[[#This Row],[Erect Charges]:[Dismantle Charges]])</f>
        <v>907.33</v>
      </c>
    </row>
    <row r="303" spans="1:44" ht="30" customHeight="1" x14ac:dyDescent="0.3">
      <c r="A303" s="90" t="s">
        <v>91</v>
      </c>
      <c r="B303" s="90" t="s">
        <v>98</v>
      </c>
      <c r="C303" s="145" t="s">
        <v>448</v>
      </c>
      <c r="D303" s="108">
        <v>79055</v>
      </c>
      <c r="E303" s="108"/>
      <c r="F303" s="109" t="s">
        <v>429</v>
      </c>
      <c r="G303" s="17" t="s">
        <v>280</v>
      </c>
      <c r="H303" s="108" t="s">
        <v>129</v>
      </c>
      <c r="I303" s="108">
        <v>1</v>
      </c>
      <c r="J303" s="108">
        <v>1.5</v>
      </c>
      <c r="K303" s="108">
        <v>1</v>
      </c>
      <c r="L303" s="108">
        <v>1</v>
      </c>
      <c r="M303" s="108">
        <v>1</v>
      </c>
      <c r="N303" s="110" t="s">
        <v>162</v>
      </c>
      <c r="O303" s="110">
        <f t="shared" si="33"/>
        <v>1.5</v>
      </c>
      <c r="P303" s="124">
        <v>44888</v>
      </c>
      <c r="Q303" s="124"/>
      <c r="R303" s="111">
        <v>1</v>
      </c>
      <c r="S303" s="111">
        <v>1</v>
      </c>
      <c r="T303" s="111">
        <v>0</v>
      </c>
      <c r="U303" s="112">
        <f>IF(ISBLANK(Table1[[#This Row],[OHC Date]]),$B$7-Table1[[#This Row],[HOC Date]]+1,Table1[[#This Row],[OHC Date]]-Table1[[#This Row],[HOC Date]]+1)/7</f>
        <v>0.42857142857142855</v>
      </c>
      <c r="V303" s="113">
        <v>36.520000000000003</v>
      </c>
      <c r="W303" s="113">
        <v>2.94</v>
      </c>
      <c r="X303" s="113">
        <f>ROUND(0.7*Table1[[#This Row],[E&amp;D Rate per unit]]*R303*Table1[[#This Row],[Quantity]],2)</f>
        <v>38.35</v>
      </c>
      <c r="Y303" s="113">
        <f t="shared" si="34"/>
        <v>1.89</v>
      </c>
      <c r="Z303" s="113">
        <f>ROUND(0.3*T303*Table1[[#This Row],[E&amp;D Rate per unit]]*Table1[[#This Row],[Quantity]],2)</f>
        <v>0</v>
      </c>
      <c r="AA303" s="113">
        <v>40.24</v>
      </c>
      <c r="AB303" s="135"/>
      <c r="AC303" s="135">
        <v>40.24</v>
      </c>
      <c r="AD303" s="114"/>
      <c r="AE303" s="153"/>
      <c r="AF303" s="161">
        <f>Table1[[#This Row],[Certified Amount (Cum)]]-Table1[[#This Row],[Certified Amount (Previous)]]</f>
        <v>40.24</v>
      </c>
      <c r="AG303" s="160">
        <f t="shared" si="32"/>
        <v>40.24</v>
      </c>
      <c r="AH303" s="158">
        <f>Table1[[#This Row],[Certified Amount (Cum)]]-Table1[[#This Row],[Total Amount]]</f>
        <v>0</v>
      </c>
      <c r="AK303" s="167">
        <f>Table1[[#This Row],[E&amp;D Rate per unit]]+Table1[[#This Row],[Hire Rate per week]]</f>
        <v>39.46</v>
      </c>
      <c r="AL303" s="8">
        <f>SUM(Table1[[#This Row],[Erect Charges]:[Dismantle Charges]])</f>
        <v>40.24</v>
      </c>
    </row>
    <row r="304" spans="1:44" ht="30" customHeight="1" x14ac:dyDescent="0.3">
      <c r="A304" s="140" t="s">
        <v>428</v>
      </c>
      <c r="B304" s="90" t="s">
        <v>98</v>
      </c>
      <c r="C304" s="145">
        <v>57</v>
      </c>
      <c r="D304" s="108">
        <v>79056</v>
      </c>
      <c r="E304" s="108"/>
      <c r="F304" s="109" t="s">
        <v>429</v>
      </c>
      <c r="G304" s="17" t="s">
        <v>449</v>
      </c>
      <c r="H304" s="108" t="s">
        <v>222</v>
      </c>
      <c r="I304" s="108">
        <v>1</v>
      </c>
      <c r="J304" s="108">
        <v>2.5</v>
      </c>
      <c r="K304" s="108">
        <v>1</v>
      </c>
      <c r="L304" s="108">
        <v>6</v>
      </c>
      <c r="M304" s="108">
        <v>3</v>
      </c>
      <c r="N304" s="110" t="s">
        <v>56</v>
      </c>
      <c r="O304" s="110">
        <f t="shared" si="33"/>
        <v>1</v>
      </c>
      <c r="P304" s="124">
        <v>44888</v>
      </c>
      <c r="Q304" s="124"/>
      <c r="R304" s="111">
        <v>1</v>
      </c>
      <c r="S304" s="111">
        <v>1</v>
      </c>
      <c r="T304" s="111">
        <v>0</v>
      </c>
      <c r="U304" s="112">
        <f>IF(ISBLANK(Table1[[#This Row],[OHC Date]]),$B$7-Table1[[#This Row],[HOC Date]]+1,Table1[[#This Row],[OHC Date]]-Table1[[#This Row],[HOC Date]]+1)/7</f>
        <v>0.42857142857142855</v>
      </c>
      <c r="V304" s="113">
        <v>1783.37</v>
      </c>
      <c r="W304" s="113">
        <v>40.04</v>
      </c>
      <c r="X304" s="113">
        <f>ROUND(0.7*Table1[[#This Row],[E&amp;D Rate per unit]]*R304*Table1[[#This Row],[Quantity]],2)</f>
        <v>1248.3599999999999</v>
      </c>
      <c r="Y304" s="113">
        <f t="shared" si="34"/>
        <v>17.16</v>
      </c>
      <c r="Z304" s="113">
        <f>ROUND(0.3*T304*Table1[[#This Row],[E&amp;D Rate per unit]]*Table1[[#This Row],[Quantity]],2)</f>
        <v>0</v>
      </c>
      <c r="AA304" s="113">
        <v>1265.52</v>
      </c>
      <c r="AB304" s="135"/>
      <c r="AC304" s="135">
        <v>1265.52</v>
      </c>
      <c r="AD304" s="141" t="s">
        <v>450</v>
      </c>
      <c r="AE304" s="168"/>
      <c r="AF304" s="164">
        <f>Table1[[#This Row],[Certified Amount (Cum)]]-Table1[[#This Row],[Certified Amount (Previous)]]</f>
        <v>1265.52</v>
      </c>
      <c r="AG304" s="165">
        <f t="shared" si="32"/>
        <v>1265.52</v>
      </c>
      <c r="AH304" s="165">
        <f>Table1[[#This Row],[Certified Amount (Cum)]]-Table1[[#This Row],[Total Amount]]</f>
        <v>0</v>
      </c>
      <c r="AK304" s="167">
        <f>Table1[[#This Row],[E&amp;D Rate per unit]]+Table1[[#This Row],[Hire Rate per week]]</f>
        <v>1823.4099999999999</v>
      </c>
      <c r="AL304" s="8">
        <f>SUM(Table1[[#This Row],[Erect Charges]:[Dismantle Charges]])</f>
        <v>1265.52</v>
      </c>
    </row>
    <row r="305" spans="1:38" ht="30" customHeight="1" x14ac:dyDescent="0.3">
      <c r="A305" s="90" t="s">
        <v>91</v>
      </c>
      <c r="B305" s="90" t="s">
        <v>98</v>
      </c>
      <c r="C305" s="145" t="s">
        <v>451</v>
      </c>
      <c r="D305" s="108">
        <v>79056</v>
      </c>
      <c r="E305" s="108"/>
      <c r="F305" s="109" t="s">
        <v>429</v>
      </c>
      <c r="G305" s="17" t="s">
        <v>449</v>
      </c>
      <c r="H305" s="108" t="s">
        <v>129</v>
      </c>
      <c r="I305" s="108">
        <v>1</v>
      </c>
      <c r="J305" s="108">
        <v>1</v>
      </c>
      <c r="K305" s="108">
        <v>1</v>
      </c>
      <c r="L305" s="108">
        <v>1</v>
      </c>
      <c r="M305" s="108">
        <v>1</v>
      </c>
      <c r="N305" s="110" t="s">
        <v>162</v>
      </c>
      <c r="O305" s="110">
        <f t="shared" si="33"/>
        <v>1</v>
      </c>
      <c r="P305" s="124">
        <v>44888</v>
      </c>
      <c r="Q305" s="124"/>
      <c r="R305" s="111">
        <v>1</v>
      </c>
      <c r="S305" s="111">
        <v>1</v>
      </c>
      <c r="T305" s="111">
        <v>0</v>
      </c>
      <c r="U305" s="112">
        <f>IF(ISBLANK(Table1[[#This Row],[OHC Date]]),$B$7-Table1[[#This Row],[HOC Date]]+1,Table1[[#This Row],[OHC Date]]-Table1[[#This Row],[HOC Date]]+1)/7</f>
        <v>0.42857142857142855</v>
      </c>
      <c r="V305" s="113">
        <v>36.520000000000003</v>
      </c>
      <c r="W305" s="113">
        <v>2.94</v>
      </c>
      <c r="X305" s="113">
        <f>ROUND(0.7*Table1[[#This Row],[E&amp;D Rate per unit]]*R305*Table1[[#This Row],[Quantity]],2)</f>
        <v>25.56</v>
      </c>
      <c r="Y305" s="113">
        <f t="shared" si="34"/>
        <v>1.26</v>
      </c>
      <c r="Z305" s="113">
        <f>ROUND(0.3*T305*Table1[[#This Row],[E&amp;D Rate per unit]]*Table1[[#This Row],[Quantity]],2)</f>
        <v>0</v>
      </c>
      <c r="AA305" s="113">
        <v>26.82</v>
      </c>
      <c r="AB305" s="135"/>
      <c r="AC305" s="135">
        <v>26.82</v>
      </c>
      <c r="AD305" s="114"/>
      <c r="AE305" s="153"/>
      <c r="AF305" s="161">
        <f>Table1[[#This Row],[Certified Amount (Cum)]]-Table1[[#This Row],[Certified Amount (Previous)]]</f>
        <v>26.82</v>
      </c>
      <c r="AG305" s="160">
        <f t="shared" si="32"/>
        <v>26.82</v>
      </c>
      <c r="AH305" s="158">
        <f>Table1[[#This Row],[Certified Amount (Cum)]]-Table1[[#This Row],[Total Amount]]</f>
        <v>0</v>
      </c>
      <c r="AK305" s="167">
        <f>Table1[[#This Row],[E&amp;D Rate per unit]]+Table1[[#This Row],[Hire Rate per week]]</f>
        <v>39.46</v>
      </c>
      <c r="AL305" s="8">
        <f>SUM(Table1[[#This Row],[Erect Charges]:[Dismantle Charges]])</f>
        <v>26.82</v>
      </c>
    </row>
    <row r="306" spans="1:38" ht="30" customHeight="1" x14ac:dyDescent="0.3">
      <c r="A306" s="140" t="s">
        <v>428</v>
      </c>
      <c r="B306" s="90" t="s">
        <v>98</v>
      </c>
      <c r="C306" s="145">
        <v>58</v>
      </c>
      <c r="D306" s="108">
        <v>79057</v>
      </c>
      <c r="E306" s="108"/>
      <c r="F306" s="109" t="s">
        <v>429</v>
      </c>
      <c r="G306" s="17" t="s">
        <v>307</v>
      </c>
      <c r="H306" s="108" t="s">
        <v>222</v>
      </c>
      <c r="I306" s="108">
        <v>1</v>
      </c>
      <c r="J306" s="108">
        <v>2.5</v>
      </c>
      <c r="K306" s="108">
        <v>1</v>
      </c>
      <c r="L306" s="108">
        <v>3.5</v>
      </c>
      <c r="M306" s="108">
        <v>1</v>
      </c>
      <c r="N306" s="110" t="s">
        <v>56</v>
      </c>
      <c r="O306" s="110">
        <f t="shared" si="33"/>
        <v>1</v>
      </c>
      <c r="P306" s="124">
        <v>44888</v>
      </c>
      <c r="Q306" s="124"/>
      <c r="R306" s="111">
        <v>1</v>
      </c>
      <c r="S306" s="111">
        <v>1</v>
      </c>
      <c r="T306" s="111">
        <v>0</v>
      </c>
      <c r="U306" s="112">
        <f>IF(ISBLANK(Table1[[#This Row],[OHC Date]]),$B$7-Table1[[#This Row],[HOC Date]]+1,Table1[[#This Row],[OHC Date]]-Table1[[#This Row],[HOC Date]]+1)/7</f>
        <v>0.42857142857142855</v>
      </c>
      <c r="V306" s="113">
        <v>1278.3599999999999</v>
      </c>
      <c r="W306" s="113">
        <v>29.12</v>
      </c>
      <c r="X306" s="113">
        <f>ROUND(0.7*Table1[[#This Row],[E&amp;D Rate per unit]]*R306*Table1[[#This Row],[Quantity]],2)</f>
        <v>894.85</v>
      </c>
      <c r="Y306" s="113">
        <f t="shared" si="34"/>
        <v>12.48</v>
      </c>
      <c r="Z306" s="113">
        <f>ROUND(0.3*T306*Table1[[#This Row],[E&amp;D Rate per unit]]*Table1[[#This Row],[Quantity]],2)</f>
        <v>0</v>
      </c>
      <c r="AA306" s="113">
        <v>907.33</v>
      </c>
      <c r="AB306" s="135"/>
      <c r="AC306" s="135">
        <v>907.33</v>
      </c>
      <c r="AD306" s="141" t="s">
        <v>452</v>
      </c>
      <c r="AE306" s="168"/>
      <c r="AF306" s="164">
        <f>Table1[[#This Row],[Certified Amount (Cum)]]-Table1[[#This Row],[Certified Amount (Previous)]]</f>
        <v>907.33</v>
      </c>
      <c r="AG306" s="165">
        <f t="shared" si="32"/>
        <v>907.33</v>
      </c>
      <c r="AH306" s="165">
        <f>Table1[[#This Row],[Certified Amount (Cum)]]-Table1[[#This Row],[Total Amount]]</f>
        <v>0</v>
      </c>
      <c r="AK306" s="167">
        <f>Table1[[#This Row],[E&amp;D Rate per unit]]+Table1[[#This Row],[Hire Rate per week]]</f>
        <v>1307.4799999999998</v>
      </c>
      <c r="AL306" s="8">
        <f>SUM(Table1[[#This Row],[Erect Charges]:[Dismantle Charges]])</f>
        <v>907.33</v>
      </c>
    </row>
    <row r="307" spans="1:38" ht="30" customHeight="1" x14ac:dyDescent="0.3">
      <c r="A307" s="90" t="s">
        <v>91</v>
      </c>
      <c r="B307" s="90" t="s">
        <v>98</v>
      </c>
      <c r="C307" s="145" t="s">
        <v>453</v>
      </c>
      <c r="D307" s="108">
        <v>79057</v>
      </c>
      <c r="E307" s="108"/>
      <c r="F307" s="109" t="s">
        <v>429</v>
      </c>
      <c r="G307" s="17" t="s">
        <v>307</v>
      </c>
      <c r="H307" s="108" t="s">
        <v>129</v>
      </c>
      <c r="I307" s="108">
        <v>1</v>
      </c>
      <c r="J307" s="108">
        <v>1.5</v>
      </c>
      <c r="K307" s="108">
        <v>1</v>
      </c>
      <c r="L307" s="108">
        <v>1</v>
      </c>
      <c r="M307" s="108">
        <v>1</v>
      </c>
      <c r="N307" s="110" t="s">
        <v>162</v>
      </c>
      <c r="O307" s="110">
        <f t="shared" si="33"/>
        <v>1.5</v>
      </c>
      <c r="P307" s="124">
        <v>44888</v>
      </c>
      <c r="Q307" s="124"/>
      <c r="R307" s="111">
        <v>1</v>
      </c>
      <c r="S307" s="111">
        <v>1</v>
      </c>
      <c r="T307" s="111">
        <v>0</v>
      </c>
      <c r="U307" s="112">
        <f>IF(ISBLANK(Table1[[#This Row],[OHC Date]]),$B$7-Table1[[#This Row],[HOC Date]]+1,Table1[[#This Row],[OHC Date]]-Table1[[#This Row],[HOC Date]]+1)/7</f>
        <v>0.42857142857142855</v>
      </c>
      <c r="V307" s="113">
        <v>36.520000000000003</v>
      </c>
      <c r="W307" s="113">
        <v>2.94</v>
      </c>
      <c r="X307" s="113">
        <f>ROUND(0.7*Table1[[#This Row],[E&amp;D Rate per unit]]*R307*Table1[[#This Row],[Quantity]],2)</f>
        <v>38.35</v>
      </c>
      <c r="Y307" s="113">
        <f t="shared" si="34"/>
        <v>1.89</v>
      </c>
      <c r="Z307" s="113">
        <f>ROUND(0.3*T307*Table1[[#This Row],[E&amp;D Rate per unit]]*Table1[[#This Row],[Quantity]],2)</f>
        <v>0</v>
      </c>
      <c r="AA307" s="113">
        <v>40.24</v>
      </c>
      <c r="AB307" s="135"/>
      <c r="AC307" s="135">
        <v>40.24</v>
      </c>
      <c r="AD307" s="114"/>
      <c r="AE307" s="153"/>
      <c r="AF307" s="161">
        <f>Table1[[#This Row],[Certified Amount (Cum)]]-Table1[[#This Row],[Certified Amount (Previous)]]</f>
        <v>40.24</v>
      </c>
      <c r="AG307" s="160">
        <f t="shared" si="32"/>
        <v>40.24</v>
      </c>
      <c r="AH307" s="158">
        <f>Table1[[#This Row],[Certified Amount (Cum)]]-Table1[[#This Row],[Total Amount]]</f>
        <v>0</v>
      </c>
      <c r="AK307" s="167">
        <f>Table1[[#This Row],[E&amp;D Rate per unit]]+Table1[[#This Row],[Hire Rate per week]]</f>
        <v>39.46</v>
      </c>
      <c r="AL307" s="8">
        <f>SUM(Table1[[#This Row],[Erect Charges]:[Dismantle Charges]])</f>
        <v>40.24</v>
      </c>
    </row>
    <row r="308" spans="1:38" ht="30" customHeight="1" x14ac:dyDescent="0.3">
      <c r="A308" s="140" t="s">
        <v>428</v>
      </c>
      <c r="B308" s="90" t="s">
        <v>98</v>
      </c>
      <c r="C308" s="145">
        <v>59</v>
      </c>
      <c r="D308" s="108">
        <v>79058</v>
      </c>
      <c r="E308" s="108"/>
      <c r="F308" s="109" t="s">
        <v>429</v>
      </c>
      <c r="G308" s="17" t="s">
        <v>276</v>
      </c>
      <c r="H308" s="108" t="s">
        <v>222</v>
      </c>
      <c r="I308" s="108">
        <v>1</v>
      </c>
      <c r="J308" s="108">
        <v>2.5</v>
      </c>
      <c r="K308" s="108">
        <v>1</v>
      </c>
      <c r="L308" s="108">
        <v>3.5</v>
      </c>
      <c r="M308" s="108">
        <v>1</v>
      </c>
      <c r="N308" s="110" t="s">
        <v>56</v>
      </c>
      <c r="O308" s="110">
        <f t="shared" si="33"/>
        <v>1</v>
      </c>
      <c r="P308" s="124">
        <v>44889</v>
      </c>
      <c r="Q308" s="124"/>
      <c r="R308" s="111">
        <v>1</v>
      </c>
      <c r="S308" s="111">
        <v>1</v>
      </c>
      <c r="T308" s="111">
        <v>0</v>
      </c>
      <c r="U308" s="112">
        <f>IF(ISBLANK(Table1[[#This Row],[OHC Date]]),$B$7-Table1[[#This Row],[HOC Date]]+1,Table1[[#This Row],[OHC Date]]-Table1[[#This Row],[HOC Date]]+1)/7</f>
        <v>0.2857142857142857</v>
      </c>
      <c r="V308" s="113">
        <v>1278.3599999999999</v>
      </c>
      <c r="W308" s="113">
        <v>29.12</v>
      </c>
      <c r="X308" s="113">
        <f>ROUND(0.7*Table1[[#This Row],[E&amp;D Rate per unit]]*R308*Table1[[#This Row],[Quantity]],2)</f>
        <v>894.85</v>
      </c>
      <c r="Y308" s="113">
        <f t="shared" si="34"/>
        <v>8.32</v>
      </c>
      <c r="Z308" s="113">
        <f>ROUND(0.3*T308*Table1[[#This Row],[E&amp;D Rate per unit]]*Table1[[#This Row],[Quantity]],2)</f>
        <v>0</v>
      </c>
      <c r="AA308" s="113">
        <v>903.17</v>
      </c>
      <c r="AB308" s="135"/>
      <c r="AC308" s="135">
        <v>903.17</v>
      </c>
      <c r="AD308" s="141" t="s">
        <v>454</v>
      </c>
      <c r="AE308" s="168"/>
      <c r="AF308" s="164">
        <f>Table1[[#This Row],[Certified Amount (Cum)]]-Table1[[#This Row],[Certified Amount (Previous)]]</f>
        <v>903.17000000000007</v>
      </c>
      <c r="AG308" s="165">
        <f t="shared" si="32"/>
        <v>903.17000000000007</v>
      </c>
      <c r="AH308" s="165">
        <f>Table1[[#This Row],[Certified Amount (Cum)]]-Table1[[#This Row],[Total Amount]]</f>
        <v>0</v>
      </c>
      <c r="AK308" s="167">
        <f>Table1[[#This Row],[E&amp;D Rate per unit]]+Table1[[#This Row],[Hire Rate per week]]</f>
        <v>1307.4799999999998</v>
      </c>
      <c r="AL308" s="8">
        <f>SUM(Table1[[#This Row],[Erect Charges]:[Dismantle Charges]])</f>
        <v>903.17000000000007</v>
      </c>
    </row>
    <row r="309" spans="1:38" ht="30" customHeight="1" x14ac:dyDescent="0.3">
      <c r="A309" s="90" t="s">
        <v>91</v>
      </c>
      <c r="B309" s="90" t="s">
        <v>98</v>
      </c>
      <c r="C309" s="145" t="s">
        <v>455</v>
      </c>
      <c r="D309" s="108">
        <v>79058</v>
      </c>
      <c r="E309" s="108"/>
      <c r="F309" s="109" t="s">
        <v>429</v>
      </c>
      <c r="G309" s="17" t="s">
        <v>276</v>
      </c>
      <c r="H309" s="108" t="s">
        <v>129</v>
      </c>
      <c r="I309" s="108">
        <v>1</v>
      </c>
      <c r="J309" s="108">
        <v>1.5</v>
      </c>
      <c r="K309" s="108">
        <v>1</v>
      </c>
      <c r="L309" s="108">
        <v>1</v>
      </c>
      <c r="M309" s="108">
        <v>1</v>
      </c>
      <c r="N309" s="110" t="s">
        <v>162</v>
      </c>
      <c r="O309" s="110">
        <f t="shared" si="33"/>
        <v>1.5</v>
      </c>
      <c r="P309" s="124">
        <v>44889</v>
      </c>
      <c r="Q309" s="124"/>
      <c r="R309" s="111">
        <v>1</v>
      </c>
      <c r="S309" s="111">
        <v>1</v>
      </c>
      <c r="T309" s="111">
        <v>0</v>
      </c>
      <c r="U309" s="112">
        <f>IF(ISBLANK(Table1[[#This Row],[OHC Date]]),$B$7-Table1[[#This Row],[HOC Date]]+1,Table1[[#This Row],[OHC Date]]-Table1[[#This Row],[HOC Date]]+1)/7</f>
        <v>0.2857142857142857</v>
      </c>
      <c r="V309" s="113">
        <v>36.520000000000003</v>
      </c>
      <c r="W309" s="113">
        <v>2.94</v>
      </c>
      <c r="X309" s="113">
        <f>ROUND(0.7*Table1[[#This Row],[E&amp;D Rate per unit]]*R309*Table1[[#This Row],[Quantity]],2)</f>
        <v>38.35</v>
      </c>
      <c r="Y309" s="113">
        <f t="shared" si="34"/>
        <v>1.26</v>
      </c>
      <c r="Z309" s="113">
        <f>ROUND(0.3*T309*Table1[[#This Row],[E&amp;D Rate per unit]]*Table1[[#This Row],[Quantity]],2)</f>
        <v>0</v>
      </c>
      <c r="AA309" s="113">
        <v>39.61</v>
      </c>
      <c r="AB309" s="135"/>
      <c r="AC309" s="135">
        <v>39.61</v>
      </c>
      <c r="AD309" s="114"/>
      <c r="AE309" s="153"/>
      <c r="AF309" s="161">
        <f>Table1[[#This Row],[Certified Amount (Cum)]]-Table1[[#This Row],[Certified Amount (Previous)]]</f>
        <v>39.61</v>
      </c>
      <c r="AG309" s="160">
        <f t="shared" si="32"/>
        <v>39.61</v>
      </c>
      <c r="AH309" s="158">
        <f>Table1[[#This Row],[Certified Amount (Cum)]]-Table1[[#This Row],[Total Amount]]</f>
        <v>0</v>
      </c>
    </row>
    <row r="310" spans="1:38" ht="30" customHeight="1" x14ac:dyDescent="0.3">
      <c r="A310" s="90" t="s">
        <v>91</v>
      </c>
      <c r="B310" s="90" t="s">
        <v>98</v>
      </c>
      <c r="C310" s="145" t="s">
        <v>456</v>
      </c>
      <c r="D310" s="108">
        <v>79059</v>
      </c>
      <c r="E310" s="108"/>
      <c r="F310" s="109" t="s">
        <v>436</v>
      </c>
      <c r="G310" s="17" t="s">
        <v>228</v>
      </c>
      <c r="H310" s="16" t="s">
        <v>207</v>
      </c>
      <c r="I310" s="108">
        <v>1</v>
      </c>
      <c r="J310" s="108">
        <v>4.0999999999999996</v>
      </c>
      <c r="K310" s="108">
        <v>1.3</v>
      </c>
      <c r="L310" s="108">
        <v>1.5</v>
      </c>
      <c r="M310" s="108">
        <v>1</v>
      </c>
      <c r="N310" s="110" t="s">
        <v>208</v>
      </c>
      <c r="O310" s="110">
        <f t="shared" si="33"/>
        <v>6.15</v>
      </c>
      <c r="P310" s="124">
        <v>44889</v>
      </c>
      <c r="Q310" s="124"/>
      <c r="R310" s="111">
        <v>1</v>
      </c>
      <c r="S310" s="111">
        <v>1</v>
      </c>
      <c r="T310" s="111">
        <v>0</v>
      </c>
      <c r="U310" s="112">
        <f>IF(ISBLANK(Table1[[#This Row],[OHC Date]]),$B$7-Table1[[#This Row],[HOC Date]]+1,Table1[[#This Row],[OHC Date]]-Table1[[#This Row],[HOC Date]]+1)/7</f>
        <v>0.2857142857142857</v>
      </c>
      <c r="V310" s="113">
        <v>12.01</v>
      </c>
      <c r="W310" s="113">
        <v>0.49</v>
      </c>
      <c r="X310" s="113">
        <f>ROUND(0.7*Table1[[#This Row],[E&amp;D Rate per unit]]*R310*Table1[[#This Row],[Quantity]],2)</f>
        <v>51.7</v>
      </c>
      <c r="Y310" s="113">
        <f t="shared" si="34"/>
        <v>0.86</v>
      </c>
      <c r="Z310" s="113">
        <f>ROUND(0.3*T310*Table1[[#This Row],[E&amp;D Rate per unit]]*Table1[[#This Row],[Quantity]],2)</f>
        <v>0</v>
      </c>
      <c r="AA310" s="113">
        <v>52.56</v>
      </c>
      <c r="AB310" s="135"/>
      <c r="AC310" s="135">
        <v>52.56</v>
      </c>
      <c r="AD310" s="114"/>
      <c r="AE310" s="153"/>
      <c r="AF310" s="161">
        <f>Table1[[#This Row],[Certified Amount (Cum)]]-Table1[[#This Row],[Certified Amount (Previous)]]</f>
        <v>52.56</v>
      </c>
      <c r="AG310" s="160">
        <f t="shared" si="32"/>
        <v>52.56</v>
      </c>
      <c r="AH310" s="158">
        <f>Table1[[#This Row],[Certified Amount (Cum)]]-Table1[[#This Row],[Total Amount]]</f>
        <v>0</v>
      </c>
    </row>
    <row r="311" spans="1:38" ht="14" x14ac:dyDescent="0.3">
      <c r="A311" s="22" t="s">
        <v>34</v>
      </c>
      <c r="B311" s="22"/>
      <c r="C311" s="23"/>
      <c r="D311" s="23">
        <f>SUBTOTAL(103,Table1[HOC])</f>
        <v>297</v>
      </c>
      <c r="E311" s="23">
        <f>SUBTOTAL(103,Table1[OHC])</f>
        <v>119</v>
      </c>
      <c r="F311" s="24"/>
      <c r="G311" s="24"/>
      <c r="H311" s="23"/>
      <c r="I311" s="23"/>
      <c r="J311" s="23"/>
      <c r="K311" s="23"/>
      <c r="L311" s="23"/>
      <c r="M311" s="23"/>
      <c r="N311" s="23"/>
      <c r="O311" s="23"/>
      <c r="P311" s="125"/>
      <c r="Q311" s="125"/>
      <c r="R311" s="23"/>
      <c r="S311" s="23"/>
      <c r="T311" s="23"/>
      <c r="U311" s="23"/>
      <c r="V311" s="23"/>
      <c r="W311" s="23"/>
      <c r="X311" s="25">
        <f>SUBTOTAL(109,Table1[Erect Charges])</f>
        <v>402731.69999999966</v>
      </c>
      <c r="Y311" s="25">
        <f>SUBTOTAL(109,Table1[Hire Charges])</f>
        <v>175202.88000000024</v>
      </c>
      <c r="Z311" s="25">
        <f>SUBTOTAL(109,Table1[Dismantle Charges])</f>
        <v>22309.149999999972</v>
      </c>
      <c r="AA311" s="25">
        <f>SUBTOTAL(109,Table1[Total Amount])</f>
        <v>601002.33999999973</v>
      </c>
      <c r="AB311" s="25">
        <f>SUBTOTAL(109,Table1[Previous Amount])</f>
        <v>346944.1399999999</v>
      </c>
      <c r="AC311" s="25">
        <f>SUBTOTAL(109,Table1[Net Amount])</f>
        <v>254058.20000000004</v>
      </c>
      <c r="AD311" s="26"/>
      <c r="AE311" s="155"/>
      <c r="AF311" s="185">
        <f>SUBTOTAL(109,Table1[Certified Amount (This Month)])</f>
        <v>253300.02000000005</v>
      </c>
      <c r="AG311" s="186">
        <f>SUBTOTAL(109,Table1[Certified Amount (Cum)])</f>
        <v>600243.72999999963</v>
      </c>
      <c r="AH311" s="186">
        <f>SUBTOTAL(109,Table1[Comments])</f>
        <v>-758.61000000000058</v>
      </c>
    </row>
    <row r="312" spans="1:38" x14ac:dyDescent="0.35">
      <c r="F312" s="27"/>
      <c r="G312" s="27"/>
      <c r="P312" s="122"/>
      <c r="Y312" s="11"/>
      <c r="Z312" s="11"/>
      <c r="AA312" s="28"/>
      <c r="AB312" s="28"/>
      <c r="AC312" s="28"/>
      <c r="AD312" s="28"/>
    </row>
    <row r="313" spans="1:38" x14ac:dyDescent="0.35">
      <c r="P313" s="122"/>
      <c r="Y313" s="11"/>
      <c r="Z313" s="11"/>
      <c r="AA313" s="28"/>
      <c r="AB313" s="28"/>
      <c r="AC313" s="28"/>
      <c r="AD313" s="28"/>
    </row>
    <row r="314" spans="1:38" x14ac:dyDescent="0.35">
      <c r="P314" s="122"/>
      <c r="Y314" s="11"/>
      <c r="Z314" s="11"/>
      <c r="AA314" s="28"/>
      <c r="AB314" s="28"/>
      <c r="AC314" s="28"/>
      <c r="AD314" s="28"/>
    </row>
    <row r="315" spans="1:38" x14ac:dyDescent="0.35">
      <c r="P315" s="122"/>
    </row>
    <row r="316" spans="1:38" x14ac:dyDescent="0.35">
      <c r="P316" s="122"/>
    </row>
    <row r="317" spans="1:38" x14ac:dyDescent="0.35">
      <c r="P317" s="122"/>
    </row>
    <row r="318" spans="1:38" x14ac:dyDescent="0.35">
      <c r="P318" s="122"/>
    </row>
    <row r="319" spans="1:38" x14ac:dyDescent="0.35">
      <c r="P319" s="122"/>
    </row>
    <row r="320" spans="1:38" x14ac:dyDescent="0.35">
      <c r="P320" s="122"/>
    </row>
    <row r="321" spans="16:16" x14ac:dyDescent="0.35">
      <c r="P321" s="122"/>
    </row>
    <row r="322" spans="16:16" x14ac:dyDescent="0.35">
      <c r="P322" s="122"/>
    </row>
    <row r="323" spans="16:16" x14ac:dyDescent="0.35">
      <c r="P323" s="122"/>
    </row>
    <row r="324" spans="16:16" x14ac:dyDescent="0.35">
      <c r="P324" s="122"/>
    </row>
    <row r="325" spans="16:16" x14ac:dyDescent="0.35">
      <c r="P325" s="122"/>
    </row>
  </sheetData>
  <mergeCells count="2">
    <mergeCell ref="A2:E2"/>
    <mergeCell ref="A3:E3"/>
  </mergeCells>
  <phoneticPr fontId="17" type="noConversion"/>
  <conditionalFormatting sqref="D312:D1048576 D1:D2 D9:D310">
    <cfRule type="duplicateValues" dxfId="128" priority="3"/>
  </conditionalFormatting>
  <dataValidations count="1">
    <dataValidation type="list" allowBlank="1" showInputMessage="1" showErrorMessage="1" sqref="N10:N310" xr:uid="{00000000-0002-0000-0000-000000000000}">
      <formula1>"m3,m2-LxH,m2-LxW,rm,lm,unit"</formula1>
    </dataValidation>
  </dataValidations>
  <pageMargins left="0.7" right="0.7" top="0.75" bottom="0.75" header="0.3" footer="0.3"/>
  <pageSetup paperSize="8" scale="40" fitToHeight="0" orientation="landscape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2640DE-5D9B-486C-AD03-5F3B770FF146}">
          <x14:formula1>
            <xm:f>'Order References'!$D$3:$D$44</xm:f>
          </x14:formula1>
          <xm:sqref>H13:H19 H32:H33 H52:H53 H59:H60 H72:H74 H76 H83:H85 H87 H98:H99 H104 H114 H117:H118 H120 H128:H129 H138:H139 H143 H156 H164:H166 H193 H236:H239 H244 H256 H267 H273 H289 H291 H294 H297 H301 H303 H305 H307 H309 H183:H184 H201:H202 H209 H215:H216 H219 H222 H225 H227 H258 H287 H154 H81 H69:H70 H50</xm:sqref>
        </x14:dataValidation>
        <x14:dataValidation type="list" allowBlank="1" showInputMessage="1" showErrorMessage="1" xr:uid="{8794D2FA-C92D-40A7-A257-54B502282F86}">
          <x14:formula1>
            <xm:f>'PA Front Sheet'!$M$3:$M$4</xm:f>
          </x14:formula1>
          <xm:sqref>B10:B310</xm:sqref>
        </x14:dataValidation>
        <x14:dataValidation type="list" allowBlank="1" showInputMessage="1" showErrorMessage="1" xr:uid="{A31C595E-9176-4B7A-A5E9-5C4781E7A121}">
          <x14:formula1>
            <xm:f>'Order References'!$C$3:$C$176</xm:f>
          </x14:formula1>
          <xm:sqref>A10:A310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D0E0-4AAD-48B0-B15A-3A46E7422E84}">
  <dimension ref="B1:H176"/>
  <sheetViews>
    <sheetView topLeftCell="B1" workbookViewId="0">
      <selection activeCell="F17" sqref="F17"/>
    </sheetView>
  </sheetViews>
  <sheetFormatPr defaultRowHeight="14.5" x14ac:dyDescent="0.35"/>
  <cols>
    <col min="1" max="1" width="2" customWidth="1"/>
    <col min="2" max="2" width="8.54296875" bestFit="1" customWidth="1"/>
    <col min="3" max="3" width="20.81640625" bestFit="1" customWidth="1"/>
    <col min="4" max="4" width="24.453125" bestFit="1" customWidth="1"/>
    <col min="5" max="5" width="7.54296875" customWidth="1"/>
    <col min="6" max="6" width="17.453125" customWidth="1"/>
    <col min="7" max="7" width="12.7265625" customWidth="1"/>
    <col min="8" max="8" width="9.7265625" customWidth="1"/>
  </cols>
  <sheetData>
    <row r="1" spans="2:8" ht="15" thickBot="1" x14ac:dyDescent="0.4"/>
    <row r="2" spans="2:8" ht="21" x14ac:dyDescent="0.35">
      <c r="B2" s="115" t="s">
        <v>105</v>
      </c>
      <c r="C2" s="116" t="s">
        <v>106</v>
      </c>
      <c r="D2" s="116" t="s">
        <v>107</v>
      </c>
      <c r="E2" s="116" t="s">
        <v>108</v>
      </c>
      <c r="F2" s="116" t="s">
        <v>109</v>
      </c>
      <c r="G2" s="116" t="s">
        <v>110</v>
      </c>
      <c r="H2" s="117" t="s">
        <v>111</v>
      </c>
    </row>
    <row r="3" spans="2:8" x14ac:dyDescent="0.35">
      <c r="B3" s="118">
        <v>1</v>
      </c>
      <c r="C3" s="106" t="s">
        <v>91</v>
      </c>
      <c r="D3" s="106" t="s">
        <v>112</v>
      </c>
      <c r="E3" s="106">
        <v>0</v>
      </c>
      <c r="F3" s="106" t="s">
        <v>113</v>
      </c>
      <c r="G3" s="106" t="s">
        <v>114</v>
      </c>
      <c r="H3" s="119">
        <v>63.34</v>
      </c>
    </row>
    <row r="4" spans="2:8" x14ac:dyDescent="0.35">
      <c r="B4" s="118">
        <v>2</v>
      </c>
      <c r="C4" s="106" t="s">
        <v>91</v>
      </c>
      <c r="D4" s="106" t="s">
        <v>112</v>
      </c>
      <c r="E4" s="106">
        <v>0</v>
      </c>
      <c r="F4" s="106" t="s">
        <v>214</v>
      </c>
      <c r="G4" s="106" t="s">
        <v>114</v>
      </c>
      <c r="H4" s="119">
        <v>7.28</v>
      </c>
    </row>
    <row r="5" spans="2:8" x14ac:dyDescent="0.35">
      <c r="B5" s="118">
        <v>3</v>
      </c>
      <c r="C5" s="106" t="s">
        <v>91</v>
      </c>
      <c r="D5" s="106" t="s">
        <v>115</v>
      </c>
      <c r="E5" s="106">
        <v>0</v>
      </c>
      <c r="F5" s="106" t="s">
        <v>113</v>
      </c>
      <c r="G5" s="106" t="s">
        <v>114</v>
      </c>
      <c r="H5" s="119">
        <v>103.33</v>
      </c>
    </row>
    <row r="6" spans="2:8" x14ac:dyDescent="0.35">
      <c r="B6" s="118">
        <v>4</v>
      </c>
      <c r="C6" s="106" t="s">
        <v>91</v>
      </c>
      <c r="D6" s="106" t="s">
        <v>115</v>
      </c>
      <c r="E6" s="106">
        <v>0</v>
      </c>
      <c r="F6" s="106" t="s">
        <v>214</v>
      </c>
      <c r="G6" s="106" t="s">
        <v>114</v>
      </c>
      <c r="H6" s="119">
        <v>10.29</v>
      </c>
    </row>
    <row r="7" spans="2:8" x14ac:dyDescent="0.35">
      <c r="B7" s="118">
        <v>5</v>
      </c>
      <c r="C7" s="106" t="s">
        <v>91</v>
      </c>
      <c r="D7" s="106" t="s">
        <v>116</v>
      </c>
      <c r="E7" s="106">
        <v>0</v>
      </c>
      <c r="F7" s="106" t="s">
        <v>113</v>
      </c>
      <c r="G7" s="106" t="s">
        <v>114</v>
      </c>
      <c r="H7" s="119">
        <v>148</v>
      </c>
    </row>
    <row r="8" spans="2:8" x14ac:dyDescent="0.35">
      <c r="B8" s="118">
        <v>6</v>
      </c>
      <c r="C8" s="106" t="s">
        <v>91</v>
      </c>
      <c r="D8" s="106" t="s">
        <v>117</v>
      </c>
      <c r="E8" s="106">
        <v>0</v>
      </c>
      <c r="F8" s="106" t="s">
        <v>214</v>
      </c>
      <c r="G8" s="106" t="s">
        <v>114</v>
      </c>
      <c r="H8" s="119">
        <v>12.88</v>
      </c>
    </row>
    <row r="9" spans="2:8" x14ac:dyDescent="0.35">
      <c r="B9" s="118">
        <v>7</v>
      </c>
      <c r="C9" s="106" t="s">
        <v>91</v>
      </c>
      <c r="D9" s="106" t="s">
        <v>118</v>
      </c>
      <c r="E9" s="106">
        <v>0</v>
      </c>
      <c r="F9" s="106" t="s">
        <v>113</v>
      </c>
      <c r="G9" s="106" t="s">
        <v>119</v>
      </c>
      <c r="H9" s="119">
        <v>12.01</v>
      </c>
    </row>
    <row r="10" spans="2:8" x14ac:dyDescent="0.35">
      <c r="B10" s="118">
        <v>8</v>
      </c>
      <c r="C10" s="106" t="s">
        <v>91</v>
      </c>
      <c r="D10" s="106" t="s">
        <v>118</v>
      </c>
      <c r="E10" s="106">
        <v>0</v>
      </c>
      <c r="F10" s="106" t="s">
        <v>214</v>
      </c>
      <c r="G10" s="106" t="s">
        <v>119</v>
      </c>
      <c r="H10" s="119">
        <v>0.49</v>
      </c>
    </row>
    <row r="11" spans="2:8" x14ac:dyDescent="0.35">
      <c r="B11" s="118">
        <v>9</v>
      </c>
      <c r="C11" s="106" t="s">
        <v>91</v>
      </c>
      <c r="D11" s="106" t="s">
        <v>120</v>
      </c>
      <c r="E11" s="106">
        <v>0</v>
      </c>
      <c r="F11" s="106" t="s">
        <v>113</v>
      </c>
      <c r="G11" s="106" t="s">
        <v>119</v>
      </c>
      <c r="H11" s="119">
        <v>16.760000000000002</v>
      </c>
    </row>
    <row r="12" spans="2:8" x14ac:dyDescent="0.35">
      <c r="B12" s="118">
        <v>10</v>
      </c>
      <c r="C12" s="106" t="s">
        <v>91</v>
      </c>
      <c r="D12" s="106" t="s">
        <v>120</v>
      </c>
      <c r="E12" s="106">
        <v>0</v>
      </c>
      <c r="F12" s="106" t="s">
        <v>214</v>
      </c>
      <c r="G12" s="106" t="s">
        <v>119</v>
      </c>
      <c r="H12" s="119">
        <v>0.77</v>
      </c>
    </row>
    <row r="13" spans="2:8" x14ac:dyDescent="0.35">
      <c r="B13" s="118">
        <v>11</v>
      </c>
      <c r="C13" s="106" t="s">
        <v>91</v>
      </c>
      <c r="D13" s="106" t="s">
        <v>121</v>
      </c>
      <c r="E13" s="106">
        <v>0</v>
      </c>
      <c r="F13" s="106" t="s">
        <v>113</v>
      </c>
      <c r="G13" s="106" t="s">
        <v>122</v>
      </c>
      <c r="H13" s="119">
        <v>7.08</v>
      </c>
    </row>
    <row r="14" spans="2:8" x14ac:dyDescent="0.35">
      <c r="B14" s="118">
        <v>12</v>
      </c>
      <c r="C14" s="106" t="s">
        <v>91</v>
      </c>
      <c r="D14" s="106" t="s">
        <v>121</v>
      </c>
      <c r="E14" s="106">
        <v>0</v>
      </c>
      <c r="F14" s="106" t="s">
        <v>214</v>
      </c>
      <c r="G14" s="106" t="s">
        <v>123</v>
      </c>
      <c r="H14" s="119">
        <v>0.49</v>
      </c>
    </row>
    <row r="15" spans="2:8" x14ac:dyDescent="0.35">
      <c r="B15" s="118">
        <v>13</v>
      </c>
      <c r="C15" s="106" t="s">
        <v>91</v>
      </c>
      <c r="D15" s="106" t="s">
        <v>124</v>
      </c>
      <c r="E15" s="106">
        <v>0</v>
      </c>
      <c r="F15" s="106" t="s">
        <v>113</v>
      </c>
      <c r="G15" s="106" t="s">
        <v>122</v>
      </c>
      <c r="H15" s="119">
        <v>10</v>
      </c>
    </row>
    <row r="16" spans="2:8" x14ac:dyDescent="0.35">
      <c r="B16" s="118">
        <v>14</v>
      </c>
      <c r="C16" s="106" t="s">
        <v>91</v>
      </c>
      <c r="D16" s="106" t="s">
        <v>124</v>
      </c>
      <c r="E16" s="106">
        <v>0</v>
      </c>
      <c r="F16" s="106" t="s">
        <v>214</v>
      </c>
      <c r="G16" s="106" t="s">
        <v>123</v>
      </c>
      <c r="H16" s="119">
        <v>0.91</v>
      </c>
    </row>
    <row r="17" spans="2:8" x14ac:dyDescent="0.35">
      <c r="B17" s="118">
        <v>15</v>
      </c>
      <c r="C17" s="106" t="s">
        <v>91</v>
      </c>
      <c r="D17" s="106" t="s">
        <v>125</v>
      </c>
      <c r="E17" s="106">
        <v>0</v>
      </c>
      <c r="F17" s="106" t="s">
        <v>113</v>
      </c>
      <c r="G17" s="106" t="s">
        <v>122</v>
      </c>
      <c r="H17" s="119">
        <v>5.29</v>
      </c>
    </row>
    <row r="18" spans="2:8" x14ac:dyDescent="0.35">
      <c r="B18" s="118">
        <v>16</v>
      </c>
      <c r="C18" s="106" t="s">
        <v>91</v>
      </c>
      <c r="D18" s="106" t="s">
        <v>125</v>
      </c>
      <c r="E18" s="106">
        <v>0</v>
      </c>
      <c r="F18" s="106" t="s">
        <v>214</v>
      </c>
      <c r="G18" s="106" t="s">
        <v>123</v>
      </c>
      <c r="H18" s="119">
        <v>0.35</v>
      </c>
    </row>
    <row r="19" spans="2:8" x14ac:dyDescent="0.35">
      <c r="B19" s="118">
        <v>17</v>
      </c>
      <c r="C19" s="106" t="s">
        <v>91</v>
      </c>
      <c r="D19" s="106" t="s">
        <v>126</v>
      </c>
      <c r="E19" s="106">
        <v>0</v>
      </c>
      <c r="F19" s="106" t="s">
        <v>113</v>
      </c>
      <c r="G19" s="106" t="s">
        <v>127</v>
      </c>
      <c r="H19" s="119">
        <v>6.63</v>
      </c>
    </row>
    <row r="20" spans="2:8" x14ac:dyDescent="0.35">
      <c r="B20" s="118">
        <v>18</v>
      </c>
      <c r="C20" s="106" t="s">
        <v>91</v>
      </c>
      <c r="D20" s="106" t="s">
        <v>126</v>
      </c>
      <c r="E20" s="106">
        <v>0</v>
      </c>
      <c r="F20" s="106" t="s">
        <v>214</v>
      </c>
      <c r="G20" s="106" t="s">
        <v>127</v>
      </c>
      <c r="H20" s="119">
        <v>0.7</v>
      </c>
    </row>
    <row r="21" spans="2:8" x14ac:dyDescent="0.35">
      <c r="B21" s="118">
        <v>19</v>
      </c>
      <c r="C21" s="106" t="s">
        <v>91</v>
      </c>
      <c r="D21" s="106" t="s">
        <v>128</v>
      </c>
      <c r="E21" s="106">
        <v>0</v>
      </c>
      <c r="F21" s="106" t="s">
        <v>113</v>
      </c>
      <c r="G21" s="106" t="s">
        <v>127</v>
      </c>
      <c r="H21" s="119">
        <v>32.75</v>
      </c>
    </row>
    <row r="22" spans="2:8" x14ac:dyDescent="0.35">
      <c r="B22" s="118">
        <v>20</v>
      </c>
      <c r="C22" s="106" t="s">
        <v>91</v>
      </c>
      <c r="D22" s="106" t="s">
        <v>128</v>
      </c>
      <c r="E22" s="106">
        <v>0</v>
      </c>
      <c r="F22" s="106" t="s">
        <v>214</v>
      </c>
      <c r="G22" s="106" t="s">
        <v>127</v>
      </c>
      <c r="H22" s="119">
        <v>1.05</v>
      </c>
    </row>
    <row r="23" spans="2:8" x14ac:dyDescent="0.35">
      <c r="B23" s="118">
        <v>21</v>
      </c>
      <c r="C23" s="106" t="s">
        <v>91</v>
      </c>
      <c r="D23" s="106" t="s">
        <v>129</v>
      </c>
      <c r="E23" s="106">
        <v>0</v>
      </c>
      <c r="F23" s="106" t="s">
        <v>113</v>
      </c>
      <c r="G23" s="106" t="s">
        <v>127</v>
      </c>
      <c r="H23" s="119">
        <v>36.520000000000003</v>
      </c>
    </row>
    <row r="24" spans="2:8" x14ac:dyDescent="0.35">
      <c r="B24" s="118">
        <v>22</v>
      </c>
      <c r="C24" s="106" t="s">
        <v>91</v>
      </c>
      <c r="D24" s="106" t="s">
        <v>129</v>
      </c>
      <c r="E24" s="106">
        <v>0</v>
      </c>
      <c r="F24" s="106" t="s">
        <v>214</v>
      </c>
      <c r="G24" s="106" t="s">
        <v>127</v>
      </c>
      <c r="H24" s="119">
        <v>2.94</v>
      </c>
    </row>
    <row r="25" spans="2:8" x14ac:dyDescent="0.35">
      <c r="B25" s="118">
        <v>23</v>
      </c>
      <c r="C25" s="106" t="s">
        <v>91</v>
      </c>
      <c r="D25" s="106" t="s">
        <v>130</v>
      </c>
      <c r="E25" s="106">
        <v>0</v>
      </c>
      <c r="F25" s="106" t="s">
        <v>113</v>
      </c>
      <c r="G25" s="106" t="s">
        <v>131</v>
      </c>
      <c r="H25" s="119">
        <v>37.43</v>
      </c>
    </row>
    <row r="26" spans="2:8" x14ac:dyDescent="0.35">
      <c r="B26" s="118">
        <v>24</v>
      </c>
      <c r="C26" s="106" t="s">
        <v>91</v>
      </c>
      <c r="D26" s="106" t="s">
        <v>130</v>
      </c>
      <c r="E26" s="106">
        <v>0</v>
      </c>
      <c r="F26" s="106" t="s">
        <v>214</v>
      </c>
      <c r="G26" s="106" t="s">
        <v>131</v>
      </c>
      <c r="H26" s="119">
        <v>1.4</v>
      </c>
    </row>
    <row r="27" spans="2:8" x14ac:dyDescent="0.35">
      <c r="B27" s="118">
        <v>25</v>
      </c>
      <c r="C27" s="106" t="s">
        <v>91</v>
      </c>
      <c r="D27" s="106" t="s">
        <v>132</v>
      </c>
      <c r="E27" s="106">
        <v>0</v>
      </c>
      <c r="F27" s="106" t="s">
        <v>113</v>
      </c>
      <c r="G27" s="106" t="s">
        <v>131</v>
      </c>
      <c r="H27" s="119">
        <v>0.3</v>
      </c>
    </row>
    <row r="28" spans="2:8" x14ac:dyDescent="0.35">
      <c r="B28" s="118">
        <v>26</v>
      </c>
      <c r="C28" s="106" t="s">
        <v>91</v>
      </c>
      <c r="D28" s="106" t="s">
        <v>132</v>
      </c>
      <c r="E28" s="106">
        <v>0</v>
      </c>
      <c r="F28" s="106" t="s">
        <v>214</v>
      </c>
      <c r="G28" s="106" t="s">
        <v>131</v>
      </c>
      <c r="H28" s="119">
        <v>0.14000000000000001</v>
      </c>
    </row>
    <row r="29" spans="2:8" x14ac:dyDescent="0.35">
      <c r="B29" s="118">
        <v>27</v>
      </c>
      <c r="C29" s="106" t="s">
        <v>91</v>
      </c>
      <c r="D29" s="106" t="s">
        <v>133</v>
      </c>
      <c r="E29" s="106">
        <v>0</v>
      </c>
      <c r="F29" s="106" t="s">
        <v>113</v>
      </c>
      <c r="G29" s="106" t="s">
        <v>131</v>
      </c>
      <c r="H29" s="119">
        <v>7</v>
      </c>
    </row>
    <row r="30" spans="2:8" x14ac:dyDescent="0.35">
      <c r="B30" s="118">
        <v>28</v>
      </c>
      <c r="C30" s="106" t="s">
        <v>91</v>
      </c>
      <c r="D30" s="106" t="s">
        <v>133</v>
      </c>
      <c r="E30" s="106">
        <v>0</v>
      </c>
      <c r="F30" s="106" t="s">
        <v>214</v>
      </c>
      <c r="G30" s="106" t="s">
        <v>131</v>
      </c>
      <c r="H30" s="119">
        <v>0.42</v>
      </c>
    </row>
    <row r="31" spans="2:8" x14ac:dyDescent="0.35">
      <c r="B31" s="118">
        <v>29</v>
      </c>
      <c r="C31" s="106" t="s">
        <v>91</v>
      </c>
      <c r="D31" s="106" t="s">
        <v>134</v>
      </c>
      <c r="E31" s="106">
        <v>0</v>
      </c>
      <c r="F31" s="106" t="s">
        <v>113</v>
      </c>
      <c r="G31" s="106" t="s">
        <v>131</v>
      </c>
      <c r="H31" s="119">
        <v>12</v>
      </c>
    </row>
    <row r="32" spans="2:8" x14ac:dyDescent="0.35">
      <c r="B32" s="118">
        <v>30</v>
      </c>
      <c r="C32" s="106" t="s">
        <v>91</v>
      </c>
      <c r="D32" s="106" t="s">
        <v>134</v>
      </c>
      <c r="E32" s="106">
        <v>0</v>
      </c>
      <c r="F32" s="106" t="s">
        <v>214</v>
      </c>
      <c r="G32" s="106" t="s">
        <v>131</v>
      </c>
      <c r="H32" s="119">
        <v>0.7</v>
      </c>
    </row>
    <row r="33" spans="2:8" x14ac:dyDescent="0.35">
      <c r="B33" s="118">
        <v>31</v>
      </c>
      <c r="C33" s="106" t="s">
        <v>91</v>
      </c>
      <c r="D33" s="106" t="s">
        <v>135</v>
      </c>
      <c r="E33" s="106">
        <v>0</v>
      </c>
      <c r="F33" s="106" t="s">
        <v>113</v>
      </c>
      <c r="G33" s="106" t="s">
        <v>131</v>
      </c>
      <c r="H33" s="119">
        <v>15</v>
      </c>
    </row>
    <row r="34" spans="2:8" x14ac:dyDescent="0.35">
      <c r="B34" s="118">
        <v>32</v>
      </c>
      <c r="C34" s="106" t="s">
        <v>91</v>
      </c>
      <c r="D34" s="106" t="s">
        <v>135</v>
      </c>
      <c r="E34" s="106">
        <v>0</v>
      </c>
      <c r="F34" s="106" t="s">
        <v>214</v>
      </c>
      <c r="G34" s="106" t="s">
        <v>131</v>
      </c>
      <c r="H34" s="119">
        <v>0.91</v>
      </c>
    </row>
    <row r="35" spans="2:8" x14ac:dyDescent="0.35">
      <c r="B35" s="118">
        <v>33</v>
      </c>
      <c r="C35" s="106" t="s">
        <v>91</v>
      </c>
      <c r="D35" s="106" t="s">
        <v>136</v>
      </c>
      <c r="E35" s="106">
        <v>0</v>
      </c>
      <c r="F35" s="106" t="s">
        <v>113</v>
      </c>
      <c r="G35" s="106" t="s">
        <v>131</v>
      </c>
      <c r="H35" s="119">
        <v>24</v>
      </c>
    </row>
    <row r="36" spans="2:8" x14ac:dyDescent="0.35">
      <c r="B36" s="118">
        <v>34</v>
      </c>
      <c r="C36" s="106" t="s">
        <v>91</v>
      </c>
      <c r="D36" s="106" t="s">
        <v>136</v>
      </c>
      <c r="E36" s="106">
        <v>0</v>
      </c>
      <c r="F36" s="106" t="s">
        <v>214</v>
      </c>
      <c r="G36" s="106" t="s">
        <v>131</v>
      </c>
      <c r="H36" s="119">
        <v>0.7</v>
      </c>
    </row>
    <row r="37" spans="2:8" x14ac:dyDescent="0.35">
      <c r="B37" s="118">
        <v>35</v>
      </c>
      <c r="C37" s="106" t="s">
        <v>91</v>
      </c>
      <c r="D37" s="106" t="s">
        <v>137</v>
      </c>
      <c r="E37" s="106">
        <v>0</v>
      </c>
      <c r="F37" s="106" t="s">
        <v>138</v>
      </c>
      <c r="G37" s="106" t="s">
        <v>119</v>
      </c>
      <c r="H37" s="119">
        <v>4.5199999999999996</v>
      </c>
    </row>
    <row r="38" spans="2:8" x14ac:dyDescent="0.35">
      <c r="B38" s="118">
        <v>36</v>
      </c>
      <c r="C38" s="106" t="s">
        <v>91</v>
      </c>
      <c r="D38" s="106" t="s">
        <v>139</v>
      </c>
      <c r="E38" s="106">
        <v>0</v>
      </c>
      <c r="F38" s="106" t="s">
        <v>138</v>
      </c>
      <c r="G38" s="106" t="s">
        <v>119</v>
      </c>
      <c r="H38" s="119">
        <v>4</v>
      </c>
    </row>
    <row r="39" spans="2:8" x14ac:dyDescent="0.35">
      <c r="B39" s="118">
        <v>37</v>
      </c>
      <c r="C39" s="106" t="s">
        <v>91</v>
      </c>
      <c r="D39" s="106" t="s">
        <v>140</v>
      </c>
      <c r="E39" s="106">
        <v>0</v>
      </c>
      <c r="F39" s="106" t="s">
        <v>113</v>
      </c>
      <c r="G39" s="106" t="s">
        <v>114</v>
      </c>
      <c r="H39" s="119">
        <v>250</v>
      </c>
    </row>
    <row r="40" spans="2:8" x14ac:dyDescent="0.35">
      <c r="B40" s="118">
        <v>38</v>
      </c>
      <c r="C40" s="106" t="s">
        <v>91</v>
      </c>
      <c r="D40" s="106" t="s">
        <v>140</v>
      </c>
      <c r="E40" s="106">
        <v>0</v>
      </c>
      <c r="F40" s="106" t="s">
        <v>214</v>
      </c>
      <c r="G40" s="106" t="s">
        <v>114</v>
      </c>
      <c r="H40" s="119">
        <v>14.35</v>
      </c>
    </row>
    <row r="41" spans="2:8" x14ac:dyDescent="0.35">
      <c r="B41" s="118">
        <v>39</v>
      </c>
      <c r="C41" s="106" t="s">
        <v>91</v>
      </c>
      <c r="D41" s="106" t="s">
        <v>141</v>
      </c>
      <c r="E41" s="106">
        <v>0</v>
      </c>
      <c r="F41" s="106" t="s">
        <v>113</v>
      </c>
      <c r="G41" s="106" t="s">
        <v>114</v>
      </c>
      <c r="H41" s="119">
        <v>376.2</v>
      </c>
    </row>
    <row r="42" spans="2:8" x14ac:dyDescent="0.35">
      <c r="B42" s="118">
        <v>40</v>
      </c>
      <c r="C42" s="106" t="s">
        <v>91</v>
      </c>
      <c r="D42" s="106" t="s">
        <v>141</v>
      </c>
      <c r="E42" s="106">
        <v>0</v>
      </c>
      <c r="F42" s="106" t="s">
        <v>214</v>
      </c>
      <c r="G42" s="106" t="s">
        <v>114</v>
      </c>
      <c r="H42" s="119">
        <v>40.11</v>
      </c>
    </row>
    <row r="43" spans="2:8" x14ac:dyDescent="0.35">
      <c r="B43" s="118">
        <v>41</v>
      </c>
      <c r="C43" s="106" t="s">
        <v>91</v>
      </c>
      <c r="D43" s="106" t="s">
        <v>142</v>
      </c>
      <c r="E43" s="106">
        <v>0</v>
      </c>
      <c r="F43" s="106" t="s">
        <v>80</v>
      </c>
      <c r="G43" s="106" t="s">
        <v>143</v>
      </c>
      <c r="H43" s="119">
        <v>20.5</v>
      </c>
    </row>
    <row r="44" spans="2:8" x14ac:dyDescent="0.35">
      <c r="B44" s="118">
        <v>42</v>
      </c>
      <c r="C44" s="106" t="s">
        <v>91</v>
      </c>
      <c r="D44" s="106" t="s">
        <v>144</v>
      </c>
      <c r="E44" s="106">
        <v>0</v>
      </c>
      <c r="F44" s="106" t="s">
        <v>80</v>
      </c>
      <c r="G44" s="106" t="s">
        <v>143</v>
      </c>
      <c r="H44" s="119">
        <v>24</v>
      </c>
    </row>
    <row r="45" spans="2:8" x14ac:dyDescent="0.35">
      <c r="B45" s="118">
        <v>43</v>
      </c>
      <c r="C45" s="106" t="s">
        <v>92</v>
      </c>
      <c r="D45" s="106" t="s">
        <v>145</v>
      </c>
      <c r="E45" s="106">
        <v>0</v>
      </c>
      <c r="F45" s="106" t="s">
        <v>113</v>
      </c>
      <c r="G45" s="106" t="s">
        <v>146</v>
      </c>
      <c r="H45" s="119">
        <v>0</v>
      </c>
    </row>
    <row r="46" spans="2:8" x14ac:dyDescent="0.35">
      <c r="B46" s="118">
        <v>44</v>
      </c>
      <c r="C46" s="106" t="s">
        <v>92</v>
      </c>
      <c r="D46" s="106" t="s">
        <v>145</v>
      </c>
      <c r="E46" s="106">
        <v>0</v>
      </c>
      <c r="F46" s="106" t="s">
        <v>214</v>
      </c>
      <c r="G46" s="106" t="s">
        <v>146</v>
      </c>
      <c r="H46" s="119">
        <f>200/7</f>
        <v>28.571428571428573</v>
      </c>
    </row>
    <row r="47" spans="2:8" x14ac:dyDescent="0.35">
      <c r="B47" s="118">
        <v>45</v>
      </c>
      <c r="C47" s="106" t="s">
        <v>93</v>
      </c>
      <c r="D47" s="106" t="s">
        <v>147</v>
      </c>
      <c r="E47" s="106">
        <v>1</v>
      </c>
      <c r="F47" s="106" t="s">
        <v>113</v>
      </c>
      <c r="G47" s="106" t="s">
        <v>148</v>
      </c>
      <c r="H47" s="119">
        <v>6044.84</v>
      </c>
    </row>
    <row r="48" spans="2:8" x14ac:dyDescent="0.35">
      <c r="B48" s="118">
        <v>46</v>
      </c>
      <c r="C48" s="106" t="s">
        <v>93</v>
      </c>
      <c r="D48" s="106" t="s">
        <v>147</v>
      </c>
      <c r="E48" s="106">
        <v>1</v>
      </c>
      <c r="F48" s="106" t="s">
        <v>214</v>
      </c>
      <c r="G48" s="106" t="s">
        <v>214</v>
      </c>
      <c r="H48" s="119">
        <f>317.71/7</f>
        <v>45.387142857142855</v>
      </c>
    </row>
    <row r="49" spans="2:8" x14ac:dyDescent="0.35">
      <c r="B49" s="118">
        <v>47</v>
      </c>
      <c r="C49" s="106" t="s">
        <v>94</v>
      </c>
      <c r="D49" s="106" t="s">
        <v>149</v>
      </c>
      <c r="E49" s="106">
        <v>1</v>
      </c>
      <c r="F49" s="106" t="s">
        <v>113</v>
      </c>
      <c r="G49" s="106" t="s">
        <v>148</v>
      </c>
      <c r="H49" s="119">
        <v>16252.45</v>
      </c>
    </row>
    <row r="50" spans="2:8" x14ac:dyDescent="0.35">
      <c r="B50" s="118">
        <v>48</v>
      </c>
      <c r="C50" s="106" t="s">
        <v>94</v>
      </c>
      <c r="D50" s="106" t="s">
        <v>149</v>
      </c>
      <c r="E50" s="106">
        <v>1</v>
      </c>
      <c r="F50" s="106" t="s">
        <v>214</v>
      </c>
      <c r="G50" s="106" t="s">
        <v>214</v>
      </c>
      <c r="H50" s="119">
        <f>625.97/7</f>
        <v>89.424285714285716</v>
      </c>
    </row>
    <row r="51" spans="2:8" x14ac:dyDescent="0.35">
      <c r="B51" s="118">
        <v>49</v>
      </c>
      <c r="C51" s="106" t="s">
        <v>95</v>
      </c>
      <c r="D51" s="106" t="s">
        <v>150</v>
      </c>
      <c r="E51" s="106">
        <v>1</v>
      </c>
      <c r="F51" s="106" t="s">
        <v>113</v>
      </c>
      <c r="G51" s="106" t="s">
        <v>148</v>
      </c>
      <c r="H51" s="119">
        <v>4844.83</v>
      </c>
    </row>
    <row r="52" spans="2:8" x14ac:dyDescent="0.35">
      <c r="B52" s="118">
        <v>50</v>
      </c>
      <c r="C52" s="106" t="s">
        <v>95</v>
      </c>
      <c r="D52" s="106" t="s">
        <v>150</v>
      </c>
      <c r="E52" s="106">
        <v>1</v>
      </c>
      <c r="F52" s="106" t="s">
        <v>214</v>
      </c>
      <c r="G52" s="106" t="s">
        <v>214</v>
      </c>
      <c r="H52" s="119">
        <f>111.93/7</f>
        <v>15.99</v>
      </c>
    </row>
    <row r="53" spans="2:8" x14ac:dyDescent="0.35">
      <c r="B53" s="118">
        <v>51</v>
      </c>
      <c r="C53" s="106" t="s">
        <v>95</v>
      </c>
      <c r="D53" s="106" t="s">
        <v>151</v>
      </c>
      <c r="E53" s="106">
        <v>1</v>
      </c>
      <c r="F53" s="106" t="s">
        <v>113</v>
      </c>
      <c r="G53" s="106" t="s">
        <v>148</v>
      </c>
      <c r="H53" s="119">
        <v>4990.83</v>
      </c>
    </row>
    <row r="54" spans="2:8" x14ac:dyDescent="0.35">
      <c r="B54" s="118">
        <v>52</v>
      </c>
      <c r="C54" s="106" t="s">
        <v>95</v>
      </c>
      <c r="D54" s="106" t="s">
        <v>151</v>
      </c>
      <c r="E54" s="106">
        <v>1</v>
      </c>
      <c r="F54" s="106" t="s">
        <v>214</v>
      </c>
      <c r="G54" s="106" t="s">
        <v>214</v>
      </c>
      <c r="H54" s="119">
        <f>121.95/7</f>
        <v>17.421428571428571</v>
      </c>
    </row>
    <row r="55" spans="2:8" x14ac:dyDescent="0.35">
      <c r="B55" s="118">
        <v>53</v>
      </c>
      <c r="C55" s="106" t="s">
        <v>95</v>
      </c>
      <c r="D55" s="106" t="s">
        <v>152</v>
      </c>
      <c r="E55" s="106">
        <v>1</v>
      </c>
      <c r="F55" s="106" t="s">
        <v>113</v>
      </c>
      <c r="G55" s="106" t="s">
        <v>148</v>
      </c>
      <c r="H55" s="119">
        <v>5095.97</v>
      </c>
    </row>
    <row r="56" spans="2:8" x14ac:dyDescent="0.35">
      <c r="B56" s="118">
        <v>54</v>
      </c>
      <c r="C56" s="106" t="s">
        <v>95</v>
      </c>
      <c r="D56" s="106" t="s">
        <v>152</v>
      </c>
      <c r="E56" s="106">
        <v>1</v>
      </c>
      <c r="F56" s="106" t="s">
        <v>214</v>
      </c>
      <c r="G56" s="106" t="s">
        <v>214</v>
      </c>
      <c r="H56" s="119">
        <f>129.15/7</f>
        <v>18.45</v>
      </c>
    </row>
    <row r="57" spans="2:8" x14ac:dyDescent="0.35">
      <c r="B57" s="118">
        <v>55</v>
      </c>
      <c r="C57" s="106" t="s">
        <v>95</v>
      </c>
      <c r="D57" s="106" t="s">
        <v>153</v>
      </c>
      <c r="E57" s="106">
        <v>1</v>
      </c>
      <c r="F57" s="106" t="s">
        <v>113</v>
      </c>
      <c r="G57" s="106" t="s">
        <v>148</v>
      </c>
      <c r="H57" s="119">
        <v>4127.3599999999997</v>
      </c>
    </row>
    <row r="58" spans="2:8" x14ac:dyDescent="0.35">
      <c r="B58" s="118">
        <v>56</v>
      </c>
      <c r="C58" s="106" t="s">
        <v>95</v>
      </c>
      <c r="D58" s="106" t="s">
        <v>153</v>
      </c>
      <c r="E58" s="106">
        <v>1</v>
      </c>
      <c r="F58" s="106" t="s">
        <v>214</v>
      </c>
      <c r="G58" s="106" t="s">
        <v>214</v>
      </c>
      <c r="H58" s="119">
        <f>59.06/7</f>
        <v>8.4371428571428577</v>
      </c>
    </row>
    <row r="59" spans="2:8" x14ac:dyDescent="0.35">
      <c r="B59" s="118">
        <v>57</v>
      </c>
      <c r="C59" s="106" t="s">
        <v>95</v>
      </c>
      <c r="D59" s="106" t="s">
        <v>154</v>
      </c>
      <c r="E59" s="106">
        <v>1</v>
      </c>
      <c r="F59" s="106" t="s">
        <v>113</v>
      </c>
      <c r="G59" s="106" t="s">
        <v>148</v>
      </c>
      <c r="H59" s="119">
        <v>8714.14</v>
      </c>
    </row>
    <row r="60" spans="2:8" x14ac:dyDescent="0.35">
      <c r="B60" s="118">
        <v>58</v>
      </c>
      <c r="C60" s="106" t="s">
        <v>95</v>
      </c>
      <c r="D60" s="106" t="s">
        <v>154</v>
      </c>
      <c r="E60" s="106">
        <v>1</v>
      </c>
      <c r="F60" s="106" t="s">
        <v>214</v>
      </c>
      <c r="G60" s="106" t="s">
        <v>214</v>
      </c>
      <c r="H60" s="119">
        <f>271.11/7</f>
        <v>38.730000000000004</v>
      </c>
    </row>
    <row r="61" spans="2:8" x14ac:dyDescent="0.35">
      <c r="B61" s="118">
        <v>59</v>
      </c>
      <c r="C61" s="106" t="s">
        <v>95</v>
      </c>
      <c r="D61" s="106" t="s">
        <v>155</v>
      </c>
      <c r="E61" s="106">
        <v>1</v>
      </c>
      <c r="F61" s="106" t="s">
        <v>113</v>
      </c>
      <c r="G61" s="106" t="s">
        <v>148</v>
      </c>
      <c r="H61" s="119">
        <v>5210.58</v>
      </c>
    </row>
    <row r="62" spans="2:8" x14ac:dyDescent="0.35">
      <c r="B62" s="118">
        <v>60</v>
      </c>
      <c r="C62" s="106" t="s">
        <v>95</v>
      </c>
      <c r="D62" s="106" t="s">
        <v>155</v>
      </c>
      <c r="E62" s="106">
        <v>1</v>
      </c>
      <c r="F62" s="106" t="s">
        <v>214</v>
      </c>
      <c r="G62" s="106" t="s">
        <v>214</v>
      </c>
      <c r="H62" s="119">
        <f>135.26/7</f>
        <v>19.322857142857142</v>
      </c>
    </row>
    <row r="63" spans="2:8" x14ac:dyDescent="0.35">
      <c r="B63" s="118">
        <v>61</v>
      </c>
      <c r="C63" s="106" t="s">
        <v>95</v>
      </c>
      <c r="D63" s="106" t="s">
        <v>156</v>
      </c>
      <c r="E63" s="106">
        <v>1</v>
      </c>
      <c r="F63" s="106" t="s">
        <v>113</v>
      </c>
      <c r="G63" s="106" t="s">
        <v>148</v>
      </c>
      <c r="H63" s="119">
        <v>5900.72</v>
      </c>
    </row>
    <row r="64" spans="2:8" x14ac:dyDescent="0.35">
      <c r="B64" s="118">
        <v>62</v>
      </c>
      <c r="C64" s="106" t="s">
        <v>95</v>
      </c>
      <c r="D64" s="106" t="s">
        <v>156</v>
      </c>
      <c r="E64" s="106">
        <v>1</v>
      </c>
      <c r="F64" s="106" t="s">
        <v>214</v>
      </c>
      <c r="G64" s="106" t="s">
        <v>214</v>
      </c>
      <c r="H64" s="119">
        <f>182.49/7</f>
        <v>26.07</v>
      </c>
    </row>
    <row r="65" spans="2:8" x14ac:dyDescent="0.35">
      <c r="B65" s="118">
        <v>63</v>
      </c>
      <c r="C65" s="106" t="s">
        <v>96</v>
      </c>
      <c r="D65" s="106" t="s">
        <v>157</v>
      </c>
      <c r="E65" s="106">
        <v>1</v>
      </c>
      <c r="F65" s="106" t="s">
        <v>113</v>
      </c>
      <c r="G65" s="106" t="s">
        <v>148</v>
      </c>
      <c r="H65" s="119">
        <v>53510.26</v>
      </c>
    </row>
    <row r="66" spans="2:8" x14ac:dyDescent="0.35">
      <c r="B66" s="118">
        <v>64</v>
      </c>
      <c r="C66" s="106" t="s">
        <v>96</v>
      </c>
      <c r="D66" s="106" t="s">
        <v>157</v>
      </c>
      <c r="E66" s="106">
        <v>1</v>
      </c>
      <c r="F66" s="106" t="s">
        <v>214</v>
      </c>
      <c r="G66" s="106" t="s">
        <v>214</v>
      </c>
      <c r="H66" s="119">
        <f>2807/7</f>
        <v>401</v>
      </c>
    </row>
    <row r="67" spans="2:8" x14ac:dyDescent="0.35">
      <c r="B67" s="118">
        <v>65</v>
      </c>
      <c r="C67" s="106" t="s">
        <v>97</v>
      </c>
      <c r="D67" s="106" t="s">
        <v>158</v>
      </c>
      <c r="E67" s="106">
        <v>1</v>
      </c>
      <c r="F67" s="106" t="s">
        <v>113</v>
      </c>
      <c r="G67" s="106" t="s">
        <v>148</v>
      </c>
      <c r="H67" s="119">
        <v>158449.10999999999</v>
      </c>
    </row>
    <row r="68" spans="2:8" x14ac:dyDescent="0.35">
      <c r="B68" s="118">
        <v>66</v>
      </c>
      <c r="C68" s="106" t="s">
        <v>97</v>
      </c>
      <c r="D68" s="106" t="s">
        <v>158</v>
      </c>
      <c r="E68" s="106">
        <v>1</v>
      </c>
      <c r="F68" s="106" t="s">
        <v>214</v>
      </c>
      <c r="G68" s="106" t="s">
        <v>214</v>
      </c>
      <c r="H68" s="119">
        <f>14128.97/7</f>
        <v>2018.4242857142856</v>
      </c>
    </row>
    <row r="69" spans="2:8" x14ac:dyDescent="0.35">
      <c r="B69" s="118">
        <v>67</v>
      </c>
      <c r="C69" s="106" t="s">
        <v>159</v>
      </c>
      <c r="D69" s="106"/>
      <c r="E69" s="106"/>
      <c r="F69" s="106"/>
      <c r="G69" s="106"/>
      <c r="H69" s="119"/>
    </row>
    <row r="70" spans="2:8" x14ac:dyDescent="0.35">
      <c r="B70" s="118">
        <v>68</v>
      </c>
      <c r="C70" s="106" t="s">
        <v>199</v>
      </c>
      <c r="D70" s="106" t="s">
        <v>200</v>
      </c>
      <c r="E70" s="106">
        <v>1</v>
      </c>
      <c r="F70" s="106" t="s">
        <v>113</v>
      </c>
      <c r="G70" s="106" t="s">
        <v>148</v>
      </c>
      <c r="H70" s="119">
        <v>5083.25</v>
      </c>
    </row>
    <row r="71" spans="2:8" x14ac:dyDescent="0.35">
      <c r="B71" s="118">
        <v>69</v>
      </c>
      <c r="C71" s="106" t="s">
        <v>199</v>
      </c>
      <c r="D71" s="106" t="s">
        <v>200</v>
      </c>
      <c r="E71" s="106">
        <v>1</v>
      </c>
      <c r="F71" s="106" t="s">
        <v>214</v>
      </c>
      <c r="G71" s="106" t="s">
        <v>214</v>
      </c>
      <c r="H71" s="119">
        <v>123.48</v>
      </c>
    </row>
    <row r="72" spans="2:8" x14ac:dyDescent="0.35">
      <c r="B72" s="118">
        <v>70</v>
      </c>
      <c r="C72" s="106" t="s">
        <v>241</v>
      </c>
      <c r="D72" s="106"/>
      <c r="E72" s="106">
        <v>1</v>
      </c>
      <c r="F72" s="106" t="s">
        <v>113</v>
      </c>
      <c r="G72" s="106" t="s">
        <v>148</v>
      </c>
      <c r="H72" s="119">
        <v>5979.17</v>
      </c>
    </row>
    <row r="73" spans="2:8" x14ac:dyDescent="0.35">
      <c r="B73" s="118">
        <v>71</v>
      </c>
      <c r="C73" s="106" t="s">
        <v>247</v>
      </c>
      <c r="D73" s="106" t="s">
        <v>248</v>
      </c>
      <c r="E73" s="106">
        <v>1</v>
      </c>
      <c r="F73" s="106" t="s">
        <v>113</v>
      </c>
      <c r="G73" s="106" t="s">
        <v>148</v>
      </c>
      <c r="H73" s="119">
        <v>14003.16</v>
      </c>
    </row>
    <row r="74" spans="2:8" x14ac:dyDescent="0.35">
      <c r="B74" s="118">
        <v>72</v>
      </c>
      <c r="C74" s="106" t="s">
        <v>247</v>
      </c>
      <c r="D74" s="106" t="s">
        <v>248</v>
      </c>
      <c r="E74" s="106">
        <v>1</v>
      </c>
      <c r="F74" s="106" t="s">
        <v>214</v>
      </c>
      <c r="G74" s="106" t="s">
        <v>214</v>
      </c>
      <c r="H74" s="119">
        <v>660.1</v>
      </c>
    </row>
    <row r="75" spans="2:8" x14ac:dyDescent="0.35">
      <c r="B75" s="118">
        <v>73</v>
      </c>
      <c r="C75" s="106" t="s">
        <v>260</v>
      </c>
      <c r="D75" s="106" t="s">
        <v>261</v>
      </c>
      <c r="E75" s="106">
        <v>1</v>
      </c>
      <c r="F75" s="106" t="s">
        <v>113</v>
      </c>
      <c r="G75" s="106" t="s">
        <v>148</v>
      </c>
      <c r="H75" s="119">
        <v>4082.38</v>
      </c>
    </row>
    <row r="76" spans="2:8" x14ac:dyDescent="0.35">
      <c r="B76" s="118">
        <v>74</v>
      </c>
      <c r="C76" s="106" t="s">
        <v>260</v>
      </c>
      <c r="D76" s="106" t="s">
        <v>261</v>
      </c>
      <c r="E76" s="106">
        <v>1</v>
      </c>
      <c r="F76" s="106" t="s">
        <v>214</v>
      </c>
      <c r="G76" s="106" t="s">
        <v>214</v>
      </c>
      <c r="H76" s="119">
        <v>49.28</v>
      </c>
    </row>
    <row r="77" spans="2:8" x14ac:dyDescent="0.35">
      <c r="B77" s="118">
        <v>75</v>
      </c>
      <c r="C77" s="106" t="s">
        <v>275</v>
      </c>
      <c r="D77" s="106"/>
      <c r="E77" s="106">
        <v>1</v>
      </c>
      <c r="F77" s="106" t="s">
        <v>113</v>
      </c>
      <c r="G77" s="106" t="s">
        <v>148</v>
      </c>
      <c r="H77" s="119">
        <v>5325.76</v>
      </c>
    </row>
    <row r="78" spans="2:8" x14ac:dyDescent="0.35">
      <c r="B78" s="118">
        <v>76</v>
      </c>
      <c r="C78" s="106" t="s">
        <v>275</v>
      </c>
      <c r="D78" s="106"/>
      <c r="E78" s="106">
        <v>1</v>
      </c>
      <c r="F78" s="106" t="s">
        <v>214</v>
      </c>
      <c r="G78" s="106" t="s">
        <v>214</v>
      </c>
      <c r="H78" s="119">
        <v>48.26</v>
      </c>
    </row>
    <row r="79" spans="2:8" x14ac:dyDescent="0.35">
      <c r="B79" s="118">
        <v>77</v>
      </c>
      <c r="C79" s="106" t="s">
        <v>275</v>
      </c>
      <c r="D79" s="106"/>
      <c r="E79" s="106">
        <v>1</v>
      </c>
      <c r="F79" s="106" t="s">
        <v>113</v>
      </c>
      <c r="G79" s="106" t="s">
        <v>148</v>
      </c>
      <c r="H79" s="119">
        <v>1375.16</v>
      </c>
    </row>
    <row r="80" spans="2:8" x14ac:dyDescent="0.35">
      <c r="B80" s="118">
        <v>78</v>
      </c>
      <c r="C80" s="106" t="s">
        <v>275</v>
      </c>
      <c r="D80" s="106"/>
      <c r="E80" s="106">
        <v>1</v>
      </c>
      <c r="F80" s="106" t="s">
        <v>214</v>
      </c>
      <c r="G80" s="106" t="s">
        <v>214</v>
      </c>
      <c r="H80" s="119">
        <v>6.17</v>
      </c>
    </row>
    <row r="81" spans="2:8" x14ac:dyDescent="0.35">
      <c r="B81" s="118">
        <v>79</v>
      </c>
      <c r="C81" s="106" t="s">
        <v>302</v>
      </c>
      <c r="D81" s="106"/>
      <c r="E81" s="106">
        <v>1</v>
      </c>
      <c r="F81" s="106" t="s">
        <v>113</v>
      </c>
      <c r="G81" s="106" t="s">
        <v>148</v>
      </c>
      <c r="H81" s="119">
        <v>2448.62</v>
      </c>
    </row>
    <row r="82" spans="2:8" x14ac:dyDescent="0.35">
      <c r="B82" s="118">
        <v>80</v>
      </c>
      <c r="C82" s="106" t="s">
        <v>302</v>
      </c>
      <c r="D82" s="106"/>
      <c r="E82" s="106">
        <v>1</v>
      </c>
      <c r="F82" s="106" t="s">
        <v>214</v>
      </c>
      <c r="G82" s="106" t="s">
        <v>214</v>
      </c>
      <c r="H82" s="119">
        <v>57.19</v>
      </c>
    </row>
    <row r="83" spans="2:8" x14ac:dyDescent="0.35">
      <c r="B83" s="118">
        <v>81</v>
      </c>
      <c r="C83" s="106" t="s">
        <v>351</v>
      </c>
      <c r="D83" s="106" t="s">
        <v>352</v>
      </c>
      <c r="E83" s="106">
        <v>1</v>
      </c>
      <c r="F83" s="106" t="s">
        <v>113</v>
      </c>
      <c r="G83" s="106" t="s">
        <v>148</v>
      </c>
      <c r="H83" s="119">
        <v>15415.16</v>
      </c>
    </row>
    <row r="84" spans="2:8" x14ac:dyDescent="0.35">
      <c r="B84" s="118">
        <v>82</v>
      </c>
      <c r="C84" s="106" t="s">
        <v>351</v>
      </c>
      <c r="D84" s="106" t="s">
        <v>352</v>
      </c>
      <c r="E84" s="106">
        <v>1</v>
      </c>
      <c r="F84" s="106" t="s">
        <v>214</v>
      </c>
      <c r="G84" s="106" t="s">
        <v>214</v>
      </c>
      <c r="H84" s="119">
        <v>297.83</v>
      </c>
    </row>
    <row r="85" spans="2:8" x14ac:dyDescent="0.35">
      <c r="B85" s="118">
        <v>83</v>
      </c>
      <c r="C85" s="106" t="s">
        <v>417</v>
      </c>
      <c r="D85" s="106" t="s">
        <v>418</v>
      </c>
      <c r="E85" s="106">
        <v>1</v>
      </c>
      <c r="F85" s="106" t="s">
        <v>113</v>
      </c>
      <c r="G85" s="106" t="s">
        <v>148</v>
      </c>
      <c r="H85" s="119">
        <v>11289.34</v>
      </c>
    </row>
    <row r="86" spans="2:8" x14ac:dyDescent="0.35">
      <c r="B86" s="118">
        <v>84</v>
      </c>
      <c r="C86" s="106" t="s">
        <v>417</v>
      </c>
      <c r="D86" s="106" t="s">
        <v>418</v>
      </c>
      <c r="E86" s="106">
        <v>1</v>
      </c>
      <c r="F86" s="106" t="s">
        <v>214</v>
      </c>
      <c r="G86" s="106" t="s">
        <v>214</v>
      </c>
      <c r="H86" s="119">
        <v>1429.84</v>
      </c>
    </row>
    <row r="87" spans="2:8" x14ac:dyDescent="0.35">
      <c r="B87" s="118">
        <v>85</v>
      </c>
      <c r="C87" s="106" t="s">
        <v>428</v>
      </c>
      <c r="D87" s="106"/>
      <c r="E87" s="106">
        <v>1</v>
      </c>
      <c r="F87" s="106" t="s">
        <v>113</v>
      </c>
      <c r="G87" s="106" t="s">
        <v>148</v>
      </c>
      <c r="H87" s="119">
        <v>13590.73</v>
      </c>
    </row>
    <row r="88" spans="2:8" x14ac:dyDescent="0.35">
      <c r="B88" s="118">
        <v>86</v>
      </c>
      <c r="C88" s="106" t="s">
        <v>428</v>
      </c>
      <c r="D88" s="106"/>
      <c r="E88" s="106">
        <v>1</v>
      </c>
      <c r="F88" s="106" t="s">
        <v>214</v>
      </c>
      <c r="G88" s="106" t="s">
        <v>214</v>
      </c>
      <c r="H88" s="119">
        <v>302.12</v>
      </c>
    </row>
    <row r="89" spans="2:8" x14ac:dyDescent="0.35">
      <c r="B89" s="118">
        <v>87</v>
      </c>
      <c r="C89" s="106" t="s">
        <v>480</v>
      </c>
      <c r="D89" s="106" t="s">
        <v>481</v>
      </c>
      <c r="E89" s="106">
        <v>1</v>
      </c>
      <c r="F89" s="106" t="s">
        <v>113</v>
      </c>
      <c r="G89" s="106" t="s">
        <v>148</v>
      </c>
      <c r="H89" s="119">
        <v>32825.120000000003</v>
      </c>
    </row>
    <row r="90" spans="2:8" x14ac:dyDescent="0.35">
      <c r="B90" s="118">
        <v>88</v>
      </c>
      <c r="C90" s="106" t="s">
        <v>480</v>
      </c>
      <c r="D90" s="106" t="s">
        <v>481</v>
      </c>
      <c r="E90" s="106">
        <v>1</v>
      </c>
      <c r="F90" s="106" t="s">
        <v>214</v>
      </c>
      <c r="G90" s="106" t="s">
        <v>214</v>
      </c>
      <c r="H90" s="119">
        <v>2044.24</v>
      </c>
    </row>
    <row r="91" spans="2:8" x14ac:dyDescent="0.35">
      <c r="B91" s="118">
        <v>89</v>
      </c>
      <c r="C91" s="106"/>
      <c r="D91" s="106"/>
      <c r="E91" s="106"/>
      <c r="F91" s="106"/>
      <c r="G91" s="106"/>
      <c r="H91" s="119"/>
    </row>
    <row r="92" spans="2:8" x14ac:dyDescent="0.35">
      <c r="B92" s="118">
        <v>90</v>
      </c>
      <c r="C92" s="106"/>
      <c r="D92" s="106"/>
      <c r="E92" s="106"/>
      <c r="F92" s="106"/>
      <c r="G92" s="106"/>
      <c r="H92" s="119"/>
    </row>
    <row r="93" spans="2:8" x14ac:dyDescent="0.35">
      <c r="B93" s="118">
        <v>91</v>
      </c>
      <c r="C93" s="106"/>
      <c r="D93" s="106"/>
      <c r="E93" s="106"/>
      <c r="F93" s="106"/>
      <c r="G93" s="106"/>
      <c r="H93" s="119"/>
    </row>
    <row r="94" spans="2:8" x14ac:dyDescent="0.35">
      <c r="B94" s="118">
        <v>92</v>
      </c>
      <c r="C94" s="106"/>
      <c r="D94" s="106"/>
      <c r="E94" s="106"/>
      <c r="F94" s="106"/>
      <c r="G94" s="106"/>
      <c r="H94" s="119"/>
    </row>
    <row r="95" spans="2:8" x14ac:dyDescent="0.35">
      <c r="B95" s="118">
        <v>93</v>
      </c>
      <c r="C95" s="106"/>
      <c r="D95" s="106"/>
      <c r="E95" s="106"/>
      <c r="F95" s="106"/>
      <c r="G95" s="106"/>
      <c r="H95" s="119"/>
    </row>
    <row r="96" spans="2:8" x14ac:dyDescent="0.35">
      <c r="B96" s="118">
        <v>94</v>
      </c>
      <c r="C96" s="106"/>
      <c r="D96" s="106"/>
      <c r="E96" s="106"/>
      <c r="F96" s="106"/>
      <c r="G96" s="106"/>
      <c r="H96" s="119"/>
    </row>
    <row r="97" spans="2:8" x14ac:dyDescent="0.35">
      <c r="B97" s="118">
        <v>95</v>
      </c>
      <c r="C97" s="106"/>
      <c r="D97" s="106"/>
      <c r="E97" s="106"/>
      <c r="F97" s="106"/>
      <c r="G97" s="106"/>
      <c r="H97" s="119"/>
    </row>
    <row r="98" spans="2:8" x14ac:dyDescent="0.35">
      <c r="B98" s="118">
        <v>96</v>
      </c>
      <c r="C98" s="106"/>
      <c r="D98" s="106"/>
      <c r="E98" s="106"/>
      <c r="F98" s="106"/>
      <c r="G98" s="106"/>
      <c r="H98" s="119"/>
    </row>
    <row r="99" spans="2:8" x14ac:dyDescent="0.35">
      <c r="B99" s="118">
        <v>97</v>
      </c>
      <c r="C99" s="106"/>
      <c r="D99" s="106"/>
      <c r="E99" s="106"/>
      <c r="F99" s="106"/>
      <c r="G99" s="106"/>
      <c r="H99" s="119"/>
    </row>
    <row r="100" spans="2:8" x14ac:dyDescent="0.35">
      <c r="B100" s="118">
        <v>98</v>
      </c>
      <c r="C100" s="106"/>
      <c r="D100" s="106"/>
      <c r="E100" s="106"/>
      <c r="F100" s="106"/>
      <c r="G100" s="106"/>
      <c r="H100" s="119"/>
    </row>
    <row r="101" spans="2:8" x14ac:dyDescent="0.35">
      <c r="B101" s="118">
        <v>99</v>
      </c>
      <c r="C101" s="106"/>
      <c r="D101" s="106"/>
      <c r="E101" s="106"/>
      <c r="F101" s="106"/>
      <c r="G101" s="106"/>
      <c r="H101" s="119"/>
    </row>
    <row r="102" spans="2:8" x14ac:dyDescent="0.35">
      <c r="B102" s="118">
        <v>100</v>
      </c>
      <c r="C102" s="106"/>
      <c r="D102" s="106"/>
      <c r="E102" s="106"/>
      <c r="F102" s="106"/>
      <c r="G102" s="106"/>
      <c r="H102" s="119"/>
    </row>
    <row r="103" spans="2:8" x14ac:dyDescent="0.35">
      <c r="B103" s="118">
        <v>101</v>
      </c>
      <c r="C103" s="106"/>
      <c r="D103" s="106"/>
      <c r="E103" s="106"/>
      <c r="F103" s="106"/>
      <c r="G103" s="106"/>
      <c r="H103" s="119"/>
    </row>
    <row r="104" spans="2:8" x14ac:dyDescent="0.35">
      <c r="B104" s="118">
        <v>102</v>
      </c>
      <c r="C104" s="106"/>
      <c r="D104" s="106"/>
      <c r="E104" s="106"/>
      <c r="F104" s="106"/>
      <c r="G104" s="106"/>
      <c r="H104" s="119"/>
    </row>
    <row r="105" spans="2:8" x14ac:dyDescent="0.35">
      <c r="B105" s="118">
        <v>103</v>
      </c>
      <c r="C105" s="106"/>
      <c r="D105" s="106"/>
      <c r="E105" s="106"/>
      <c r="F105" s="106"/>
      <c r="G105" s="106"/>
      <c r="H105" s="119"/>
    </row>
    <row r="106" spans="2:8" x14ac:dyDescent="0.35">
      <c r="B106" s="118">
        <v>104</v>
      </c>
      <c r="C106" s="106"/>
      <c r="D106" s="106"/>
      <c r="E106" s="106"/>
      <c r="F106" s="106"/>
      <c r="G106" s="106"/>
      <c r="H106" s="119"/>
    </row>
    <row r="107" spans="2:8" x14ac:dyDescent="0.35">
      <c r="B107" s="118">
        <v>105</v>
      </c>
      <c r="C107" s="106"/>
      <c r="D107" s="106"/>
      <c r="E107" s="106"/>
      <c r="F107" s="106"/>
      <c r="G107" s="106"/>
      <c r="H107" s="119"/>
    </row>
    <row r="108" spans="2:8" x14ac:dyDescent="0.35">
      <c r="B108" s="118">
        <v>106</v>
      </c>
      <c r="C108" s="106"/>
      <c r="D108" s="106"/>
      <c r="E108" s="106"/>
      <c r="F108" s="106"/>
      <c r="G108" s="106"/>
      <c r="H108" s="119"/>
    </row>
    <row r="109" spans="2:8" x14ac:dyDescent="0.35">
      <c r="B109" s="118">
        <v>107</v>
      </c>
      <c r="C109" s="106"/>
      <c r="D109" s="106"/>
      <c r="E109" s="106"/>
      <c r="F109" s="106"/>
      <c r="G109" s="106"/>
      <c r="H109" s="119"/>
    </row>
    <row r="110" spans="2:8" x14ac:dyDescent="0.35">
      <c r="B110" s="118">
        <v>108</v>
      </c>
      <c r="C110" s="106"/>
      <c r="D110" s="106"/>
      <c r="E110" s="106"/>
      <c r="F110" s="106"/>
      <c r="G110" s="106"/>
      <c r="H110" s="119"/>
    </row>
    <row r="111" spans="2:8" x14ac:dyDescent="0.35">
      <c r="B111" s="118">
        <v>109</v>
      </c>
      <c r="C111" s="106"/>
      <c r="D111" s="106"/>
      <c r="E111" s="106"/>
      <c r="F111" s="106"/>
      <c r="G111" s="106"/>
      <c r="H111" s="119"/>
    </row>
    <row r="112" spans="2:8" x14ac:dyDescent="0.35">
      <c r="B112" s="118">
        <v>110</v>
      </c>
      <c r="C112" s="106"/>
      <c r="D112" s="106"/>
      <c r="E112" s="106"/>
      <c r="F112" s="106"/>
      <c r="G112" s="106"/>
      <c r="H112" s="119"/>
    </row>
    <row r="113" spans="2:8" x14ac:dyDescent="0.35">
      <c r="B113" s="118">
        <v>111</v>
      </c>
      <c r="C113" s="106"/>
      <c r="D113" s="106"/>
      <c r="E113" s="106"/>
      <c r="F113" s="106"/>
      <c r="G113" s="106"/>
      <c r="H113" s="119"/>
    </row>
    <row r="114" spans="2:8" x14ac:dyDescent="0.35">
      <c r="B114" s="118">
        <v>112</v>
      </c>
      <c r="C114" s="106"/>
      <c r="D114" s="106"/>
      <c r="E114" s="106"/>
      <c r="F114" s="106"/>
      <c r="G114" s="106"/>
      <c r="H114" s="119"/>
    </row>
    <row r="115" spans="2:8" x14ac:dyDescent="0.35">
      <c r="B115" s="118">
        <v>113</v>
      </c>
      <c r="C115" s="106"/>
      <c r="D115" s="106"/>
      <c r="E115" s="106"/>
      <c r="F115" s="106"/>
      <c r="G115" s="106"/>
      <c r="H115" s="119"/>
    </row>
    <row r="116" spans="2:8" x14ac:dyDescent="0.35">
      <c r="B116" s="118">
        <v>114</v>
      </c>
      <c r="C116" s="106"/>
      <c r="D116" s="106"/>
      <c r="E116" s="106"/>
      <c r="F116" s="106"/>
      <c r="G116" s="106"/>
      <c r="H116" s="119"/>
    </row>
    <row r="117" spans="2:8" x14ac:dyDescent="0.35">
      <c r="B117" s="118">
        <v>115</v>
      </c>
      <c r="C117" s="106"/>
      <c r="D117" s="106"/>
      <c r="E117" s="106"/>
      <c r="F117" s="106"/>
      <c r="G117" s="106"/>
      <c r="H117" s="119"/>
    </row>
    <row r="118" spans="2:8" x14ac:dyDescent="0.35">
      <c r="B118" s="118">
        <v>116</v>
      </c>
      <c r="C118" s="106"/>
      <c r="D118" s="106"/>
      <c r="E118" s="106"/>
      <c r="F118" s="106"/>
      <c r="G118" s="106"/>
      <c r="H118" s="119"/>
    </row>
    <row r="119" spans="2:8" x14ac:dyDescent="0.35">
      <c r="B119" s="118">
        <v>117</v>
      </c>
      <c r="C119" s="106"/>
      <c r="D119" s="106"/>
      <c r="E119" s="106"/>
      <c r="F119" s="106"/>
      <c r="G119" s="106"/>
      <c r="H119" s="119"/>
    </row>
    <row r="120" spans="2:8" x14ac:dyDescent="0.35">
      <c r="B120" s="118">
        <v>118</v>
      </c>
      <c r="C120" s="106"/>
      <c r="D120" s="106"/>
      <c r="E120" s="106"/>
      <c r="F120" s="106"/>
      <c r="G120" s="106"/>
      <c r="H120" s="119"/>
    </row>
    <row r="121" spans="2:8" x14ac:dyDescent="0.35">
      <c r="B121" s="118">
        <v>119</v>
      </c>
      <c r="C121" s="106"/>
      <c r="D121" s="106"/>
      <c r="E121" s="106"/>
      <c r="F121" s="106"/>
      <c r="G121" s="106"/>
      <c r="H121" s="119"/>
    </row>
    <row r="122" spans="2:8" x14ac:dyDescent="0.35">
      <c r="B122" s="118">
        <v>120</v>
      </c>
      <c r="C122" s="106"/>
      <c r="D122" s="106"/>
      <c r="E122" s="106"/>
      <c r="F122" s="106"/>
      <c r="G122" s="106"/>
      <c r="H122" s="119"/>
    </row>
    <row r="123" spans="2:8" x14ac:dyDescent="0.35">
      <c r="B123" s="118">
        <v>121</v>
      </c>
      <c r="C123" s="106"/>
      <c r="D123" s="106"/>
      <c r="E123" s="106"/>
      <c r="F123" s="106"/>
      <c r="G123" s="106"/>
      <c r="H123" s="119"/>
    </row>
    <row r="124" spans="2:8" x14ac:dyDescent="0.35">
      <c r="B124" s="118">
        <v>122</v>
      </c>
      <c r="C124" s="106"/>
      <c r="D124" s="106"/>
      <c r="E124" s="106"/>
      <c r="F124" s="106"/>
      <c r="G124" s="106"/>
      <c r="H124" s="119"/>
    </row>
    <row r="125" spans="2:8" x14ac:dyDescent="0.35">
      <c r="B125" s="118">
        <v>123</v>
      </c>
      <c r="C125" s="106"/>
      <c r="D125" s="106"/>
      <c r="E125" s="106"/>
      <c r="F125" s="106"/>
      <c r="G125" s="106"/>
      <c r="H125" s="119"/>
    </row>
    <row r="126" spans="2:8" x14ac:dyDescent="0.35">
      <c r="B126" s="118">
        <v>124</v>
      </c>
      <c r="C126" s="106"/>
      <c r="D126" s="106"/>
      <c r="E126" s="106"/>
      <c r="F126" s="106"/>
      <c r="G126" s="106"/>
      <c r="H126" s="119"/>
    </row>
    <row r="127" spans="2:8" x14ac:dyDescent="0.35">
      <c r="B127" s="118">
        <v>125</v>
      </c>
      <c r="C127" s="106"/>
      <c r="D127" s="106"/>
      <c r="E127" s="106"/>
      <c r="F127" s="106"/>
      <c r="G127" s="106"/>
      <c r="H127" s="119"/>
    </row>
    <row r="128" spans="2:8" x14ac:dyDescent="0.35">
      <c r="B128" s="118">
        <v>126</v>
      </c>
      <c r="C128" s="106"/>
      <c r="D128" s="106"/>
      <c r="E128" s="106"/>
      <c r="F128" s="106"/>
      <c r="G128" s="106"/>
      <c r="H128" s="119"/>
    </row>
    <row r="129" spans="2:8" x14ac:dyDescent="0.35">
      <c r="B129" s="118">
        <v>127</v>
      </c>
      <c r="C129" s="106"/>
      <c r="D129" s="106"/>
      <c r="E129" s="106"/>
      <c r="F129" s="106"/>
      <c r="G129" s="106"/>
      <c r="H129" s="119"/>
    </row>
    <row r="130" spans="2:8" x14ac:dyDescent="0.35">
      <c r="B130" s="118">
        <v>128</v>
      </c>
      <c r="C130" s="106"/>
      <c r="D130" s="106"/>
      <c r="E130" s="106"/>
      <c r="F130" s="106"/>
      <c r="G130" s="106"/>
      <c r="H130" s="119"/>
    </row>
    <row r="131" spans="2:8" x14ac:dyDescent="0.35">
      <c r="B131" s="118">
        <v>129</v>
      </c>
      <c r="C131" s="106"/>
      <c r="D131" s="106"/>
      <c r="E131" s="106"/>
      <c r="F131" s="106"/>
      <c r="G131" s="106"/>
      <c r="H131" s="119"/>
    </row>
    <row r="132" spans="2:8" x14ac:dyDescent="0.35">
      <c r="B132" s="118">
        <v>130</v>
      </c>
      <c r="C132" s="106"/>
      <c r="D132" s="106"/>
      <c r="E132" s="106"/>
      <c r="F132" s="106"/>
      <c r="G132" s="106"/>
      <c r="H132" s="119"/>
    </row>
    <row r="133" spans="2:8" x14ac:dyDescent="0.35">
      <c r="B133" s="118">
        <v>131</v>
      </c>
      <c r="C133" s="106"/>
      <c r="D133" s="106"/>
      <c r="E133" s="106"/>
      <c r="F133" s="106"/>
      <c r="G133" s="106"/>
      <c r="H133" s="119"/>
    </row>
    <row r="134" spans="2:8" x14ac:dyDescent="0.35">
      <c r="B134" s="118">
        <v>132</v>
      </c>
      <c r="C134" s="106"/>
      <c r="D134" s="106"/>
      <c r="E134" s="106"/>
      <c r="F134" s="106"/>
      <c r="G134" s="106"/>
      <c r="H134" s="119"/>
    </row>
    <row r="135" spans="2:8" x14ac:dyDescent="0.35">
      <c r="B135" s="118">
        <v>133</v>
      </c>
      <c r="C135" s="106"/>
      <c r="D135" s="106"/>
      <c r="E135" s="106"/>
      <c r="F135" s="106"/>
      <c r="G135" s="106"/>
      <c r="H135" s="119"/>
    </row>
    <row r="136" spans="2:8" x14ac:dyDescent="0.35">
      <c r="B136" s="118">
        <v>134</v>
      </c>
      <c r="C136" s="106"/>
      <c r="D136" s="106"/>
      <c r="E136" s="106"/>
      <c r="F136" s="106"/>
      <c r="G136" s="106"/>
      <c r="H136" s="119"/>
    </row>
    <row r="137" spans="2:8" x14ac:dyDescent="0.35">
      <c r="B137" s="118">
        <v>135</v>
      </c>
      <c r="C137" s="106"/>
      <c r="D137" s="106"/>
      <c r="E137" s="106"/>
      <c r="F137" s="106"/>
      <c r="G137" s="106"/>
      <c r="H137" s="119"/>
    </row>
    <row r="138" spans="2:8" x14ac:dyDescent="0.35">
      <c r="B138" s="118">
        <v>136</v>
      </c>
      <c r="C138" s="106"/>
      <c r="D138" s="106"/>
      <c r="E138" s="106"/>
      <c r="F138" s="106"/>
      <c r="G138" s="106"/>
      <c r="H138" s="119"/>
    </row>
    <row r="139" spans="2:8" x14ac:dyDescent="0.35">
      <c r="B139" s="118">
        <v>137</v>
      </c>
      <c r="C139" s="106"/>
      <c r="D139" s="106"/>
      <c r="E139" s="106"/>
      <c r="F139" s="106"/>
      <c r="G139" s="106"/>
      <c r="H139" s="119"/>
    </row>
    <row r="140" spans="2:8" x14ac:dyDescent="0.35">
      <c r="B140" s="118">
        <v>138</v>
      </c>
      <c r="C140" s="106"/>
      <c r="D140" s="106"/>
      <c r="E140" s="106"/>
      <c r="F140" s="106"/>
      <c r="G140" s="106"/>
      <c r="H140" s="119"/>
    </row>
    <row r="141" spans="2:8" x14ac:dyDescent="0.35">
      <c r="B141" s="118">
        <v>139</v>
      </c>
      <c r="C141" s="106"/>
      <c r="D141" s="106"/>
      <c r="E141" s="106"/>
      <c r="F141" s="106"/>
      <c r="G141" s="106"/>
      <c r="H141" s="119"/>
    </row>
    <row r="142" spans="2:8" x14ac:dyDescent="0.35">
      <c r="B142" s="118">
        <v>140</v>
      </c>
      <c r="C142" s="106"/>
      <c r="D142" s="106"/>
      <c r="E142" s="106"/>
      <c r="F142" s="106"/>
      <c r="G142" s="106"/>
      <c r="H142" s="119"/>
    </row>
    <row r="143" spans="2:8" x14ac:dyDescent="0.35">
      <c r="B143" s="118">
        <v>141</v>
      </c>
      <c r="C143" s="106"/>
      <c r="D143" s="106"/>
      <c r="E143" s="106"/>
      <c r="F143" s="106"/>
      <c r="G143" s="106"/>
      <c r="H143" s="119"/>
    </row>
    <row r="144" spans="2:8" x14ac:dyDescent="0.35">
      <c r="B144" s="118">
        <v>142</v>
      </c>
      <c r="C144" s="106"/>
      <c r="D144" s="106"/>
      <c r="E144" s="106"/>
      <c r="F144" s="106"/>
      <c r="G144" s="106"/>
      <c r="H144" s="119"/>
    </row>
    <row r="145" spans="2:8" x14ac:dyDescent="0.35">
      <c r="B145" s="118">
        <v>143</v>
      </c>
      <c r="C145" s="106"/>
      <c r="D145" s="106"/>
      <c r="E145" s="106"/>
      <c r="F145" s="106"/>
      <c r="G145" s="106"/>
      <c r="H145" s="119"/>
    </row>
    <row r="146" spans="2:8" x14ac:dyDescent="0.35">
      <c r="B146" s="118">
        <v>144</v>
      </c>
      <c r="C146" s="106"/>
      <c r="D146" s="106"/>
      <c r="E146" s="106"/>
      <c r="F146" s="106"/>
      <c r="G146" s="106"/>
      <c r="H146" s="119"/>
    </row>
    <row r="147" spans="2:8" x14ac:dyDescent="0.35">
      <c r="B147" s="118">
        <v>145</v>
      </c>
      <c r="C147" s="106"/>
      <c r="D147" s="106"/>
      <c r="E147" s="106"/>
      <c r="F147" s="106"/>
      <c r="G147" s="106"/>
      <c r="H147" s="119"/>
    </row>
    <row r="148" spans="2:8" x14ac:dyDescent="0.35">
      <c r="B148" s="118">
        <v>146</v>
      </c>
      <c r="C148" s="106"/>
      <c r="D148" s="106"/>
      <c r="E148" s="106"/>
      <c r="F148" s="106"/>
      <c r="G148" s="106"/>
      <c r="H148" s="119"/>
    </row>
    <row r="149" spans="2:8" x14ac:dyDescent="0.35">
      <c r="B149" s="118">
        <v>147</v>
      </c>
      <c r="C149" s="106"/>
      <c r="D149" s="106"/>
      <c r="E149" s="106"/>
      <c r="F149" s="106"/>
      <c r="G149" s="106"/>
      <c r="H149" s="119"/>
    </row>
    <row r="150" spans="2:8" x14ac:dyDescent="0.35">
      <c r="B150" s="118">
        <v>148</v>
      </c>
      <c r="C150" s="106"/>
      <c r="D150" s="106"/>
      <c r="E150" s="106"/>
      <c r="F150" s="106"/>
      <c r="G150" s="106"/>
      <c r="H150" s="119"/>
    </row>
    <row r="151" spans="2:8" x14ac:dyDescent="0.35">
      <c r="B151" s="118">
        <v>149</v>
      </c>
      <c r="C151" s="106"/>
      <c r="D151" s="106"/>
      <c r="E151" s="106"/>
      <c r="F151" s="106"/>
      <c r="G151" s="106"/>
      <c r="H151" s="119"/>
    </row>
    <row r="152" spans="2:8" x14ac:dyDescent="0.35">
      <c r="B152" s="118">
        <v>150</v>
      </c>
      <c r="C152" s="106"/>
      <c r="D152" s="106"/>
      <c r="E152" s="106"/>
      <c r="F152" s="106"/>
      <c r="G152" s="106"/>
      <c r="H152" s="119"/>
    </row>
    <row r="153" spans="2:8" x14ac:dyDescent="0.35">
      <c r="B153" s="118">
        <v>151</v>
      </c>
      <c r="C153" s="106"/>
      <c r="D153" s="106"/>
      <c r="E153" s="106"/>
      <c r="F153" s="106"/>
      <c r="G153" s="106"/>
      <c r="H153" s="119"/>
    </row>
    <row r="154" spans="2:8" x14ac:dyDescent="0.35">
      <c r="B154" s="118">
        <v>152</v>
      </c>
      <c r="C154" s="106"/>
      <c r="D154" s="106"/>
      <c r="E154" s="106"/>
      <c r="F154" s="106"/>
      <c r="G154" s="106"/>
      <c r="H154" s="119"/>
    </row>
    <row r="155" spans="2:8" x14ac:dyDescent="0.35">
      <c r="B155" s="118">
        <v>153</v>
      </c>
      <c r="C155" s="106"/>
      <c r="D155" s="106"/>
      <c r="E155" s="106"/>
      <c r="F155" s="106"/>
      <c r="G155" s="106"/>
      <c r="H155" s="119"/>
    </row>
    <row r="156" spans="2:8" x14ac:dyDescent="0.35">
      <c r="B156" s="118">
        <v>154</v>
      </c>
      <c r="C156" s="106"/>
      <c r="D156" s="106"/>
      <c r="E156" s="106"/>
      <c r="F156" s="106"/>
      <c r="G156" s="106"/>
      <c r="H156" s="119"/>
    </row>
    <row r="157" spans="2:8" x14ac:dyDescent="0.35">
      <c r="B157" s="118">
        <v>155</v>
      </c>
      <c r="C157" s="106"/>
      <c r="D157" s="106"/>
      <c r="E157" s="106"/>
      <c r="F157" s="106"/>
      <c r="G157" s="106"/>
      <c r="H157" s="119"/>
    </row>
    <row r="158" spans="2:8" x14ac:dyDescent="0.35">
      <c r="B158" s="118">
        <v>156</v>
      </c>
      <c r="C158" s="106"/>
      <c r="D158" s="106"/>
      <c r="E158" s="106"/>
      <c r="F158" s="106"/>
      <c r="G158" s="106"/>
      <c r="H158" s="119"/>
    </row>
    <row r="159" spans="2:8" x14ac:dyDescent="0.35">
      <c r="B159" s="118">
        <v>157</v>
      </c>
      <c r="C159" s="106"/>
      <c r="D159" s="106"/>
      <c r="E159" s="106"/>
      <c r="F159" s="106"/>
      <c r="G159" s="106"/>
      <c r="H159" s="119"/>
    </row>
    <row r="160" spans="2:8" x14ac:dyDescent="0.35">
      <c r="B160" s="118">
        <v>158</v>
      </c>
      <c r="C160" s="106"/>
      <c r="D160" s="106"/>
      <c r="E160" s="106"/>
      <c r="F160" s="106"/>
      <c r="G160" s="106"/>
      <c r="H160" s="119"/>
    </row>
    <row r="161" spans="2:8" x14ac:dyDescent="0.35">
      <c r="B161" s="118">
        <v>159</v>
      </c>
      <c r="C161" s="106"/>
      <c r="D161" s="106"/>
      <c r="E161" s="106"/>
      <c r="F161" s="106"/>
      <c r="G161" s="106"/>
      <c r="H161" s="119"/>
    </row>
    <row r="162" spans="2:8" x14ac:dyDescent="0.35">
      <c r="B162" s="118">
        <v>160</v>
      </c>
      <c r="C162" s="106"/>
      <c r="D162" s="106"/>
      <c r="E162" s="106"/>
      <c r="F162" s="106"/>
      <c r="G162" s="106"/>
      <c r="H162" s="119"/>
    </row>
    <row r="163" spans="2:8" x14ac:dyDescent="0.35">
      <c r="B163" s="118">
        <v>161</v>
      </c>
      <c r="C163" s="106"/>
      <c r="D163" s="106"/>
      <c r="E163" s="106"/>
      <c r="F163" s="106"/>
      <c r="G163" s="106"/>
      <c r="H163" s="119"/>
    </row>
    <row r="164" spans="2:8" x14ac:dyDescent="0.35">
      <c r="B164" s="118">
        <v>162</v>
      </c>
      <c r="C164" s="106"/>
      <c r="D164" s="106"/>
      <c r="E164" s="106"/>
      <c r="F164" s="106"/>
      <c r="G164" s="106"/>
      <c r="H164" s="119"/>
    </row>
    <row r="165" spans="2:8" x14ac:dyDescent="0.35">
      <c r="B165" s="118">
        <v>163</v>
      </c>
      <c r="C165" s="106"/>
      <c r="D165" s="106"/>
      <c r="E165" s="106"/>
      <c r="F165" s="106"/>
      <c r="G165" s="106"/>
      <c r="H165" s="119"/>
    </row>
    <row r="166" spans="2:8" x14ac:dyDescent="0.35">
      <c r="B166" s="118">
        <v>164</v>
      </c>
      <c r="C166" s="106"/>
      <c r="D166" s="106"/>
      <c r="E166" s="106"/>
      <c r="F166" s="106"/>
      <c r="G166" s="106"/>
      <c r="H166" s="119"/>
    </row>
    <row r="167" spans="2:8" x14ac:dyDescent="0.35">
      <c r="B167" s="118">
        <v>165</v>
      </c>
      <c r="C167" s="106"/>
      <c r="D167" s="106"/>
      <c r="E167" s="106"/>
      <c r="F167" s="106"/>
      <c r="G167" s="106"/>
      <c r="H167" s="119"/>
    </row>
    <row r="168" spans="2:8" x14ac:dyDescent="0.35">
      <c r="B168" s="118">
        <v>166</v>
      </c>
      <c r="C168" s="106"/>
      <c r="D168" s="106"/>
      <c r="E168" s="106"/>
      <c r="F168" s="106"/>
      <c r="G168" s="106"/>
      <c r="H168" s="119"/>
    </row>
    <row r="169" spans="2:8" x14ac:dyDescent="0.35">
      <c r="B169" s="118">
        <v>167</v>
      </c>
      <c r="C169" s="106"/>
      <c r="D169" s="106"/>
      <c r="E169" s="106"/>
      <c r="F169" s="106"/>
      <c r="G169" s="106"/>
      <c r="H169" s="119"/>
    </row>
    <row r="170" spans="2:8" x14ac:dyDescent="0.35">
      <c r="B170" s="118">
        <v>168</v>
      </c>
      <c r="C170" s="106"/>
      <c r="D170" s="106"/>
      <c r="E170" s="106"/>
      <c r="F170" s="106"/>
      <c r="G170" s="106"/>
      <c r="H170" s="119"/>
    </row>
    <row r="171" spans="2:8" x14ac:dyDescent="0.35">
      <c r="B171" s="118">
        <v>169</v>
      </c>
      <c r="C171" s="106"/>
      <c r="D171" s="106"/>
      <c r="E171" s="106"/>
      <c r="F171" s="106"/>
      <c r="G171" s="106"/>
      <c r="H171" s="119"/>
    </row>
    <row r="172" spans="2:8" x14ac:dyDescent="0.35">
      <c r="B172" s="118">
        <v>170</v>
      </c>
      <c r="C172" s="106"/>
      <c r="D172" s="106"/>
      <c r="E172" s="106"/>
      <c r="F172" s="106"/>
      <c r="G172" s="106"/>
      <c r="H172" s="119"/>
    </row>
    <row r="173" spans="2:8" x14ac:dyDescent="0.35">
      <c r="B173" s="118">
        <v>171</v>
      </c>
      <c r="C173" s="106"/>
      <c r="D173" s="106"/>
      <c r="E173" s="106"/>
      <c r="F173" s="106"/>
      <c r="G173" s="106"/>
      <c r="H173" s="119"/>
    </row>
    <row r="174" spans="2:8" x14ac:dyDescent="0.35">
      <c r="B174" s="118">
        <v>172</v>
      </c>
      <c r="C174" s="106"/>
      <c r="D174" s="106"/>
      <c r="E174" s="106"/>
      <c r="F174" s="106"/>
      <c r="G174" s="106"/>
      <c r="H174" s="119"/>
    </row>
    <row r="175" spans="2:8" x14ac:dyDescent="0.35">
      <c r="B175" s="118">
        <v>173</v>
      </c>
      <c r="C175" s="106"/>
      <c r="D175" s="106"/>
      <c r="E175" s="106"/>
      <c r="F175" s="106"/>
      <c r="G175" s="106"/>
      <c r="H175" s="119"/>
    </row>
    <row r="176" spans="2:8" ht="15" thickBot="1" x14ac:dyDescent="0.4">
      <c r="B176" s="118">
        <v>174</v>
      </c>
      <c r="C176" s="120"/>
      <c r="D176" s="120"/>
      <c r="E176" s="120"/>
      <c r="F176" s="120"/>
      <c r="G176" s="120"/>
      <c r="H176" s="121"/>
    </row>
  </sheetData>
  <autoFilter ref="B2:H176" xr:uid="{8607D0E0-4AAD-48B0-B15A-3A46E7422E84}"/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15F0-ED15-4C8A-AD77-F8B71C4A7F4B}">
  <dimension ref="A1:H15"/>
  <sheetViews>
    <sheetView topLeftCell="B1" workbookViewId="0">
      <selection activeCell="A14" sqref="A14"/>
    </sheetView>
  </sheetViews>
  <sheetFormatPr defaultRowHeight="14.5" x14ac:dyDescent="0.35"/>
  <cols>
    <col min="1" max="1" width="21.7265625" customWidth="1"/>
    <col min="2" max="2" width="18.7265625" customWidth="1"/>
    <col min="3" max="3" width="13.1796875" customWidth="1"/>
    <col min="4" max="5" width="15.1796875" customWidth="1"/>
    <col min="6" max="6" width="26.7265625" customWidth="1"/>
  </cols>
  <sheetData>
    <row r="1" spans="1:8" x14ac:dyDescent="0.35">
      <c r="A1" s="232" t="s">
        <v>57</v>
      </c>
      <c r="B1" s="232"/>
      <c r="C1" s="232"/>
      <c r="D1" s="232"/>
      <c r="E1" s="232"/>
      <c r="F1" s="232"/>
    </row>
    <row r="2" spans="1:8" x14ac:dyDescent="0.35">
      <c r="A2" s="9" t="s">
        <v>20</v>
      </c>
      <c r="B2" s="9">
        <v>3</v>
      </c>
      <c r="C2" s="8"/>
      <c r="D2" s="8"/>
      <c r="E2" s="8"/>
      <c r="F2" s="8"/>
    </row>
    <row r="3" spans="1:8" x14ac:dyDescent="0.35">
      <c r="A3" s="9" t="s">
        <v>16</v>
      </c>
      <c r="B3" s="9" t="s">
        <v>88</v>
      </c>
      <c r="C3" s="8"/>
      <c r="D3" s="8"/>
      <c r="E3" s="8"/>
      <c r="F3" s="8"/>
    </row>
    <row r="4" spans="1:8" x14ac:dyDescent="0.35">
      <c r="A4" s="9" t="s">
        <v>55</v>
      </c>
      <c r="B4" s="9" t="s">
        <v>87</v>
      </c>
      <c r="C4" s="8"/>
      <c r="D4" s="8"/>
      <c r="E4" s="8"/>
      <c r="F4" s="8"/>
    </row>
    <row r="5" spans="1:8" x14ac:dyDescent="0.35">
      <c r="A5" s="9" t="s">
        <v>89</v>
      </c>
      <c r="B5" s="10">
        <v>44890</v>
      </c>
      <c r="C5" s="8"/>
      <c r="D5" s="9"/>
      <c r="E5" s="9"/>
      <c r="F5" s="9"/>
    </row>
    <row r="6" spans="1:8" ht="15" thickBot="1" x14ac:dyDescent="0.4"/>
    <row r="7" spans="1:8" ht="30" customHeight="1" thickBot="1" x14ac:dyDescent="0.4">
      <c r="A7" s="233" t="s">
        <v>80</v>
      </c>
      <c r="B7" s="234"/>
      <c r="C7" s="234"/>
      <c r="D7" s="234"/>
      <c r="E7" s="234"/>
      <c r="F7" s="235"/>
    </row>
    <row r="8" spans="1:8" ht="30" customHeight="1" x14ac:dyDescent="0.35">
      <c r="A8" s="92" t="s">
        <v>30</v>
      </c>
      <c r="B8" s="93" t="s">
        <v>31</v>
      </c>
      <c r="C8" s="93" t="s">
        <v>81</v>
      </c>
      <c r="D8" s="94" t="s">
        <v>34</v>
      </c>
      <c r="E8" s="94" t="s">
        <v>42</v>
      </c>
      <c r="F8" s="93" t="s">
        <v>176</v>
      </c>
    </row>
    <row r="9" spans="1:8" ht="30" customHeight="1" x14ac:dyDescent="0.35">
      <c r="A9" s="95">
        <v>62652</v>
      </c>
      <c r="B9" s="104">
        <v>44822</v>
      </c>
      <c r="C9" s="96">
        <v>26</v>
      </c>
      <c r="D9" s="97">
        <f>Table37[[#This Row],[Hrs]]*20.5</f>
        <v>533</v>
      </c>
      <c r="E9" s="97">
        <v>533</v>
      </c>
      <c r="F9" s="97">
        <f>Table37[[#This Row],[Total]]-Table37[[#This Row],[Previous]]</f>
        <v>0</v>
      </c>
      <c r="H9" t="s">
        <v>298</v>
      </c>
    </row>
    <row r="10" spans="1:8" ht="30" customHeight="1" x14ac:dyDescent="0.35">
      <c r="A10" s="95">
        <v>62653</v>
      </c>
      <c r="B10" s="104">
        <v>44834</v>
      </c>
      <c r="C10" s="96">
        <v>6</v>
      </c>
      <c r="D10" s="97">
        <f>Table37[[#This Row],[Hrs]]*20.5</f>
        <v>123</v>
      </c>
      <c r="E10" s="97">
        <v>123</v>
      </c>
      <c r="F10" s="97">
        <f>Table37[[#This Row],[Total]]-Table37[[#This Row],[Previous]]</f>
        <v>0</v>
      </c>
    </row>
    <row r="11" spans="1:8" ht="30" customHeight="1" x14ac:dyDescent="0.35">
      <c r="A11" s="98">
        <v>62654</v>
      </c>
      <c r="B11" s="104">
        <v>44844</v>
      </c>
      <c r="C11" s="99">
        <v>30</v>
      </c>
      <c r="D11" s="97">
        <f>Table37[[#This Row],[Hrs]]*20.5</f>
        <v>615</v>
      </c>
      <c r="E11" s="97">
        <v>615</v>
      </c>
      <c r="F11" s="97">
        <f>Table37[[#This Row],[Total]]-Table37[[#This Row],[Previous]]</f>
        <v>0</v>
      </c>
    </row>
    <row r="12" spans="1:8" ht="30" customHeight="1" x14ac:dyDescent="0.35">
      <c r="A12" s="148">
        <v>62655</v>
      </c>
      <c r="B12" s="104">
        <v>44881</v>
      </c>
      <c r="C12" s="99">
        <v>8</v>
      </c>
      <c r="D12" s="97">
        <f>20.5*C12</f>
        <v>164</v>
      </c>
      <c r="E12" s="97">
        <v>0</v>
      </c>
      <c r="F12" s="97">
        <f>Table37[[#This Row],[Total]]-Table37[[#This Row],[Previous]]</f>
        <v>164</v>
      </c>
    </row>
    <row r="13" spans="1:8" ht="30" customHeight="1" x14ac:dyDescent="0.35">
      <c r="A13" s="148">
        <v>62657</v>
      </c>
      <c r="B13" s="104">
        <v>44886</v>
      </c>
      <c r="C13" s="99">
        <v>54</v>
      </c>
      <c r="D13" s="97">
        <f>Table37[[#This Row],[Hrs]]*20.5</f>
        <v>1107</v>
      </c>
      <c r="E13" s="97">
        <v>0</v>
      </c>
      <c r="F13" s="97">
        <f>Table37[[#This Row],[Total]]-Table37[[#This Row],[Previous]]</f>
        <v>1107</v>
      </c>
    </row>
    <row r="14" spans="1:8" ht="30" customHeight="1" x14ac:dyDescent="0.35">
      <c r="A14" s="148">
        <v>62658</v>
      </c>
      <c r="B14" s="104">
        <v>44886</v>
      </c>
      <c r="C14" s="100">
        <v>16</v>
      </c>
      <c r="D14" s="101">
        <f t="shared" ref="D14" si="0">20.5*C14</f>
        <v>328</v>
      </c>
      <c r="E14" s="101">
        <v>0</v>
      </c>
      <c r="F14" s="102">
        <f>Table37[[#This Row],[Total]]-Table37[[#This Row],[Previous]]</f>
        <v>328</v>
      </c>
    </row>
    <row r="15" spans="1:8" x14ac:dyDescent="0.35">
      <c r="A15" s="98" t="s">
        <v>34</v>
      </c>
      <c r="B15" s="105"/>
      <c r="C15" s="99">
        <f>SUBTOTAL(109,Table37[Hrs])</f>
        <v>140</v>
      </c>
      <c r="D15" s="103">
        <f>SUBTOTAL(109,Table37[Total])</f>
        <v>2870</v>
      </c>
      <c r="E15" s="103" t="s">
        <v>479</v>
      </c>
      <c r="F15" s="103">
        <f>SUBTOTAL(109,Table37[Net Amount])</f>
        <v>1599</v>
      </c>
    </row>
  </sheetData>
  <mergeCells count="2">
    <mergeCell ref="A7:F7"/>
    <mergeCell ref="A1:F1"/>
  </mergeCells>
  <pageMargins left="0.7" right="0.7" top="0.75" bottom="0.75" header="0.3" footer="0.3"/>
  <pageSetup orientation="landscape" verticalDpi="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J16" sqref="J16"/>
    </sheetView>
  </sheetViews>
  <sheetFormatPr defaultRowHeight="14.5" x14ac:dyDescent="0.35"/>
  <cols>
    <col min="1" max="1" width="15.453125" bestFit="1" customWidth="1"/>
    <col min="2" max="2" width="30" bestFit="1" customWidth="1"/>
    <col min="3" max="3" width="12.1796875" customWidth="1"/>
    <col min="4" max="6" width="11" customWidth="1"/>
    <col min="7" max="7" width="10.26953125" customWidth="1"/>
  </cols>
  <sheetData>
    <row r="1" spans="1:7" x14ac:dyDescent="0.35">
      <c r="A1" t="s">
        <v>15</v>
      </c>
      <c r="B1" s="29" t="str">
        <f>Evaluation!A3</f>
        <v>Khansaheb Civil Engineering LLC</v>
      </c>
    </row>
    <row r="2" spans="1:7" x14ac:dyDescent="0.35">
      <c r="A2" t="s">
        <v>20</v>
      </c>
      <c r="B2" s="29">
        <f>Evaluation!B4</f>
        <v>3</v>
      </c>
    </row>
    <row r="3" spans="1:7" x14ac:dyDescent="0.35">
      <c r="A3" t="s">
        <v>16</v>
      </c>
      <c r="B3" s="29" t="str">
        <f>Evaluation!B5</f>
        <v xml:space="preserve">Dorchester Hotel &amp; Residences (Completion Works)  </v>
      </c>
    </row>
    <row r="4" spans="1:7" x14ac:dyDescent="0.35">
      <c r="A4" t="s">
        <v>21</v>
      </c>
      <c r="B4" s="29" t="e">
        <f>Evaluation!#REF!</f>
        <v>#REF!</v>
      </c>
    </row>
    <row r="5" spans="1:7" x14ac:dyDescent="0.35">
      <c r="A5" t="s">
        <v>39</v>
      </c>
      <c r="B5" s="30">
        <f>Evaluation!B7</f>
        <v>44890</v>
      </c>
    </row>
    <row r="6" spans="1:7" ht="15" thickBot="1" x14ac:dyDescent="0.4"/>
    <row r="7" spans="1:7" x14ac:dyDescent="0.35">
      <c r="A7" s="236" t="s">
        <v>40</v>
      </c>
      <c r="B7" s="237"/>
      <c r="C7" s="237"/>
      <c r="D7" s="237"/>
      <c r="E7" s="237"/>
      <c r="F7" s="237"/>
      <c r="G7" s="238"/>
    </row>
    <row r="8" spans="1:7" x14ac:dyDescent="0.35">
      <c r="A8" s="31" t="s">
        <v>30</v>
      </c>
      <c r="B8" s="32" t="s">
        <v>31</v>
      </c>
      <c r="C8" s="32" t="s">
        <v>32</v>
      </c>
      <c r="D8" s="32" t="s">
        <v>33</v>
      </c>
      <c r="E8" s="33" t="s">
        <v>43</v>
      </c>
      <c r="F8" s="33" t="s">
        <v>42</v>
      </c>
      <c r="G8" s="33" t="s">
        <v>41</v>
      </c>
    </row>
    <row r="9" spans="1:7" x14ac:dyDescent="0.35">
      <c r="A9" s="34"/>
      <c r="B9" s="35"/>
      <c r="C9" s="36"/>
      <c r="D9" s="36"/>
      <c r="E9" s="37"/>
      <c r="F9" s="37"/>
      <c r="G9" s="38"/>
    </row>
    <row r="10" spans="1:7" x14ac:dyDescent="0.35">
      <c r="A10" s="34"/>
      <c r="B10" s="35"/>
      <c r="C10" s="36"/>
      <c r="D10" s="36"/>
      <c r="E10" s="37"/>
      <c r="F10" s="37"/>
      <c r="G10" s="38"/>
    </row>
    <row r="11" spans="1:7" x14ac:dyDescent="0.35">
      <c r="A11" s="39"/>
      <c r="B11" s="40"/>
      <c r="C11" s="41"/>
      <c r="D11" s="41"/>
      <c r="E11" s="42"/>
      <c r="F11" s="42"/>
      <c r="G11" s="43"/>
    </row>
    <row r="12" spans="1:7" x14ac:dyDescent="0.35">
      <c r="A12" s="39" t="s">
        <v>34</v>
      </c>
      <c r="B12" s="44"/>
      <c r="C12" s="41"/>
      <c r="D12" s="41"/>
      <c r="E12" s="42">
        <f>SUBTOTAL(109,Table2[Cumulative])</f>
        <v>0</v>
      </c>
      <c r="F12" s="42">
        <f>SUBTOTAL(109,Table2[Previous])</f>
        <v>0</v>
      </c>
      <c r="G12" s="45">
        <f>SUBTOTAL(103,Table2[Net])</f>
        <v>0</v>
      </c>
    </row>
    <row r="13" spans="1:7" x14ac:dyDescent="0.35">
      <c r="G13" s="1"/>
    </row>
  </sheetData>
  <mergeCells count="1">
    <mergeCell ref="A7:G7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E18" sqref="E18"/>
    </sheetView>
  </sheetViews>
  <sheetFormatPr defaultRowHeight="14.5" x14ac:dyDescent="0.35"/>
  <cols>
    <col min="1" max="1" width="13.81640625" bestFit="1" customWidth="1"/>
    <col min="2" max="2" width="13.26953125" customWidth="1"/>
    <col min="3" max="3" width="10.453125" customWidth="1"/>
    <col min="8" max="8" width="12.1796875" customWidth="1"/>
    <col min="9" max="9" width="14.54296875" customWidth="1"/>
    <col min="10" max="10" width="20.7265625" customWidth="1"/>
  </cols>
  <sheetData>
    <row r="1" spans="1:10" x14ac:dyDescent="0.35">
      <c r="A1" s="239" t="s">
        <v>54</v>
      </c>
      <c r="B1" s="239"/>
      <c r="C1" s="239"/>
      <c r="D1" s="239"/>
      <c r="E1" s="239"/>
      <c r="F1" s="239"/>
      <c r="G1" s="239"/>
      <c r="H1" s="239"/>
      <c r="I1" s="239"/>
      <c r="J1" s="239"/>
    </row>
    <row r="2" spans="1:10" x14ac:dyDescent="0.35">
      <c r="A2" t="s">
        <v>53</v>
      </c>
      <c r="B2" t="s">
        <v>6</v>
      </c>
      <c r="C2" t="s">
        <v>22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</row>
  </sheetData>
  <mergeCells count="1">
    <mergeCell ref="A1:J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9"/>
  <sheetViews>
    <sheetView workbookViewId="0">
      <selection activeCell="J10" sqref="J10"/>
    </sheetView>
  </sheetViews>
  <sheetFormatPr defaultRowHeight="14.5" x14ac:dyDescent="0.35"/>
  <cols>
    <col min="1" max="1" width="15.453125" bestFit="1" customWidth="1"/>
    <col min="2" max="2" width="17.81640625" customWidth="1"/>
    <col min="3" max="3" width="18.453125" customWidth="1"/>
    <col min="4" max="4" width="12.54296875" customWidth="1"/>
    <col min="5" max="5" width="10.1796875" bestFit="1" customWidth="1"/>
    <col min="6" max="6" width="10.7265625" customWidth="1"/>
  </cols>
  <sheetData>
    <row r="2" spans="1:6" x14ac:dyDescent="0.35">
      <c r="A2" t="s">
        <v>15</v>
      </c>
      <c r="B2" s="240" t="str">
        <f>Evaluation!A3</f>
        <v>Khansaheb Civil Engineering LLC</v>
      </c>
      <c r="C2" s="240"/>
      <c r="D2" s="240"/>
      <c r="E2" s="240"/>
    </row>
    <row r="3" spans="1:6" x14ac:dyDescent="0.35">
      <c r="A3" t="s">
        <v>16</v>
      </c>
      <c r="B3" s="240" t="str">
        <f>Evaluation!B5</f>
        <v xml:space="preserve">Dorchester Hotel &amp; Residences (Completion Works)  </v>
      </c>
      <c r="C3" s="240"/>
      <c r="D3" s="240"/>
      <c r="E3" s="240"/>
    </row>
    <row r="4" spans="1:6" x14ac:dyDescent="0.35">
      <c r="A4" t="s">
        <v>17</v>
      </c>
      <c r="B4" s="240" t="str">
        <f>Evaluation!B6</f>
        <v>201A22002/49</v>
      </c>
      <c r="C4" s="240"/>
      <c r="D4" s="240"/>
      <c r="E4" s="240"/>
    </row>
    <row r="7" spans="1:6" x14ac:dyDescent="0.35">
      <c r="A7" s="241" t="s">
        <v>35</v>
      </c>
      <c r="B7" s="241"/>
      <c r="C7" s="241"/>
      <c r="D7" s="241"/>
      <c r="E7" s="241"/>
      <c r="F7" s="241"/>
    </row>
    <row r="8" spans="1:6" x14ac:dyDescent="0.35">
      <c r="A8" s="46" t="s">
        <v>44</v>
      </c>
      <c r="B8" s="47" t="s">
        <v>36</v>
      </c>
      <c r="C8" s="47" t="s">
        <v>45</v>
      </c>
      <c r="D8" s="47" t="s">
        <v>37</v>
      </c>
      <c r="E8" s="47" t="s">
        <v>34</v>
      </c>
      <c r="F8" s="48" t="s">
        <v>14</v>
      </c>
    </row>
    <row r="9" spans="1:6" x14ac:dyDescent="0.35">
      <c r="A9" s="143">
        <v>1</v>
      </c>
      <c r="B9" s="50">
        <v>44834</v>
      </c>
      <c r="C9" s="51">
        <v>125287.35</v>
      </c>
      <c r="D9" s="51">
        <v>0</v>
      </c>
      <c r="E9" s="51">
        <f>Table3[[#This Row],[Works Carried Out]]+Table3[[#This Row],[Day Works]]</f>
        <v>125287.35</v>
      </c>
      <c r="F9" s="52"/>
    </row>
    <row r="10" spans="1:6" x14ac:dyDescent="0.35">
      <c r="A10" s="143">
        <v>2</v>
      </c>
      <c r="B10" s="50">
        <v>44865</v>
      </c>
      <c r="C10" s="51">
        <v>221656.78999999998</v>
      </c>
      <c r="D10" s="144" t="s">
        <v>479</v>
      </c>
      <c r="E10" s="51">
        <f>Table3[[#This Row],[Works Carried Out]]+Table3[[#This Row],[Day Works]]</f>
        <v>222927.78999999998</v>
      </c>
      <c r="F10" s="52"/>
    </row>
    <row r="11" spans="1:6" x14ac:dyDescent="0.35">
      <c r="A11" s="143">
        <v>3</v>
      </c>
      <c r="B11" s="50">
        <v>44890</v>
      </c>
      <c r="C11" s="51">
        <v>254058.20000000004</v>
      </c>
      <c r="D11" s="51">
        <v>1599</v>
      </c>
      <c r="E11" s="51">
        <f>Table3[[#This Row],[Works Carried Out]]+Table3[[#This Row],[Day Works]]</f>
        <v>255657.20000000004</v>
      </c>
      <c r="F11" s="52"/>
    </row>
    <row r="12" spans="1:6" x14ac:dyDescent="0.35">
      <c r="A12" s="49"/>
      <c r="B12" s="53"/>
      <c r="C12" s="51"/>
      <c r="D12" s="51"/>
      <c r="E12" s="51">
        <f>Table3[[#This Row],[Works Carried Out]]+Table3[[#This Row],[Day Works]]</f>
        <v>0</v>
      </c>
      <c r="F12" s="52"/>
    </row>
    <row r="13" spans="1:6" x14ac:dyDescent="0.35">
      <c r="A13" s="49"/>
      <c r="B13" s="53"/>
      <c r="C13" s="51"/>
      <c r="D13" s="51"/>
      <c r="E13" s="51">
        <f>Table3[[#This Row],[Works Carried Out]]+Table3[[#This Row],[Day Works]]</f>
        <v>0</v>
      </c>
      <c r="F13" s="52"/>
    </row>
    <row r="14" spans="1:6" x14ac:dyDescent="0.35">
      <c r="A14" s="49"/>
      <c r="B14" s="53"/>
      <c r="C14" s="51"/>
      <c r="D14" s="51"/>
      <c r="E14" s="51">
        <f>Table3[[#This Row],[Works Carried Out]]+Table3[[#This Row],[Day Works]]</f>
        <v>0</v>
      </c>
      <c r="F14" s="52"/>
    </row>
    <row r="15" spans="1:6" x14ac:dyDescent="0.35">
      <c r="A15" s="49"/>
      <c r="B15" s="53"/>
      <c r="C15" s="51"/>
      <c r="D15" s="51"/>
      <c r="E15" s="51">
        <f>Table3[[#This Row],[Works Carried Out]]+Table3[[#This Row],[Day Works]]</f>
        <v>0</v>
      </c>
      <c r="F15" s="52"/>
    </row>
    <row r="16" spans="1:6" x14ac:dyDescent="0.35">
      <c r="A16" s="54"/>
      <c r="B16" s="55"/>
      <c r="C16" s="56"/>
      <c r="D16" s="56"/>
      <c r="E16" s="56">
        <f>Table3[[#This Row],[Works Carried Out]]+Table3[[#This Row],[Day Works]]</f>
        <v>0</v>
      </c>
      <c r="F16" s="57"/>
    </row>
    <row r="17" spans="1:6" x14ac:dyDescent="0.35">
      <c r="A17" s="54" t="s">
        <v>34</v>
      </c>
      <c r="B17" s="55"/>
      <c r="C17" s="56">
        <f>SUBTOTAL(109,Table3[Works Carried Out])</f>
        <v>601002.34000000008</v>
      </c>
      <c r="D17" s="56">
        <f>SUBTOTAL(109,Table3[Day Works])</f>
        <v>1599</v>
      </c>
      <c r="E17" s="56">
        <f>SUBTOTAL(109,Table3[Total])</f>
        <v>603872.34000000008</v>
      </c>
      <c r="F17" s="57">
        <f>SUBTOTAL(103,Table3[Remarks])</f>
        <v>0</v>
      </c>
    </row>
    <row r="19" spans="1:6" x14ac:dyDescent="0.35">
      <c r="C19" s="2"/>
      <c r="D19" s="2"/>
      <c r="E19" s="2"/>
    </row>
  </sheetData>
  <mergeCells count="4">
    <mergeCell ref="B2:E2"/>
    <mergeCell ref="B3:E3"/>
    <mergeCell ref="B4:E4"/>
    <mergeCell ref="A7:F7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PA Front Sheet</vt:lpstr>
      <vt:lpstr>Evaluation</vt:lpstr>
      <vt:lpstr>Order References</vt:lpstr>
      <vt:lpstr>Modification</vt:lpstr>
      <vt:lpstr>Manpower</vt:lpstr>
      <vt:lpstr>SCOPE</vt:lpstr>
      <vt:lpstr>PASummary</vt:lpstr>
      <vt:lpstr>Evaluation</vt:lpstr>
      <vt:lpstr>'PA Front Sheet'!Print_Area</vt:lpstr>
      <vt:lpstr>Evaluation!Print_Titles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James</dc:creator>
  <cp:lastModifiedBy>Himal Kosala</cp:lastModifiedBy>
  <cp:lastPrinted>2022-11-28T12:58:17Z</cp:lastPrinted>
  <dcterms:created xsi:type="dcterms:W3CDTF">2010-10-04T07:20:34Z</dcterms:created>
  <dcterms:modified xsi:type="dcterms:W3CDTF">2022-12-13T09:27:30Z</dcterms:modified>
</cp:coreProperties>
</file>