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Subcontrator Payments\TAS\October\"/>
    </mc:Choice>
  </mc:AlternateContent>
  <xr:revisionPtr revIDLastSave="0" documentId="13_ncr:1_{A6D34CD0-BD17-4B18-860D-587C7EE3E9D6}" xr6:coauthVersionLast="47" xr6:coauthVersionMax="47" xr10:uidLastSave="{00000000-0000-0000-0000-000000000000}"/>
  <bookViews>
    <workbookView xWindow="-90" yWindow="1280" windowWidth="13130" windowHeight="9970" activeTab="1" xr2:uid="{00000000-000D-0000-FFFF-FFFF00000000}"/>
  </bookViews>
  <sheets>
    <sheet name="PA Front Sheet" sheetId="9" r:id="rId1"/>
    <sheet name="Evaluation" sheetId="2" r:id="rId2"/>
    <sheet name="Order References" sheetId="11" r:id="rId3"/>
    <sheet name="Modification" sheetId="10" r:id="rId4"/>
    <sheet name="Manpower" sheetId="4" state="hidden" r:id="rId5"/>
    <sheet name="SCOPE" sheetId="7" state="hidden" r:id="rId6"/>
    <sheet name="PASummary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1" hidden="1">Evaluation!$A$9:$AD$104</definedName>
    <definedName name="_xlnm._FilterDatabase" localSheetId="2" hidden="1">'Order References'!$B$2:$H$176</definedName>
    <definedName name="Access_Height" localSheetId="0">[1]!Table7[Access Height]</definedName>
    <definedName name="Access_Height">[2]!Table7[Access Height]</definedName>
    <definedName name="ED_Rate" localSheetId="0">[1]!Table1[[Scaffold Type]:[Min. Dim.]]</definedName>
    <definedName name="ED_Rate">[3]!Table1[[Scaffold Type]:[Min. Dim.]]</definedName>
    <definedName name="Evaluation">Evaluation!$A$9:$AD$104</definedName>
    <definedName name="Hire_Status" localSheetId="0">[1]!Table4[Hire Status]</definedName>
    <definedName name="Hire_Status">[2]!Table4[Hire Status]</definedName>
    <definedName name="Job_Environment" localSheetId="0">[1]!Table5[Job Environment]</definedName>
    <definedName name="Job_Environment">[2]!Table5[Job Environment]</definedName>
    <definedName name="LPO_No.___Ref_No." localSheetId="0">[1]!Table10[#Data]</definedName>
    <definedName name="LPO_No.___Ref_No.">[2]!Table10[#Data]</definedName>
    <definedName name="Material_Rate" localSheetId="0">[1]!Table14[#Data]</definedName>
    <definedName name="Material_Rate">#REF!</definedName>
    <definedName name="Materials" localSheetId="0">[1]!Table11[Material Description]</definedName>
    <definedName name="Materials">[2]!Table11[Material Description]</definedName>
    <definedName name="_xlnm.Print_Area" localSheetId="1">Evaluation!$A$1:$AG$105</definedName>
    <definedName name="_xlnm.Print_Area" localSheetId="0">'PA Front Sheet'!$A$1:$G$38</definedName>
    <definedName name="_xlnm.Print_Titles" localSheetId="1">Evaluation!$1:$9</definedName>
    <definedName name="Production" localSheetId="0">[1]!Table12[Production]</definedName>
    <definedName name="Production">[2]!Table12[Production]</definedName>
    <definedName name="Production_Rate" localSheetId="0">[1]!Table15[#Data]</definedName>
    <definedName name="Production_Rate">#REF!</definedName>
    <definedName name="Scaffold_Type" localSheetId="0">[1]!Table6[Scaffold Type]</definedName>
    <definedName name="Scaffold_Type">[2]!Table6[Scaffold Type]</definedName>
    <definedName name="TAS_Quote" localSheetId="0">[1]!Table10[TAS Quote]</definedName>
    <definedName name="TAS_Quote">[2]!Table10[TAS Quote]</definedName>
    <definedName name="Type_of_Job" localSheetId="0">[1]!Table16[Type of Job]</definedName>
    <definedName name="Type_of_Job">[2]!Table16[Type of Job]</definedName>
    <definedName name="Unit_of_Measure" localSheetId="0">[1]!Table1[[Scaffold Type]:[Unit of Measure]]</definedName>
    <definedName name="Unit_of_Measure">[3]!Table1[[Scaffold Type]:[Unit of Measure]]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0" i="2" l="1"/>
  <c r="AF12" i="2"/>
  <c r="AF20" i="2"/>
  <c r="AH10" i="2" l="1"/>
  <c r="AF14" i="2"/>
  <c r="AF11" i="2"/>
  <c r="AG10" i="2"/>
  <c r="U11" i="2" l="1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" i="2"/>
  <c r="E17" i="9" l="1"/>
  <c r="E16" i="9"/>
  <c r="AE105" i="2"/>
  <c r="U7" i="2" l="1"/>
  <c r="V7" i="2" s="1"/>
  <c r="I42" i="11"/>
  <c r="I40" i="11"/>
  <c r="I36" i="11"/>
  <c r="I34" i="11"/>
  <c r="I32" i="11"/>
  <c r="I30" i="11"/>
  <c r="I28" i="11"/>
  <c r="I26" i="11"/>
  <c r="I24" i="11"/>
  <c r="I22" i="11"/>
  <c r="I20" i="11"/>
  <c r="I18" i="11"/>
  <c r="I16" i="11"/>
  <c r="I14" i="11"/>
  <c r="I12" i="11"/>
  <c r="I10" i="11"/>
  <c r="I8" i="11"/>
  <c r="I6" i="11"/>
  <c r="I4" i="11"/>
  <c r="D11" i="10" l="1"/>
  <c r="D10" i="10"/>
  <c r="D9" i="10"/>
  <c r="O96" i="2" l="1"/>
  <c r="Y96" i="2" l="1"/>
  <c r="AG96" i="2" s="1"/>
  <c r="O68" i="2"/>
  <c r="Z68" i="2" s="1"/>
  <c r="O104" i="2"/>
  <c r="X104" i="2" s="1"/>
  <c r="O103" i="2"/>
  <c r="O102" i="2"/>
  <c r="X102" i="2" s="1"/>
  <c r="O101" i="2"/>
  <c r="X101" i="2" s="1"/>
  <c r="AF96" i="2" l="1"/>
  <c r="AH96" i="2"/>
  <c r="Y68" i="2"/>
  <c r="X68" i="2"/>
  <c r="AG68" i="2" s="1"/>
  <c r="Z104" i="2"/>
  <c r="Y104" i="2"/>
  <c r="AG104" i="2" s="1"/>
  <c r="Y103" i="2"/>
  <c r="X103" i="2"/>
  <c r="AG103" i="2" s="1"/>
  <c r="Z103" i="2"/>
  <c r="Z102" i="2"/>
  <c r="Y102" i="2"/>
  <c r="AG102" i="2" s="1"/>
  <c r="Y101" i="2"/>
  <c r="AG101" i="2" s="1"/>
  <c r="Z101" i="2"/>
  <c r="O100" i="2"/>
  <c r="X100" i="2" s="1"/>
  <c r="O89" i="2"/>
  <c r="O99" i="2"/>
  <c r="X99" i="2" s="1"/>
  <c r="O98" i="2"/>
  <c r="X98" i="2" s="1"/>
  <c r="O97" i="2"/>
  <c r="X97" i="2" s="1"/>
  <c r="O95" i="2"/>
  <c r="X95" i="2" s="1"/>
  <c r="O94" i="2"/>
  <c r="O93" i="2"/>
  <c r="X93" i="2" s="1"/>
  <c r="O92" i="2"/>
  <c r="O91" i="2"/>
  <c r="X91" i="2" s="1"/>
  <c r="O90" i="2"/>
  <c r="X90" i="2" s="1"/>
  <c r="O88" i="2"/>
  <c r="X88" i="2" s="1"/>
  <c r="O87" i="2"/>
  <c r="X87" i="2" s="1"/>
  <c r="O86" i="2"/>
  <c r="X86" i="2" s="1"/>
  <c r="O85" i="2"/>
  <c r="X85" i="2" s="1"/>
  <c r="O84" i="2"/>
  <c r="X84" i="2" s="1"/>
  <c r="O83" i="2"/>
  <c r="X83" i="2" s="1"/>
  <c r="O82" i="2"/>
  <c r="X82" i="2" s="1"/>
  <c r="O81" i="2"/>
  <c r="X81" i="2" s="1"/>
  <c r="O80" i="2"/>
  <c r="O79" i="2"/>
  <c r="X79" i="2" s="1"/>
  <c r="O78" i="2"/>
  <c r="X78" i="2" s="1"/>
  <c r="O77" i="2"/>
  <c r="O76" i="2"/>
  <c r="X76" i="2" s="1"/>
  <c r="O75" i="2"/>
  <c r="X75" i="2" s="1"/>
  <c r="O74" i="2"/>
  <c r="X74" i="2" s="1"/>
  <c r="O73" i="2"/>
  <c r="O72" i="2"/>
  <c r="X72" i="2" s="1"/>
  <c r="O71" i="2"/>
  <c r="X71" i="2" s="1"/>
  <c r="O70" i="2"/>
  <c r="Z70" i="2" s="1"/>
  <c r="O69" i="2"/>
  <c r="Z69" i="2" s="1"/>
  <c r="O67" i="2"/>
  <c r="X67" i="2" s="1"/>
  <c r="O66" i="2"/>
  <c r="X66" i="2" s="1"/>
  <c r="O65" i="2"/>
  <c r="X65" i="2" s="1"/>
  <c r="O64" i="2"/>
  <c r="X64" i="2" s="1"/>
  <c r="O63" i="2"/>
  <c r="X63" i="2" s="1"/>
  <c r="O62" i="2"/>
  <c r="X62" i="2" s="1"/>
  <c r="O61" i="2"/>
  <c r="X61" i="2" s="1"/>
  <c r="O60" i="2"/>
  <c r="X60" i="2" s="1"/>
  <c r="O59" i="2"/>
  <c r="X59" i="2" s="1"/>
  <c r="O58" i="2"/>
  <c r="X58" i="2" s="1"/>
  <c r="O57" i="2"/>
  <c r="X57" i="2" s="1"/>
  <c r="O56" i="2"/>
  <c r="X56" i="2" s="1"/>
  <c r="O55" i="2"/>
  <c r="O54" i="2"/>
  <c r="X54" i="2" s="1"/>
  <c r="O53" i="2"/>
  <c r="X53" i="2" s="1"/>
  <c r="AF101" i="2" l="1"/>
  <c r="AH101" i="2"/>
  <c r="AF102" i="2"/>
  <c r="AH102" i="2"/>
  <c r="AH104" i="2"/>
  <c r="AF104" i="2"/>
  <c r="AG67" i="2"/>
  <c r="AH103" i="2"/>
  <c r="AF103" i="2"/>
  <c r="AG56" i="2"/>
  <c r="AG58" i="2"/>
  <c r="AF68" i="2"/>
  <c r="AH68" i="2"/>
  <c r="AG84" i="2"/>
  <c r="AG76" i="2"/>
  <c r="AG57" i="2"/>
  <c r="AG59" i="2"/>
  <c r="AG81" i="2"/>
  <c r="AG82" i="2"/>
  <c r="AG66" i="2"/>
  <c r="AG83" i="2"/>
  <c r="AG100" i="2"/>
  <c r="Y89" i="2"/>
  <c r="Z100" i="2"/>
  <c r="Y95" i="2"/>
  <c r="X94" i="2"/>
  <c r="Y94" i="2"/>
  <c r="X89" i="2"/>
  <c r="Y100" i="2"/>
  <c r="Z89" i="2"/>
  <c r="Z97" i="2"/>
  <c r="Z95" i="2"/>
  <c r="AG95" i="2" s="1"/>
  <c r="Y97" i="2"/>
  <c r="AG97" i="2" s="1"/>
  <c r="Z98" i="2"/>
  <c r="Z99" i="2"/>
  <c r="Y98" i="2"/>
  <c r="AG98" i="2" s="1"/>
  <c r="Z94" i="2"/>
  <c r="Y99" i="2"/>
  <c r="AG99" i="2" s="1"/>
  <c r="Y93" i="2"/>
  <c r="AG93" i="2" s="1"/>
  <c r="Z93" i="2"/>
  <c r="Y92" i="2"/>
  <c r="X92" i="2"/>
  <c r="AG92" i="2" s="1"/>
  <c r="Z92" i="2"/>
  <c r="Z91" i="2"/>
  <c r="Y91" i="2"/>
  <c r="AG91" i="2" s="1"/>
  <c r="Z90" i="2"/>
  <c r="Y90" i="2"/>
  <c r="AG90" i="2" s="1"/>
  <c r="Z88" i="2"/>
  <c r="Y88" i="2"/>
  <c r="AG88" i="2" s="1"/>
  <c r="Z87" i="2"/>
  <c r="Y87" i="2"/>
  <c r="AG87" i="2" s="1"/>
  <c r="Y86" i="2"/>
  <c r="AG86" i="2" s="1"/>
  <c r="Z86" i="2"/>
  <c r="Z85" i="2"/>
  <c r="Y85" i="2"/>
  <c r="AG85" i="2" s="1"/>
  <c r="Z84" i="2"/>
  <c r="Y84" i="2"/>
  <c r="Z83" i="2"/>
  <c r="Y83" i="2"/>
  <c r="Y82" i="2"/>
  <c r="Z82" i="2"/>
  <c r="Z81" i="2"/>
  <c r="Y81" i="2"/>
  <c r="Y80" i="2"/>
  <c r="Z80" i="2"/>
  <c r="X80" i="2"/>
  <c r="AG80" i="2" s="1"/>
  <c r="Z79" i="2"/>
  <c r="Y79" i="2"/>
  <c r="AG79" i="2" s="1"/>
  <c r="Y78" i="2"/>
  <c r="AG78" i="2" s="1"/>
  <c r="Z78" i="2"/>
  <c r="Y77" i="2"/>
  <c r="Z77" i="2"/>
  <c r="X77" i="2"/>
  <c r="Z76" i="2"/>
  <c r="Y76" i="2"/>
  <c r="Z75" i="2"/>
  <c r="Y75" i="2"/>
  <c r="AG75" i="2" s="1"/>
  <c r="Z74" i="2"/>
  <c r="Y74" i="2"/>
  <c r="AG74" i="2" s="1"/>
  <c r="Y73" i="2"/>
  <c r="X73" i="2"/>
  <c r="Z73" i="2"/>
  <c r="Z72" i="2"/>
  <c r="Y72" i="2"/>
  <c r="AG72" i="2" s="1"/>
  <c r="Z71" i="2"/>
  <c r="Y71" i="2"/>
  <c r="AG71" i="2" s="1"/>
  <c r="Y70" i="2"/>
  <c r="X70" i="2"/>
  <c r="Y69" i="2"/>
  <c r="X69" i="2"/>
  <c r="AG69" i="2" s="1"/>
  <c r="Z67" i="2"/>
  <c r="Y67" i="2"/>
  <c r="Z66" i="2"/>
  <c r="Y66" i="2"/>
  <c r="Z65" i="2"/>
  <c r="Y65" i="2"/>
  <c r="AG65" i="2" s="1"/>
  <c r="Z64" i="2"/>
  <c r="Z63" i="2"/>
  <c r="Y63" i="2"/>
  <c r="AG63" i="2" s="1"/>
  <c r="Y64" i="2"/>
  <c r="AG64" i="2" s="1"/>
  <c r="Z62" i="2"/>
  <c r="Y62" i="2"/>
  <c r="AG62" i="2" s="1"/>
  <c r="Y61" i="2"/>
  <c r="AG61" i="2" s="1"/>
  <c r="Z61" i="2"/>
  <c r="Z60" i="2"/>
  <c r="Y60" i="2"/>
  <c r="AG60" i="2" s="1"/>
  <c r="Y59" i="2"/>
  <c r="Z59" i="2"/>
  <c r="Z58" i="2"/>
  <c r="Y58" i="2"/>
  <c r="Y57" i="2"/>
  <c r="Z57" i="2"/>
  <c r="Z56" i="2"/>
  <c r="Y56" i="2"/>
  <c r="Y55" i="2"/>
  <c r="Z55" i="2"/>
  <c r="X55" i="2"/>
  <c r="AG55" i="2" s="1"/>
  <c r="Z54" i="2"/>
  <c r="Y54" i="2"/>
  <c r="AG54" i="2" s="1"/>
  <c r="Y53" i="2"/>
  <c r="AG53" i="2" s="1"/>
  <c r="Z53" i="2"/>
  <c r="AF90" i="2" l="1"/>
  <c r="AH90" i="2"/>
  <c r="AH75" i="2"/>
  <c r="AF75" i="2"/>
  <c r="AF65" i="2"/>
  <c r="AH65" i="2"/>
  <c r="AH60" i="2"/>
  <c r="AF60" i="2"/>
  <c r="AF93" i="2"/>
  <c r="AH93" i="2"/>
  <c r="AF64" i="2"/>
  <c r="AH64" i="2"/>
  <c r="AH98" i="2"/>
  <c r="AF98" i="2"/>
  <c r="AH74" i="2"/>
  <c r="AF74" i="2"/>
  <c r="AF85" i="2"/>
  <c r="AH85" i="2"/>
  <c r="AF71" i="2"/>
  <c r="AH71" i="2"/>
  <c r="AH87" i="2"/>
  <c r="AF87" i="2"/>
  <c r="AH91" i="2"/>
  <c r="AF91" i="2"/>
  <c r="AF54" i="2"/>
  <c r="AH54" i="2"/>
  <c r="AF99" i="2"/>
  <c r="AH99" i="2"/>
  <c r="AF78" i="2"/>
  <c r="AH78" i="2"/>
  <c r="AF79" i="2"/>
  <c r="AH79" i="2"/>
  <c r="AF63" i="2"/>
  <c r="AH63" i="2"/>
  <c r="AF95" i="2"/>
  <c r="AH95" i="2"/>
  <c r="AF53" i="2"/>
  <c r="AH53" i="2"/>
  <c r="AF61" i="2"/>
  <c r="AH61" i="2"/>
  <c r="AF62" i="2"/>
  <c r="AH62" i="2"/>
  <c r="AH72" i="2"/>
  <c r="AF72" i="2"/>
  <c r="AF86" i="2"/>
  <c r="AH86" i="2"/>
  <c r="AH88" i="2"/>
  <c r="AF88" i="2"/>
  <c r="AF97" i="2"/>
  <c r="AH97" i="2"/>
  <c r="AH59" i="2"/>
  <c r="AF59" i="2"/>
  <c r="AF83" i="2"/>
  <c r="AH83" i="2"/>
  <c r="AH76" i="2"/>
  <c r="AF76" i="2"/>
  <c r="AF57" i="2"/>
  <c r="AH57" i="2"/>
  <c r="AH82" i="2"/>
  <c r="AF82" i="2"/>
  <c r="AF100" i="2"/>
  <c r="AH100" i="2"/>
  <c r="AH66" i="2"/>
  <c r="AF66" i="2"/>
  <c r="AF81" i="2"/>
  <c r="AH81" i="2"/>
  <c r="AF84" i="2"/>
  <c r="AH84" i="2"/>
  <c r="AF67" i="2"/>
  <c r="AH67" i="2"/>
  <c r="AG89" i="2"/>
  <c r="AH55" i="2"/>
  <c r="AF55" i="2"/>
  <c r="AF69" i="2"/>
  <c r="AH69" i="2"/>
  <c r="AH92" i="2"/>
  <c r="AF92" i="2"/>
  <c r="AG94" i="2"/>
  <c r="AG73" i="2"/>
  <c r="AG77" i="2"/>
  <c r="AF58" i="2"/>
  <c r="AH58" i="2"/>
  <c r="AH56" i="2"/>
  <c r="AF56" i="2"/>
  <c r="AF80" i="2"/>
  <c r="AH80" i="2"/>
  <c r="AG70" i="2"/>
  <c r="O52" i="2"/>
  <c r="O51" i="2"/>
  <c r="O50" i="2"/>
  <c r="O49" i="2"/>
  <c r="X49" i="2" s="1"/>
  <c r="O48" i="2"/>
  <c r="X48" i="2" s="1"/>
  <c r="O47" i="2"/>
  <c r="X47" i="2" s="1"/>
  <c r="O46" i="2"/>
  <c r="X46" i="2" s="1"/>
  <c r="O40" i="2"/>
  <c r="O45" i="2"/>
  <c r="X45" i="2" s="1"/>
  <c r="O44" i="2"/>
  <c r="O43" i="2"/>
  <c r="X43" i="2" s="1"/>
  <c r="O42" i="2"/>
  <c r="X42" i="2" s="1"/>
  <c r="AF77" i="2" l="1"/>
  <c r="AH77" i="2"/>
  <c r="AF94" i="2"/>
  <c r="AH94" i="2"/>
  <c r="AF70" i="2"/>
  <c r="AH70" i="2"/>
  <c r="AF89" i="2"/>
  <c r="AH89" i="2"/>
  <c r="AF73" i="2"/>
  <c r="AH73" i="2"/>
  <c r="Y52" i="2"/>
  <c r="X52" i="2"/>
  <c r="AG52" i="2" s="1"/>
  <c r="Z52" i="2"/>
  <c r="Y51" i="2"/>
  <c r="Z51" i="2"/>
  <c r="X51" i="2"/>
  <c r="AG51" i="2" s="1"/>
  <c r="Y50" i="2"/>
  <c r="Z47" i="2"/>
  <c r="Y47" i="2"/>
  <c r="AG47" i="2" s="1"/>
  <c r="X50" i="2"/>
  <c r="AG50" i="2" s="1"/>
  <c r="Z48" i="2"/>
  <c r="Z50" i="2"/>
  <c r="Y48" i="2"/>
  <c r="AG48" i="2" s="1"/>
  <c r="Z49" i="2"/>
  <c r="Y49" i="2"/>
  <c r="AG49" i="2" s="1"/>
  <c r="Y46" i="2"/>
  <c r="AG46" i="2" s="1"/>
  <c r="Z46" i="2"/>
  <c r="Y44" i="2"/>
  <c r="Y40" i="2"/>
  <c r="Z40" i="2"/>
  <c r="Z44" i="2"/>
  <c r="Z45" i="2"/>
  <c r="X44" i="2"/>
  <c r="AG44" i="2" s="1"/>
  <c r="Y45" i="2"/>
  <c r="AG45" i="2" s="1"/>
  <c r="X40" i="2"/>
  <c r="AG40" i="2" s="1"/>
  <c r="Z43" i="2"/>
  <c r="Y43" i="2"/>
  <c r="AG43" i="2" s="1"/>
  <c r="Z42" i="2"/>
  <c r="Y42" i="2"/>
  <c r="AG42" i="2" s="1"/>
  <c r="AF48" i="2" l="1"/>
  <c r="AH48" i="2"/>
  <c r="AF46" i="2"/>
  <c r="AH46" i="2"/>
  <c r="AF49" i="2"/>
  <c r="AH49" i="2"/>
  <c r="AF42" i="2"/>
  <c r="AH42" i="2"/>
  <c r="AH43" i="2"/>
  <c r="AF43" i="2"/>
  <c r="AF47" i="2"/>
  <c r="AH47" i="2"/>
  <c r="AF45" i="2"/>
  <c r="AH45" i="2"/>
  <c r="AH50" i="2"/>
  <c r="AF50" i="2"/>
  <c r="AH40" i="2"/>
  <c r="AF40" i="2"/>
  <c r="AF52" i="2"/>
  <c r="AH52" i="2"/>
  <c r="AF51" i="2"/>
  <c r="AH51" i="2"/>
  <c r="AH44" i="2"/>
  <c r="AF44" i="2"/>
  <c r="O41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AB105" i="2"/>
  <c r="G18" i="9"/>
  <c r="O19" i="2"/>
  <c r="O18" i="2"/>
  <c r="W17" i="2"/>
  <c r="W16" i="2"/>
  <c r="O15" i="2"/>
  <c r="O16" i="2"/>
  <c r="O11" i="2"/>
  <c r="O12" i="2"/>
  <c r="Y12" i="2" s="1"/>
  <c r="O13" i="2"/>
  <c r="O14" i="2"/>
  <c r="O17" i="2"/>
  <c r="W13" i="2"/>
  <c r="O10" i="2"/>
  <c r="H48" i="11"/>
  <c r="H50" i="11"/>
  <c r="H52" i="11"/>
  <c r="H54" i="11"/>
  <c r="H56" i="11"/>
  <c r="H58" i="11"/>
  <c r="H60" i="11"/>
  <c r="H62" i="11"/>
  <c r="H64" i="11"/>
  <c r="H66" i="11"/>
  <c r="H68" i="11"/>
  <c r="H46" i="11"/>
  <c r="X16" i="2" l="1"/>
  <c r="Z16" i="2"/>
  <c r="X10" i="2"/>
  <c r="Z10" i="2"/>
  <c r="X13" i="2"/>
  <c r="Z13" i="2"/>
  <c r="X15" i="2"/>
  <c r="Z15" i="2"/>
  <c r="X23" i="2"/>
  <c r="AG23" i="2" s="1"/>
  <c r="Z23" i="2"/>
  <c r="X27" i="2"/>
  <c r="Z27" i="2"/>
  <c r="X29" i="2"/>
  <c r="AG29" i="2" s="1"/>
  <c r="Z29" i="2"/>
  <c r="X31" i="2"/>
  <c r="Z31" i="2"/>
  <c r="X33" i="2"/>
  <c r="Z33" i="2"/>
  <c r="X35" i="2"/>
  <c r="Z35" i="2"/>
  <c r="X37" i="2"/>
  <c r="Z37" i="2"/>
  <c r="X39" i="2"/>
  <c r="Z39" i="2"/>
  <c r="X19" i="2"/>
  <c r="Z19" i="2"/>
  <c r="X21" i="2"/>
  <c r="AG21" i="2" s="1"/>
  <c r="Z21" i="2"/>
  <c r="X25" i="2"/>
  <c r="Z25" i="2"/>
  <c r="X17" i="2"/>
  <c r="Z17" i="2"/>
  <c r="X11" i="2"/>
  <c r="Z11" i="2"/>
  <c r="X12" i="2"/>
  <c r="AG12" i="2" s="1"/>
  <c r="Z12" i="2"/>
  <c r="X14" i="2"/>
  <c r="Z14" i="2"/>
  <c r="X18" i="2"/>
  <c r="Z18" i="2"/>
  <c r="X20" i="2"/>
  <c r="AG20" i="2" s="1"/>
  <c r="Z20" i="2"/>
  <c r="X22" i="2"/>
  <c r="AG22" i="2" s="1"/>
  <c r="Z22" i="2"/>
  <c r="X24" i="2"/>
  <c r="Z24" i="2"/>
  <c r="X26" i="2"/>
  <c r="Z26" i="2"/>
  <c r="X28" i="2"/>
  <c r="Z28" i="2"/>
  <c r="X30" i="2"/>
  <c r="Z30" i="2"/>
  <c r="X32" i="2"/>
  <c r="Z32" i="2"/>
  <c r="X34" i="2"/>
  <c r="AG34" i="2" s="1"/>
  <c r="Z34" i="2"/>
  <c r="X36" i="2"/>
  <c r="AG36" i="2" s="1"/>
  <c r="Z36" i="2"/>
  <c r="X38" i="2"/>
  <c r="AG38" i="2" s="1"/>
  <c r="Z38" i="2"/>
  <c r="X41" i="2"/>
  <c r="Z41" i="2"/>
  <c r="Y41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E12" i="10"/>
  <c r="C14" i="10"/>
  <c r="D13" i="10"/>
  <c r="E13" i="10" s="1"/>
  <c r="E11" i="10"/>
  <c r="E10" i="10"/>
  <c r="E9" i="10"/>
  <c r="AF29" i="2" l="1"/>
  <c r="AH29" i="2"/>
  <c r="AG27" i="2"/>
  <c r="AF23" i="2"/>
  <c r="AH23" i="2"/>
  <c r="AG26" i="2"/>
  <c r="AG24" i="2"/>
  <c r="AF22" i="2"/>
  <c r="AH22" i="2"/>
  <c r="AG39" i="2"/>
  <c r="AH20" i="2"/>
  <c r="AF21" i="2"/>
  <c r="AH21" i="2"/>
  <c r="AG37" i="2"/>
  <c r="AH34" i="2"/>
  <c r="AF34" i="2"/>
  <c r="AG32" i="2"/>
  <c r="AG31" i="2"/>
  <c r="AG41" i="2"/>
  <c r="AF36" i="2"/>
  <c r="AH36" i="2"/>
  <c r="AG30" i="2"/>
  <c r="AH12" i="2"/>
  <c r="F16" i="9"/>
  <c r="G16" i="9" s="1"/>
  <c r="AG35" i="2"/>
  <c r="AF38" i="2"/>
  <c r="AH38" i="2"/>
  <c r="AG25" i="2"/>
  <c r="AG28" i="2"/>
  <c r="AG33" i="2"/>
  <c r="E14" i="10"/>
  <c r="D14" i="10"/>
  <c r="AF30" i="2" l="1"/>
  <c r="AH30" i="2"/>
  <c r="AF35" i="2"/>
  <c r="AH35" i="2"/>
  <c r="AF24" i="2"/>
  <c r="AH24" i="2"/>
  <c r="AH28" i="2"/>
  <c r="AF28" i="2"/>
  <c r="AF25" i="2"/>
  <c r="AH25" i="2"/>
  <c r="AH27" i="2"/>
  <c r="AF27" i="2"/>
  <c r="AF39" i="2"/>
  <c r="AH39" i="2"/>
  <c r="AF41" i="2"/>
  <c r="AH41" i="2"/>
  <c r="AF31" i="2"/>
  <c r="AH31" i="2"/>
  <c r="AH26" i="2"/>
  <c r="AF26" i="2"/>
  <c r="AF37" i="2"/>
  <c r="AH37" i="2"/>
  <c r="AF33" i="2"/>
  <c r="AH33" i="2"/>
  <c r="AF32" i="2"/>
  <c r="AH32" i="2"/>
  <c r="E27" i="9"/>
  <c r="C17" i="6" l="1"/>
  <c r="E17" i="6"/>
  <c r="D17" i="6"/>
  <c r="F17" i="6"/>
  <c r="B4" i="6"/>
  <c r="B3" i="6"/>
  <c r="B2" i="6"/>
  <c r="F12" i="4"/>
  <c r="E12" i="4"/>
  <c r="G12" i="4"/>
  <c r="B1" i="4"/>
  <c r="B4" i="4"/>
  <c r="B2" i="4"/>
  <c r="B3" i="4"/>
  <c r="E105" i="2"/>
  <c r="D105" i="2"/>
  <c r="Z105" i="2" l="1"/>
  <c r="X105" i="2"/>
  <c r="Y19" i="2"/>
  <c r="AG19" i="2" s="1"/>
  <c r="AF19" i="2" l="1"/>
  <c r="AH19" i="2"/>
  <c r="Y15" i="2"/>
  <c r="AG15" i="2" s="1"/>
  <c r="Y16" i="2"/>
  <c r="AG16" i="2" s="1"/>
  <c r="Y18" i="2"/>
  <c r="AG18" i="2" s="1"/>
  <c r="Y14" i="2"/>
  <c r="AG14" i="2" s="1"/>
  <c r="Y17" i="2"/>
  <c r="AG17" i="2" s="1"/>
  <c r="B5" i="4"/>
  <c r="Y11" i="2"/>
  <c r="AG11" i="2" s="1"/>
  <c r="Y10" i="2"/>
  <c r="AF17" i="2" l="1"/>
  <c r="AH17" i="2"/>
  <c r="AF18" i="2"/>
  <c r="AH18" i="2"/>
  <c r="AF15" i="2"/>
  <c r="AH15" i="2"/>
  <c r="AH11" i="2"/>
  <c r="AH14" i="2"/>
  <c r="AF16" i="2"/>
  <c r="AH16" i="2"/>
  <c r="AG105" i="2"/>
  <c r="Y13" i="2"/>
  <c r="AG13" i="2" s="1"/>
  <c r="AF13" i="2" l="1"/>
  <c r="AH13" i="2"/>
  <c r="AC105" i="2"/>
  <c r="AA105" i="2"/>
  <c r="Y105" i="2"/>
  <c r="F17" i="9" l="1"/>
  <c r="AF105" i="2"/>
  <c r="G17" i="9" l="1"/>
  <c r="G27" i="9" s="1"/>
  <c r="F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LGee</author>
    <author>Himal Kosala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LGee:</t>
        </r>
        <r>
          <rPr>
            <sz val="9"/>
            <color indexed="81"/>
            <rFont val="Tahoma"/>
            <family val="2"/>
          </rPr>
          <t xml:space="preserve">
Update these informations</t>
        </r>
      </text>
    </comment>
    <comment ref="P83" authorId="1" shapeId="0" xr:uid="{3F168B11-7D06-4156-B5CC-6C93BA8CFDD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Check the dates</t>
        </r>
      </text>
    </comment>
    <comment ref="P84" authorId="1" shapeId="0" xr:uid="{874032CD-918C-4CDF-84A0-DDF2DD9830C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Check the dates
</t>
        </r>
      </text>
    </comment>
    <comment ref="V89" authorId="1" shapeId="0" xr:uid="{0C57ACF6-5C5B-4CE6-B1E6-51FE760879D8}">
      <text>
        <r>
          <rPr>
            <b/>
            <sz val="9"/>
            <color indexed="81"/>
            <rFont val="Tahoma"/>
            <charset val="1"/>
          </rPr>
          <t>Himal Kosala:</t>
        </r>
        <r>
          <rPr>
            <sz val="9"/>
            <color indexed="81"/>
            <rFont val="Tahoma"/>
            <charset val="1"/>
          </rPr>
          <t xml:space="preserve">
Check the rate, TAS include the hire rate as well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LGee</author>
  </authors>
  <commentList>
    <comment ref="B2" authorId="0" shapeId="0" xr:uid="{7C938F57-619D-4E60-B6C2-62D09BE8E148}">
      <text>
        <r>
          <rPr>
            <b/>
            <sz val="9"/>
            <color indexed="81"/>
            <rFont val="Tahoma"/>
            <family val="2"/>
          </rPr>
          <t>LGee:</t>
        </r>
        <r>
          <rPr>
            <sz val="9"/>
            <color indexed="81"/>
            <rFont val="Tahoma"/>
            <family val="2"/>
          </rPr>
          <t xml:space="preserve">
Update these informations</t>
        </r>
      </text>
    </comment>
  </commentList>
</comments>
</file>

<file path=xl/sharedStrings.xml><?xml version="1.0" encoding="utf-8"?>
<sst xmlns="http://schemas.openxmlformats.org/spreadsheetml/2006/main" count="1094" uniqueCount="310">
  <si>
    <t>Length</t>
  </si>
  <si>
    <t>Width</t>
  </si>
  <si>
    <t>Height</t>
  </si>
  <si>
    <t>Tag No.</t>
  </si>
  <si>
    <t>HOC</t>
  </si>
  <si>
    <t>OHC</t>
  </si>
  <si>
    <t>Description</t>
  </si>
  <si>
    <t>Board  Lift</t>
  </si>
  <si>
    <t>Quantity</t>
  </si>
  <si>
    <t>Unit of Measure</t>
  </si>
  <si>
    <t>HOC Date</t>
  </si>
  <si>
    <t>OHC Date</t>
  </si>
  <si>
    <t>E&amp;D Rate per unit</t>
  </si>
  <si>
    <t>Billing Reference</t>
  </si>
  <si>
    <t>Remarks</t>
  </si>
  <si>
    <t>Client:</t>
  </si>
  <si>
    <t>Project Name:</t>
  </si>
  <si>
    <t>Contract Ref:</t>
  </si>
  <si>
    <t>Scaffold Type</t>
  </si>
  <si>
    <t>Invoice Schedule</t>
  </si>
  <si>
    <t>Application No.:</t>
  </si>
  <si>
    <t>Site:</t>
  </si>
  <si>
    <t>Number</t>
  </si>
  <si>
    <t>Erect Charges</t>
  </si>
  <si>
    <t>Dismantle Charges</t>
  </si>
  <si>
    <t>Hire Charges</t>
  </si>
  <si>
    <t>Total Amount</t>
  </si>
  <si>
    <t>Dismantle %</t>
  </si>
  <si>
    <t>Erection %</t>
  </si>
  <si>
    <t>Hire %</t>
  </si>
  <si>
    <t>DTS</t>
  </si>
  <si>
    <t>Date</t>
  </si>
  <si>
    <t>Scaffolder</t>
  </si>
  <si>
    <t>Foreman</t>
  </si>
  <si>
    <t>Total</t>
  </si>
  <si>
    <t>PAYMENT APPLICATION SUMMARY</t>
  </si>
  <si>
    <t>Application Date</t>
  </si>
  <si>
    <t>Day Works</t>
  </si>
  <si>
    <t>Hire Rate per week</t>
  </si>
  <si>
    <t>As Of:</t>
  </si>
  <si>
    <t>Modification Hours</t>
  </si>
  <si>
    <t>Net</t>
  </si>
  <si>
    <t>Previous</t>
  </si>
  <si>
    <t>Cumulative</t>
  </si>
  <si>
    <t>Application No.</t>
  </si>
  <si>
    <t>Works Carried Out</t>
  </si>
  <si>
    <t>L</t>
  </si>
  <si>
    <t>W</t>
  </si>
  <si>
    <t>H</t>
  </si>
  <si>
    <t>BL</t>
  </si>
  <si>
    <t>Item Price</t>
  </si>
  <si>
    <t>Period (Wks)</t>
  </si>
  <si>
    <t>Extra Hire per Week</t>
  </si>
  <si>
    <t>Reference</t>
  </si>
  <si>
    <t>SCOPE OF WORKS &amp; ADDITIONAL WORKS RATES</t>
  </si>
  <si>
    <t>Order Reference:</t>
  </si>
  <si>
    <t>unit</t>
  </si>
  <si>
    <t>Khansaheb Civil Engineering LLC</t>
  </si>
  <si>
    <t>Khansaheb Civil Engineering L.L.C.</t>
  </si>
  <si>
    <t>PO Box - 2716</t>
  </si>
  <si>
    <t>Period As on</t>
  </si>
  <si>
    <t>Dubai</t>
  </si>
  <si>
    <t>Type</t>
  </si>
  <si>
    <t>Scaffolding Services</t>
  </si>
  <si>
    <t>United Arab Emirates</t>
  </si>
  <si>
    <t xml:space="preserve">Our Bankers </t>
  </si>
  <si>
    <t>Bank Of Sharjah</t>
  </si>
  <si>
    <t>Tel : 971 04 605 7200</t>
  </si>
  <si>
    <t>Fax : 971 04 285 7539</t>
  </si>
  <si>
    <t>Account  No.</t>
  </si>
  <si>
    <t>013 06 278065 01</t>
  </si>
  <si>
    <t>Previous Invoiced (AED)</t>
  </si>
  <si>
    <t>This Application Value (AED)</t>
  </si>
  <si>
    <t>Total Invoiced Net To Date (AED)</t>
  </si>
  <si>
    <t>Scope Of Work</t>
  </si>
  <si>
    <t>(for Client use only)</t>
  </si>
  <si>
    <t>Authorised Signatory</t>
  </si>
  <si>
    <t>Technical Access Services LLC</t>
  </si>
  <si>
    <t>The above amount is not inclusive of VAT</t>
  </si>
  <si>
    <t>1b</t>
  </si>
  <si>
    <t>Dayworks</t>
  </si>
  <si>
    <t>Hrs</t>
  </si>
  <si>
    <t>Varitaions</t>
  </si>
  <si>
    <t>Level-28/29 Block &amp; Glass Work</t>
  </si>
  <si>
    <t>Founding Level</t>
  </si>
  <si>
    <t>Tas Quote-2439-4-3 rev1</t>
  </si>
  <si>
    <t>Level 28-29</t>
  </si>
  <si>
    <t>201A22002/49</t>
  </si>
  <si>
    <t xml:space="preserve">Dorchester Hotel &amp; Residences (Completion Works)  </t>
  </si>
  <si>
    <t>As On Date:</t>
  </si>
  <si>
    <t>Location</t>
  </si>
  <si>
    <t>E11/K149/SK/dm/213</t>
  </si>
  <si>
    <t>E11/K149/SK/dm/216</t>
  </si>
  <si>
    <t>E11/K149/SK/dm/238</t>
  </si>
  <si>
    <t>E11/K149/SK/dm/239</t>
  </si>
  <si>
    <t>E11/K149/SK/dm/256</t>
  </si>
  <si>
    <t>E11/K149/SK/dm/257</t>
  </si>
  <si>
    <t>E11/K149/SK/dm/259</t>
  </si>
  <si>
    <t>HOTEL</t>
  </si>
  <si>
    <t>RESIDENCE</t>
  </si>
  <si>
    <t xml:space="preserve"> Design-1399-02 rev-D</t>
  </si>
  <si>
    <t>Hire Weeks</t>
  </si>
  <si>
    <t>Hire of Aluminium Tower</t>
  </si>
  <si>
    <t>NA</t>
  </si>
  <si>
    <t xml:space="preserve">TAS/HIRE/4969/SM </t>
  </si>
  <si>
    <t>Rate Card Ref</t>
  </si>
  <si>
    <t>Order Reference</t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</si>
  <si>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g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y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e</t>
    </r>
  </si>
  <si>
    <t>Fixed Duration</t>
  </si>
  <si>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m</t>
    </r>
  </si>
  <si>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</si>
  <si>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D</t>
    </r>
  </si>
  <si>
    <t>Static tower</t>
  </si>
  <si>
    <t>Erect &amp; Dismantle</t>
  </si>
  <si>
    <t>Rising Meter</t>
  </si>
  <si>
    <t>Mobile Tower</t>
  </si>
  <si>
    <t xml:space="preserve">Heavy duty tower </t>
  </si>
  <si>
    <t>Heavy duty tower</t>
  </si>
  <si>
    <t>Independent 1.2m wide</t>
  </si>
  <si>
    <t>M2 (LxH)</t>
  </si>
  <si>
    <t>Independent 1.8m wide</t>
  </si>
  <si>
    <t>Birdcage</t>
  </si>
  <si>
    <t>M3</t>
  </si>
  <si>
    <t>M3/Day</t>
  </si>
  <si>
    <t>Heavy duty birdcage</t>
  </si>
  <si>
    <t>Buttress</t>
  </si>
  <si>
    <t>Boarded lift</t>
  </si>
  <si>
    <t>M2 (LxW)</t>
  </si>
  <si>
    <t>Cantilever (0 &lt; 0.5m width)</t>
  </si>
  <si>
    <t>Cantilever (0.5 &gt; 1.2m width)</t>
  </si>
  <si>
    <t xml:space="preserve">Bridge </t>
  </si>
  <si>
    <t>Linear Meter</t>
  </si>
  <si>
    <t>Counterweight (Scaffold Tubes)</t>
  </si>
  <si>
    <t>Edge protection - A Frame Single</t>
  </si>
  <si>
    <t>Edge protection - A Frame double</t>
  </si>
  <si>
    <t>Edge Protection - Double</t>
  </si>
  <si>
    <t>Edge Protection - Double (Hilti)</t>
  </si>
  <si>
    <t>Netting supply - Beige Colour</t>
  </si>
  <si>
    <t>Supply only</t>
  </si>
  <si>
    <t>Netting install</t>
  </si>
  <si>
    <t>Staircase Supported by structure</t>
  </si>
  <si>
    <t>Staircase supported by Buttress</t>
  </si>
  <si>
    <t>Manpower - Scaffolder</t>
  </si>
  <si>
    <t>Hour</t>
  </si>
  <si>
    <t>Manpower - Foreman</t>
  </si>
  <si>
    <t>Aluminium Tower</t>
  </si>
  <si>
    <t>Set</t>
  </si>
  <si>
    <t>Design - TAS-1399-10A</t>
  </si>
  <si>
    <t>Lumpsum</t>
  </si>
  <si>
    <t>Design - TAS-1399-7</t>
  </si>
  <si>
    <t>Balcony Scaffold - Type1</t>
  </si>
  <si>
    <t>Balcony Scaffold - Type2</t>
  </si>
  <si>
    <t>Balcony Scaffold - Type3</t>
  </si>
  <si>
    <t>Balcony Scaffold - Type4</t>
  </si>
  <si>
    <t>Balcony Scaffold - Type5</t>
  </si>
  <si>
    <t>Balcony Scaffold - Type6</t>
  </si>
  <si>
    <t>Balcony Scaffold - Type7</t>
  </si>
  <si>
    <t>Design - TAS-1399-02D</t>
  </si>
  <si>
    <t>Design - TAS-1399-06B</t>
  </si>
  <si>
    <t>CONTRACT - 201A22002/49</t>
  </si>
  <si>
    <t>Contract Scope - Progressive Billing</t>
  </si>
  <si>
    <t>Level 30</t>
  </si>
  <si>
    <t>m2-LxW</t>
  </si>
  <si>
    <t>1f</t>
  </si>
  <si>
    <t>Glass Channel Fixing</t>
  </si>
  <si>
    <t>Level 29</t>
  </si>
  <si>
    <t>1h</t>
  </si>
  <si>
    <t>1i</t>
  </si>
  <si>
    <t>1j</t>
  </si>
  <si>
    <t>1k</t>
  </si>
  <si>
    <t>1l</t>
  </si>
  <si>
    <t>Attn: Mr. Saman Kulasooriya</t>
  </si>
  <si>
    <t>Dorchester Hotel &amp; Residences (Completion Works)  - 201A22002/49</t>
  </si>
  <si>
    <t>Contract Ref 201A22002/49</t>
  </si>
  <si>
    <t xml:space="preserve">PAYMENT APPLICATION </t>
  </si>
  <si>
    <t>Previous Amount</t>
  </si>
  <si>
    <t>Net Amount</t>
  </si>
  <si>
    <t>2a</t>
  </si>
  <si>
    <t>Additional Boarding</t>
  </si>
  <si>
    <t>2b</t>
  </si>
  <si>
    <t>Colum G-3  Painting Works</t>
  </si>
  <si>
    <t>2c</t>
  </si>
  <si>
    <t>Colum F-3  Painting Works</t>
  </si>
  <si>
    <t>2d</t>
  </si>
  <si>
    <t>Colum D-3  Painting Works</t>
  </si>
  <si>
    <t>3a</t>
  </si>
  <si>
    <t>Colum D-2  Painting Works</t>
  </si>
  <si>
    <t>3b</t>
  </si>
  <si>
    <t>Colum F-G/2  Painting Works</t>
  </si>
  <si>
    <t>EIFS Removel &amp; Reinstate Works</t>
  </si>
  <si>
    <t>Ramp</t>
  </si>
  <si>
    <t>Design-1399-07 rev-B</t>
  </si>
  <si>
    <t>Level 31</t>
  </si>
  <si>
    <t>Level -30 Lobby Room Shaft-09</t>
  </si>
  <si>
    <t>Design -1399-10 rev-A</t>
  </si>
  <si>
    <t>Tas Quote - 2439-5-1</t>
  </si>
  <si>
    <t xml:space="preserve">Tas Quote - 2439-8-2 </t>
  </si>
  <si>
    <t>2e</t>
  </si>
  <si>
    <t>Level - 30 Balcony Side Glass frame work</t>
  </si>
  <si>
    <t>E11/K149/HN/dm/285</t>
  </si>
  <si>
    <t>Design-TAS-1399-12</t>
  </si>
  <si>
    <t>Loading Bay Above Planter Trench</t>
  </si>
  <si>
    <t>Ground Level</t>
  </si>
  <si>
    <t>Design -1399-12 rev-A</t>
  </si>
  <si>
    <t>Tas Quote - 2439-10-1</t>
  </si>
  <si>
    <t>Level -4 Planter Box Soil Filling</t>
  </si>
  <si>
    <t>Level 4</t>
  </si>
  <si>
    <t>Independent</t>
  </si>
  <si>
    <t>m2-LxH</t>
  </si>
  <si>
    <t>8h</t>
  </si>
  <si>
    <t>Pool Area Glass work</t>
  </si>
  <si>
    <t>Level 26</t>
  </si>
  <si>
    <t>8i</t>
  </si>
  <si>
    <t>Level -30 Glass Frame work</t>
  </si>
  <si>
    <t>Hire per Week</t>
  </si>
  <si>
    <t>8j</t>
  </si>
  <si>
    <t>Level -30 Shaft Mep Services</t>
  </si>
  <si>
    <t>Pool Plant Room (KMEP Work)</t>
  </si>
  <si>
    <t>Level 3</t>
  </si>
  <si>
    <t>Colum Nut bolt Installation</t>
  </si>
  <si>
    <t>KMEP</t>
  </si>
  <si>
    <t>Shaft -6 Kmep Duct Extension</t>
  </si>
  <si>
    <t>Tower</t>
  </si>
  <si>
    <t>rm</t>
  </si>
  <si>
    <t>Level -2 Retail Unit 34 For (Kmep)</t>
  </si>
  <si>
    <t>Level 2</t>
  </si>
  <si>
    <t>m3</t>
  </si>
  <si>
    <t>Basement 1 (Kmep work)</t>
  </si>
  <si>
    <t>Basement 1</t>
  </si>
  <si>
    <t>Staircase -4 For Water coring tank work</t>
  </si>
  <si>
    <t>19a</t>
  </si>
  <si>
    <t>16a</t>
  </si>
  <si>
    <t>Second Lift Duct Extension work</t>
  </si>
  <si>
    <t>1n</t>
  </si>
  <si>
    <t>Fire Fifhting Sprinkler Work</t>
  </si>
  <si>
    <t>8k</t>
  </si>
  <si>
    <t>Mockup For Bracket Fixing</t>
  </si>
  <si>
    <t>Level 6</t>
  </si>
  <si>
    <t>2g</t>
  </si>
  <si>
    <t>2f</t>
  </si>
  <si>
    <t>Glass Fixing work</t>
  </si>
  <si>
    <t>E11/K149/SK/dm/365</t>
  </si>
  <si>
    <t xml:space="preserve">EIFS Fixing Work </t>
  </si>
  <si>
    <t>Level 23</t>
  </si>
  <si>
    <t>30a</t>
  </si>
  <si>
    <t>Tas Quote - 2439-14-1 (item-1)</t>
  </si>
  <si>
    <t>Tas Quote - 2439-14-1 (item-2)</t>
  </si>
  <si>
    <t>E11/K149/SK/dm/350</t>
  </si>
  <si>
    <t>Design-TAS-1399-14</t>
  </si>
  <si>
    <t>Above Air Extract trench Loading Bay</t>
  </si>
  <si>
    <t>Design 1399-14</t>
  </si>
  <si>
    <t>Tas Quote - 2439-13-1</t>
  </si>
  <si>
    <t>Hotel Side Block Work</t>
  </si>
  <si>
    <t>Level 14</t>
  </si>
  <si>
    <t>Canal Side wall Cladding opening Work</t>
  </si>
  <si>
    <t>Plant Room Façade Fin Supporting work</t>
  </si>
  <si>
    <t>Level 5</t>
  </si>
  <si>
    <t>Plant Room For AC Duct Work</t>
  </si>
  <si>
    <t>Air Extract Gratting Installation</t>
  </si>
  <si>
    <t>4a</t>
  </si>
  <si>
    <t>E11/K149/SK/dm/300</t>
  </si>
  <si>
    <t>Design-Tas-1399-13A</t>
  </si>
  <si>
    <t>Cradle Beam Support</t>
  </si>
  <si>
    <t>Roof</t>
  </si>
  <si>
    <t>Design 1399-13 rev-A</t>
  </si>
  <si>
    <t>Tas Quote - 2439-11-2</t>
  </si>
  <si>
    <t>Cradle Beam Support (Re-erction)</t>
  </si>
  <si>
    <t>Planter Drain Connection (mep)</t>
  </si>
  <si>
    <t>Planter Room Fin Supportting work</t>
  </si>
  <si>
    <t>3c</t>
  </si>
  <si>
    <t>8a</t>
  </si>
  <si>
    <t>3d</t>
  </si>
  <si>
    <t>Plant Room For Kmep Work</t>
  </si>
  <si>
    <t>8b</t>
  </si>
  <si>
    <t>8c</t>
  </si>
  <si>
    <t>E11/K149/SK/dm/341</t>
  </si>
  <si>
    <t>Level 13</t>
  </si>
  <si>
    <t>Balcony Floor Drain Work</t>
  </si>
  <si>
    <t>Level 12</t>
  </si>
  <si>
    <t>Tas Quote - 2439-12-2 (item-2)</t>
  </si>
  <si>
    <t>Level 15</t>
  </si>
  <si>
    <t>10a</t>
  </si>
  <si>
    <t xml:space="preserve">Trench Inside for Parapet Cutting </t>
  </si>
  <si>
    <t>Inverted Scaffold</t>
  </si>
  <si>
    <t>Tas Quote - 2439-6-1</t>
  </si>
  <si>
    <t>lm</t>
  </si>
  <si>
    <t>15a</t>
  </si>
  <si>
    <t>EIFS work Damac side Elevation</t>
  </si>
  <si>
    <t>Level  2</t>
  </si>
  <si>
    <t>16b</t>
  </si>
  <si>
    <t>Butress</t>
  </si>
  <si>
    <t>9a</t>
  </si>
  <si>
    <t>Plant Room Kmep Work</t>
  </si>
  <si>
    <t>9b</t>
  </si>
  <si>
    <t>17a</t>
  </si>
  <si>
    <t>4d</t>
  </si>
  <si>
    <t xml:space="preserve">EIFS work  </t>
  </si>
  <si>
    <t>Ground Level to Level 2</t>
  </si>
  <si>
    <t xml:space="preserve"> </t>
  </si>
  <si>
    <t>Additional Inspection</t>
  </si>
  <si>
    <t>Third Party Inspection ( Additional)</t>
  </si>
  <si>
    <t>Design 1399 -06 rev-B</t>
  </si>
  <si>
    <t>Application # 2</t>
  </si>
  <si>
    <t>AED : Two Hundred Twenty-Six Thousand Three Hundred Sixty-Six and Ninety-Two Fils Only</t>
  </si>
  <si>
    <t>Certified Amount (Cum)</t>
  </si>
  <si>
    <t>Certified Amount (This Month)</t>
  </si>
  <si>
    <t>Comments</t>
  </si>
  <si>
    <t>Okay</t>
  </si>
  <si>
    <t>Please check these</t>
  </si>
  <si>
    <t>Certified Amount (Previous)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</si>
</sst>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name val="Arial"/>
    </font>
    <font>
      <b/>
      <sz val="8"/>
      <color rgb="FF00000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>
      <alignment vertical="top"/>
    </xf>
    <xf numFmtId="0" fontId="1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7">
    <xf numFmtId="0" fontId="0" fillId="0" borderId="0" xfId="0"/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0" fontId="7" fillId="0" borderId="2" xfId="2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7" fillId="0" borderId="2" xfId="3" applyFont="1" applyFill="1" applyBorder="1" applyAlignment="1">
      <alignment horizontal="center" vertical="center" wrapText="1"/>
    </xf>
    <xf numFmtId="0" fontId="7" fillId="0" borderId="8" xfId="2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0" fontId="9" fillId="0" borderId="0" xfId="0" applyFont="1" applyAlignment="1">
      <alignment wrapText="1"/>
    </xf>
    <xf numFmtId="0" fontId="7" fillId="0" borderId="9" xfId="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 wrapText="1"/>
    </xf>
    <xf numFmtId="14" fontId="9" fillId="0" borderId="2" xfId="1" applyNumberFormat="1" applyFont="1" applyFill="1" applyBorder="1" applyAlignment="1">
      <alignment horizontal="center" vertical="center"/>
    </xf>
    <xf numFmtId="9" fontId="9" fillId="0" borderId="2" xfId="6" applyFont="1" applyFill="1" applyBorder="1" applyAlignment="1">
      <alignment horizontal="center" vertical="center"/>
    </xf>
    <xf numFmtId="4" fontId="9" fillId="0" borderId="2" xfId="3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" fontId="7" fillId="0" borderId="0" xfId="0" applyNumberFormat="1" applyFont="1" applyAlignment="1">
      <alignment wrapText="1"/>
    </xf>
    <xf numFmtId="4" fontId="7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0" borderId="7" xfId="0" applyFont="1" applyBorder="1"/>
    <xf numFmtId="165" fontId="12" fillId="0" borderId="3" xfId="0" applyNumberFormat="1" applyFont="1" applyBorder="1"/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" fontId="12" fillId="0" borderId="5" xfId="0" applyNumberFormat="1" applyFont="1" applyBorder="1"/>
    <xf numFmtId="0" fontId="12" fillId="0" borderId="18" xfId="0" applyFont="1" applyBorder="1"/>
    <xf numFmtId="165" fontId="12" fillId="0" borderId="19" xfId="0" applyNumberFormat="1" applyFont="1" applyBorder="1"/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" fontId="12" fillId="0" borderId="20" xfId="0" applyNumberFormat="1" applyFont="1" applyBorder="1"/>
    <xf numFmtId="0" fontId="12" fillId="0" borderId="19" xfId="0" applyFont="1" applyBorder="1"/>
    <xf numFmtId="0" fontId="12" fillId="0" borderId="20" xfId="0" applyFont="1" applyBorder="1"/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2" fillId="0" borderId="21" xfId="0" applyFont="1" applyBorder="1"/>
    <xf numFmtId="14" fontId="12" fillId="0" borderId="1" xfId="0" applyNumberFormat="1" applyFont="1" applyBorder="1"/>
    <xf numFmtId="4" fontId="12" fillId="0" borderId="1" xfId="0" applyNumberFormat="1" applyFont="1" applyBorder="1"/>
    <xf numFmtId="0" fontId="12" fillId="0" borderId="22" xfId="0" applyFont="1" applyBorder="1"/>
    <xf numFmtId="0" fontId="12" fillId="0" borderId="1" xfId="0" applyFont="1" applyBorder="1"/>
    <xf numFmtId="0" fontId="12" fillId="0" borderId="26" xfId="0" applyFont="1" applyBorder="1"/>
    <xf numFmtId="0" fontId="12" fillId="0" borderId="27" xfId="0" applyFont="1" applyBorder="1"/>
    <xf numFmtId="4" fontId="12" fillId="0" borderId="27" xfId="0" applyNumberFormat="1" applyFont="1" applyBorder="1"/>
    <xf numFmtId="0" fontId="12" fillId="0" borderId="28" xfId="0" applyFont="1" applyBorder="1"/>
    <xf numFmtId="0" fontId="1" fillId="0" borderId="0" xfId="13"/>
    <xf numFmtId="0" fontId="14" fillId="0" borderId="33" xfId="12" applyFont="1" applyBorder="1" applyAlignment="1">
      <alignment vertical="center"/>
    </xf>
    <xf numFmtId="14" fontId="14" fillId="0" borderId="5" xfId="12" applyNumberFormat="1" applyFont="1" applyBorder="1" applyAlignment="1">
      <alignment horizontal="left" vertical="center"/>
    </xf>
    <xf numFmtId="0" fontId="14" fillId="0" borderId="35" xfId="12" applyFont="1" applyBorder="1" applyAlignment="1">
      <alignment vertical="center"/>
    </xf>
    <xf numFmtId="0" fontId="14" fillId="0" borderId="0" xfId="12" applyFont="1" applyAlignment="1">
      <alignment vertical="center"/>
    </xf>
    <xf numFmtId="17" fontId="14" fillId="0" borderId="34" xfId="12" applyNumberFormat="1" applyFont="1" applyBorder="1" applyAlignment="1">
      <alignment horizontal="left" vertical="center"/>
    </xf>
    <xf numFmtId="0" fontId="14" fillId="0" borderId="5" xfId="12" applyFont="1" applyBorder="1" applyAlignment="1">
      <alignment horizontal="left" vertical="center"/>
    </xf>
    <xf numFmtId="0" fontId="14" fillId="0" borderId="34" xfId="12" applyFont="1" applyBorder="1" applyAlignment="1">
      <alignment horizontal="left" vertical="center"/>
    </xf>
    <xf numFmtId="0" fontId="14" fillId="0" borderId="36" xfId="12" applyFont="1" applyBorder="1" applyAlignment="1">
      <alignment horizontal="left" vertical="center"/>
    </xf>
    <xf numFmtId="0" fontId="14" fillId="0" borderId="20" xfId="12" applyFont="1" applyBorder="1" applyAlignment="1">
      <alignment horizontal="left" vertical="center"/>
    </xf>
    <xf numFmtId="0" fontId="14" fillId="0" borderId="37" xfId="12" applyFont="1" applyBorder="1" applyAlignment="1">
      <alignment horizontal="left" vertical="center"/>
    </xf>
    <xf numFmtId="0" fontId="14" fillId="0" borderId="38" xfId="12" applyFont="1" applyBorder="1" applyAlignment="1">
      <alignment horizontal="left" vertical="center"/>
    </xf>
    <xf numFmtId="0" fontId="14" fillId="0" borderId="29" xfId="12" applyFont="1" applyBorder="1" applyAlignment="1">
      <alignment horizontal="left" vertical="center"/>
    </xf>
    <xf numFmtId="0" fontId="14" fillId="0" borderId="39" xfId="12" applyFont="1" applyBorder="1" applyAlignment="1">
      <alignment horizontal="left" vertical="center"/>
    </xf>
    <xf numFmtId="0" fontId="14" fillId="0" borderId="35" xfId="12" applyFont="1" applyBorder="1"/>
    <xf numFmtId="0" fontId="14" fillId="0" borderId="0" xfId="12" applyFont="1"/>
    <xf numFmtId="0" fontId="14" fillId="0" borderId="35" xfId="12" applyFont="1" applyBorder="1" applyAlignment="1">
      <alignment horizontal="left"/>
    </xf>
    <xf numFmtId="0" fontId="15" fillId="6" borderId="30" xfId="13" applyFont="1" applyFill="1" applyBorder="1" applyAlignment="1">
      <alignment horizontal="center" vertical="center" wrapText="1"/>
    </xf>
    <xf numFmtId="4" fontId="15" fillId="6" borderId="43" xfId="13" applyNumberFormat="1" applyFont="1" applyFill="1" applyBorder="1" applyAlignment="1">
      <alignment horizontal="center" vertical="center" wrapText="1"/>
    </xf>
    <xf numFmtId="4" fontId="15" fillId="6" borderId="32" xfId="13" applyNumberFormat="1" applyFont="1" applyFill="1" applyBorder="1" applyAlignment="1">
      <alignment horizontal="center" vertical="center" wrapText="1"/>
    </xf>
    <xf numFmtId="0" fontId="14" fillId="0" borderId="44" xfId="12" applyFont="1" applyBorder="1" applyAlignment="1">
      <alignment vertical="center"/>
    </xf>
    <xf numFmtId="43" fontId="14" fillId="0" borderId="44" xfId="14" applyFont="1" applyBorder="1" applyAlignment="1">
      <alignment vertical="center"/>
    </xf>
    <xf numFmtId="0" fontId="14" fillId="0" borderId="35" xfId="12" applyFont="1" applyBorder="1" applyAlignment="1">
      <alignment horizontal="center" vertical="center"/>
    </xf>
    <xf numFmtId="0" fontId="14" fillId="0" borderId="0" xfId="12" applyFont="1" applyAlignment="1">
      <alignment horizontal="center" vertical="center"/>
    </xf>
    <xf numFmtId="43" fontId="14" fillId="0" borderId="35" xfId="14" applyFont="1" applyBorder="1" applyAlignment="1">
      <alignment horizontal="center" vertical="center"/>
    </xf>
    <xf numFmtId="43" fontId="14" fillId="0" borderId="44" xfId="14" applyFont="1" applyBorder="1" applyAlignment="1"/>
    <xf numFmtId="164" fontId="1" fillId="0" borderId="0" xfId="13" applyNumberFormat="1"/>
    <xf numFmtId="0" fontId="14" fillId="0" borderId="39" xfId="12" applyFont="1" applyBorder="1"/>
    <xf numFmtId="0" fontId="14" fillId="0" borderId="40" xfId="12" applyFont="1" applyBorder="1"/>
    <xf numFmtId="0" fontId="14" fillId="0" borderId="41" xfId="12" applyFont="1" applyBorder="1"/>
    <xf numFmtId="0" fontId="14" fillId="0" borderId="42" xfId="12" applyFont="1" applyBorder="1"/>
    <xf numFmtId="43" fontId="14" fillId="0" borderId="43" xfId="12" applyNumberFormat="1" applyFont="1" applyBorder="1" applyAlignment="1">
      <alignment vertical="center" wrapText="1"/>
    </xf>
    <xf numFmtId="0" fontId="14" fillId="0" borderId="35" xfId="12" applyFont="1" applyBorder="1" applyAlignment="1">
      <alignment horizontal="left" vertical="center"/>
    </xf>
    <xf numFmtId="0" fontId="14" fillId="0" borderId="0" xfId="12" applyFont="1" applyAlignment="1">
      <alignment horizontal="left" vertical="center"/>
    </xf>
    <xf numFmtId="49" fontId="9" fillId="0" borderId="8" xfId="2" applyNumberFormat="1" applyFont="1" applyFill="1" applyBorder="1" applyAlignment="1">
      <alignment horizontal="center" vertical="center"/>
    </xf>
    <xf numFmtId="0" fontId="9" fillId="0" borderId="2" xfId="2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/>
    <xf numFmtId="4" fontId="0" fillId="0" borderId="3" xfId="0" applyNumberFormat="1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1" fillId="0" borderId="18" xfId="0" applyFont="1" applyBorder="1"/>
    <xf numFmtId="165" fontId="1" fillId="0" borderId="19" xfId="0" applyNumberFormat="1" applyFont="1" applyBorder="1"/>
    <xf numFmtId="0" fontId="1" fillId="0" borderId="19" xfId="0" applyFont="1" applyBorder="1" applyAlignment="1">
      <alignment horizontal="center" vertical="center"/>
    </xf>
    <xf numFmtId="4" fontId="1" fillId="0" borderId="19" xfId="0" applyNumberFormat="1" applyFon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4" fontId="0" fillId="0" borderId="19" xfId="0" applyNumberFormat="1" applyBorder="1"/>
    <xf numFmtId="14" fontId="0" fillId="0" borderId="3" xfId="0" applyNumberFormat="1" applyBorder="1"/>
    <xf numFmtId="0" fontId="0" fillId="0" borderId="19" xfId="0" applyBorder="1"/>
    <xf numFmtId="0" fontId="16" fillId="0" borderId="3" xfId="12" applyFont="1" applyBorder="1" applyAlignment="1">
      <alignment horizontal="center" vertical="center"/>
    </xf>
    <xf numFmtId="49" fontId="18" fillId="0" borderId="8" xfId="2" applyNumberFormat="1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 wrapText="1"/>
    </xf>
    <xf numFmtId="0" fontId="18" fillId="0" borderId="2" xfId="2" applyNumberFormat="1" applyFont="1" applyFill="1" applyBorder="1" applyAlignment="1">
      <alignment horizontal="center" vertical="center"/>
    </xf>
    <xf numFmtId="9" fontId="18" fillId="0" borderId="2" xfId="6" applyFont="1" applyFill="1" applyBorder="1" applyAlignment="1">
      <alignment horizontal="center" vertical="center"/>
    </xf>
    <xf numFmtId="4" fontId="18" fillId="0" borderId="2" xfId="3" applyNumberFormat="1" applyFont="1" applyFill="1" applyBorder="1" applyAlignment="1">
      <alignment horizontal="center" vertical="center"/>
    </xf>
    <xf numFmtId="0" fontId="18" fillId="0" borderId="9" xfId="4" applyFont="1" applyFill="1" applyBorder="1" applyAlignment="1">
      <alignment horizontal="center" vertical="center"/>
    </xf>
    <xf numFmtId="0" fontId="19" fillId="0" borderId="45" xfId="12" applyFont="1" applyBorder="1" applyAlignment="1">
      <alignment horizontal="center" vertical="center" wrapText="1"/>
    </xf>
    <xf numFmtId="0" fontId="19" fillId="0" borderId="46" xfId="12" applyFont="1" applyBorder="1" applyAlignment="1">
      <alignment horizontal="center" vertical="center" wrapText="1"/>
    </xf>
    <xf numFmtId="4" fontId="19" fillId="0" borderId="47" xfId="12" applyNumberFormat="1" applyFont="1" applyBorder="1" applyAlignment="1">
      <alignment horizontal="center" vertical="center" wrapText="1"/>
    </xf>
    <xf numFmtId="0" fontId="16" fillId="0" borderId="48" xfId="12" applyFont="1" applyBorder="1" applyAlignment="1">
      <alignment horizontal="center" vertical="center"/>
    </xf>
    <xf numFmtId="4" fontId="16" fillId="0" borderId="49" xfId="12" applyNumberFormat="1" applyFont="1" applyBorder="1" applyAlignment="1">
      <alignment horizontal="center" vertical="center"/>
    </xf>
    <xf numFmtId="0" fontId="16" fillId="0" borderId="50" xfId="12" applyFont="1" applyBorder="1" applyAlignment="1">
      <alignment horizontal="center" vertical="center"/>
    </xf>
    <xf numFmtId="4" fontId="16" fillId="0" borderId="51" xfId="12" applyNumberFormat="1" applyFont="1" applyBorder="1" applyAlignment="1">
      <alignment horizontal="center" vertical="center"/>
    </xf>
    <xf numFmtId="14" fontId="9" fillId="0" borderId="0" xfId="0" applyNumberFormat="1" applyFont="1"/>
    <xf numFmtId="14" fontId="7" fillId="0" borderId="2" xfId="1" applyNumberFormat="1" applyFont="1" applyFill="1" applyBorder="1" applyAlignment="1">
      <alignment horizontal="center" vertical="center" wrapText="1"/>
    </xf>
    <xf numFmtId="14" fontId="18" fillId="0" borderId="2" xfId="1" applyNumberFormat="1" applyFont="1" applyFill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0" fillId="0" borderId="0" xfId="0" applyNumberFormat="1"/>
    <xf numFmtId="0" fontId="14" fillId="0" borderId="35" xfId="12" applyFont="1" applyBorder="1" applyAlignment="1">
      <alignment horizontal="center" vertical="center" wrapText="1"/>
    </xf>
    <xf numFmtId="0" fontId="14" fillId="0" borderId="39" xfId="12" applyFont="1" applyBorder="1" applyAlignment="1">
      <alignment horizontal="center" vertical="center" wrapText="1"/>
    </xf>
    <xf numFmtId="0" fontId="14" fillId="0" borderId="0" xfId="12" applyFont="1" applyAlignment="1">
      <alignment horizontal="center" vertical="center" wrapText="1"/>
    </xf>
    <xf numFmtId="0" fontId="13" fillId="0" borderId="35" xfId="12" applyFont="1" applyBorder="1" applyAlignment="1">
      <alignment vertical="center"/>
    </xf>
    <xf numFmtId="0" fontId="14" fillId="0" borderId="52" xfId="12" applyFont="1" applyBorder="1" applyAlignment="1">
      <alignment vertical="center"/>
    </xf>
    <xf numFmtId="14" fontId="14" fillId="0" borderId="14" xfId="12" applyNumberFormat="1" applyFont="1" applyBorder="1" applyAlignment="1">
      <alignment horizontal="left" vertical="center"/>
    </xf>
    <xf numFmtId="14" fontId="14" fillId="0" borderId="53" xfId="12" applyNumberFormat="1" applyFont="1" applyBorder="1" applyAlignment="1">
      <alignment horizontal="left" vertical="center"/>
    </xf>
    <xf numFmtId="0" fontId="7" fillId="0" borderId="9" xfId="3" applyFont="1" applyFill="1" applyBorder="1" applyAlignment="1">
      <alignment horizontal="center" vertical="center" wrapText="1"/>
    </xf>
    <xf numFmtId="4" fontId="18" fillId="0" borderId="9" xfId="3" applyNumberFormat="1" applyFont="1" applyFill="1" applyBorder="1" applyAlignment="1">
      <alignment horizontal="center"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8" xfId="2" applyFont="1" applyFill="1" applyBorder="1" applyAlignment="1">
      <alignment horizontal="center" vertical="center"/>
    </xf>
    <xf numFmtId="4" fontId="9" fillId="0" borderId="9" xfId="3" applyNumberFormat="1" applyFont="1" applyFill="1" applyBorder="1" applyAlignment="1">
      <alignment horizontal="center" vertical="center"/>
    </xf>
    <xf numFmtId="0" fontId="18" fillId="0" borderId="9" xfId="4" applyFont="1" applyFill="1" applyBorder="1" applyAlignment="1">
      <alignment horizontal="center" vertical="center" wrapText="1"/>
    </xf>
    <xf numFmtId="0" fontId="22" fillId="0" borderId="3" xfId="12" applyFont="1" applyBorder="1" applyAlignment="1">
      <alignment horizontal="center" vertical="center"/>
    </xf>
    <xf numFmtId="0" fontId="9" fillId="0" borderId="9" xfId="4" applyFont="1" applyFill="1" applyBorder="1" applyAlignment="1">
      <alignment horizontal="center" vertical="center" wrapText="1"/>
    </xf>
    <xf numFmtId="0" fontId="9" fillId="6" borderId="0" xfId="0" applyFont="1" applyFill="1"/>
    <xf numFmtId="0" fontId="18" fillId="7" borderId="2" xfId="2" applyFont="1" applyFill="1" applyBorder="1" applyAlignment="1">
      <alignment horizontal="center" vertical="center"/>
    </xf>
    <xf numFmtId="0" fontId="9" fillId="7" borderId="2" xfId="2" applyFont="1" applyFill="1" applyBorder="1" applyAlignment="1">
      <alignment horizontal="center" vertical="center"/>
    </xf>
    <xf numFmtId="14" fontId="9" fillId="8" borderId="2" xfId="1" applyNumberFormat="1" applyFont="1" applyFill="1" applyBorder="1" applyAlignment="1">
      <alignment horizontal="center" vertical="center"/>
    </xf>
    <xf numFmtId="0" fontId="18" fillId="8" borderId="2" xfId="2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4" fontId="16" fillId="7" borderId="49" xfId="12" applyNumberFormat="1" applyFont="1" applyFill="1" applyBorder="1" applyAlignment="1">
      <alignment horizontal="center" vertical="center"/>
    </xf>
    <xf numFmtId="4" fontId="9" fillId="7" borderId="2" xfId="3" applyNumberFormat="1" applyFont="1" applyFill="1" applyBorder="1" applyAlignment="1">
      <alignment horizontal="center" vertical="center"/>
    </xf>
    <xf numFmtId="4" fontId="18" fillId="7" borderId="2" xfId="3" applyNumberFormat="1" applyFont="1" applyFill="1" applyBorder="1" applyAlignment="1">
      <alignment horizontal="center" vertical="center"/>
    </xf>
    <xf numFmtId="43" fontId="9" fillId="0" borderId="0" xfId="15" applyFont="1"/>
    <xf numFmtId="43" fontId="7" fillId="9" borderId="4" xfId="15" applyFont="1" applyFill="1" applyBorder="1" applyAlignment="1">
      <alignment horizontal="center" vertical="center" wrapText="1"/>
    </xf>
    <xf numFmtId="2" fontId="9" fillId="0" borderId="0" xfId="0" applyNumberFormat="1" applyFont="1"/>
    <xf numFmtId="166" fontId="9" fillId="0" borderId="0" xfId="0" applyNumberFormat="1" applyFont="1"/>
    <xf numFmtId="2" fontId="9" fillId="8" borderId="2" xfId="1" applyNumberFormat="1" applyFont="1" applyFill="1" applyBorder="1" applyAlignment="1">
      <alignment horizontal="center" vertical="center"/>
    </xf>
    <xf numFmtId="43" fontId="9" fillId="8" borderId="0" xfId="15" applyFont="1" applyFill="1" applyAlignment="1">
      <alignment horizontal="center" vertical="center"/>
    </xf>
    <xf numFmtId="0" fontId="9" fillId="8" borderId="0" xfId="0" applyFont="1" applyFill="1"/>
    <xf numFmtId="0" fontId="9" fillId="7" borderId="0" xfId="0" applyFont="1" applyFill="1"/>
    <xf numFmtId="43" fontId="9" fillId="8" borderId="0" xfId="15" applyFont="1" applyFill="1" applyBorder="1" applyAlignment="1">
      <alignment horizontal="center" vertical="center"/>
    </xf>
    <xf numFmtId="43" fontId="18" fillId="8" borderId="0" xfId="15" applyFont="1" applyFill="1" applyBorder="1" applyAlignment="1">
      <alignment horizontal="center" vertical="center"/>
    </xf>
    <xf numFmtId="43" fontId="18" fillId="8" borderId="0" xfId="15" applyFont="1" applyFill="1" applyBorder="1" applyAlignment="1">
      <alignment horizontal="center" vertical="center" wrapText="1"/>
    </xf>
    <xf numFmtId="43" fontId="9" fillId="8" borderId="0" xfId="15" applyFont="1" applyFill="1" applyBorder="1" applyAlignment="1">
      <alignment horizontal="center" vertical="center" wrapText="1"/>
    </xf>
    <xf numFmtId="43" fontId="7" fillId="0" borderId="0" xfId="15" applyFont="1"/>
    <xf numFmtId="43" fontId="14" fillId="8" borderId="35" xfId="14" applyFont="1" applyFill="1" applyBorder="1" applyAlignment="1">
      <alignment horizontal="center" vertical="center"/>
    </xf>
    <xf numFmtId="43" fontId="14" fillId="8" borderId="44" xfId="14" applyFont="1" applyFill="1" applyBorder="1" applyAlignment="1">
      <alignment vertical="center"/>
    </xf>
    <xf numFmtId="43" fontId="14" fillId="8" borderId="44" xfId="14" applyNumberFormat="1" applyFont="1" applyFill="1" applyBorder="1" applyAlignment="1">
      <alignment vertical="center"/>
    </xf>
    <xf numFmtId="43" fontId="9" fillId="0" borderId="11" xfId="0" applyNumberFormat="1" applyFont="1" applyBorder="1" applyAlignment="1">
      <alignment horizontal="center" vertical="center"/>
    </xf>
    <xf numFmtId="4" fontId="18" fillId="8" borderId="2" xfId="3" applyNumberFormat="1" applyFont="1" applyFill="1" applyBorder="1" applyAlignment="1">
      <alignment horizontal="center" vertical="center"/>
    </xf>
    <xf numFmtId="2" fontId="9" fillId="0" borderId="2" xfId="1" applyNumberFormat="1" applyFont="1" applyFill="1" applyBorder="1" applyAlignment="1">
      <alignment horizontal="center" vertical="center"/>
    </xf>
    <xf numFmtId="43" fontId="9" fillId="8" borderId="0" xfId="0" applyNumberFormat="1" applyFont="1" applyFill="1"/>
    <xf numFmtId="0" fontId="14" fillId="0" borderId="35" xfId="12" applyFont="1" applyBorder="1" applyAlignment="1">
      <alignment horizontal="right"/>
    </xf>
    <xf numFmtId="0" fontId="14" fillId="0" borderId="0" xfId="12" applyFont="1" applyAlignment="1">
      <alignment horizontal="right"/>
    </xf>
    <xf numFmtId="0" fontId="14" fillId="0" borderId="39" xfId="12" applyFont="1" applyBorder="1" applyAlignment="1">
      <alignment horizontal="right"/>
    </xf>
    <xf numFmtId="0" fontId="20" fillId="0" borderId="30" xfId="12" applyFont="1" applyBorder="1" applyAlignment="1">
      <alignment horizontal="center" vertical="center"/>
    </xf>
    <xf numFmtId="0" fontId="20" fillId="0" borderId="31" xfId="12" applyFont="1" applyBorder="1" applyAlignment="1">
      <alignment horizontal="center" vertical="center"/>
    </xf>
    <xf numFmtId="0" fontId="20" fillId="0" borderId="32" xfId="12" applyFont="1" applyBorder="1" applyAlignment="1">
      <alignment horizontal="center" vertical="center"/>
    </xf>
    <xf numFmtId="0" fontId="14" fillId="0" borderId="35" xfId="12" applyFont="1" applyBorder="1"/>
    <xf numFmtId="0" fontId="14" fillId="0" borderId="0" xfId="12" applyFont="1"/>
    <xf numFmtId="0" fontId="14" fillId="0" borderId="29" xfId="12" applyFont="1" applyBorder="1" applyAlignment="1">
      <alignment horizontal="left"/>
    </xf>
    <xf numFmtId="0" fontId="14" fillId="0" borderId="39" xfId="12" applyFont="1" applyBorder="1" applyAlignment="1">
      <alignment horizontal="left"/>
    </xf>
    <xf numFmtId="0" fontId="13" fillId="0" borderId="30" xfId="12" applyFont="1" applyBorder="1" applyAlignment="1">
      <alignment horizontal="left"/>
    </xf>
    <xf numFmtId="0" fontId="13" fillId="0" borderId="31" xfId="12" applyFont="1" applyBorder="1" applyAlignment="1">
      <alignment horizontal="left"/>
    </xf>
    <xf numFmtId="0" fontId="13" fillId="0" borderId="32" xfId="12" applyFont="1" applyBorder="1" applyAlignment="1">
      <alignment horizontal="left"/>
    </xf>
    <xf numFmtId="0" fontId="14" fillId="0" borderId="15" xfId="12" applyFont="1" applyBorder="1" applyAlignment="1">
      <alignment horizontal="center" vertical="center" wrapText="1"/>
    </xf>
    <xf numFmtId="0" fontId="14" fillId="0" borderId="16" xfId="12" applyFont="1" applyBorder="1" applyAlignment="1">
      <alignment horizontal="center" vertical="center" wrapText="1"/>
    </xf>
    <xf numFmtId="0" fontId="14" fillId="0" borderId="17" xfId="12" applyFont="1" applyBorder="1" applyAlignment="1">
      <alignment horizontal="center" vertical="center" wrapText="1"/>
    </xf>
    <xf numFmtId="0" fontId="14" fillId="0" borderId="40" xfId="12" applyFont="1" applyBorder="1" applyAlignment="1">
      <alignment horizontal="center" vertical="center" wrapText="1"/>
    </xf>
    <xf numFmtId="0" fontId="14" fillId="0" borderId="41" xfId="12" applyFont="1" applyBorder="1" applyAlignment="1">
      <alignment horizontal="center" vertical="center" wrapText="1"/>
    </xf>
    <xf numFmtId="0" fontId="14" fillId="0" borderId="42" xfId="12" applyFont="1" applyBorder="1" applyAlignment="1">
      <alignment horizontal="center" vertical="center" wrapText="1"/>
    </xf>
    <xf numFmtId="0" fontId="14" fillId="6" borderId="30" xfId="12" applyFont="1" applyFill="1" applyBorder="1" applyAlignment="1">
      <alignment horizontal="center" vertical="center"/>
    </xf>
    <xf numFmtId="0" fontId="14" fillId="6" borderId="31" xfId="12" applyFont="1" applyFill="1" applyBorder="1" applyAlignment="1">
      <alignment horizontal="center" vertical="center"/>
    </xf>
    <xf numFmtId="0" fontId="14" fillId="0" borderId="35" xfId="12" applyFont="1" applyBorder="1" applyAlignment="1">
      <alignment horizontal="center" vertical="center"/>
    </xf>
    <xf numFmtId="0" fontId="14" fillId="0" borderId="0" xfId="12" applyFont="1" applyAlignment="1">
      <alignment horizontal="center" vertical="center"/>
    </xf>
    <xf numFmtId="0" fontId="14" fillId="0" borderId="39" xfId="12" applyFont="1" applyBorder="1" applyAlignment="1">
      <alignment horizontal="center" vertical="center"/>
    </xf>
    <xf numFmtId="0" fontId="14" fillId="0" borderId="35" xfId="12" applyFont="1" applyBorder="1" applyAlignment="1">
      <alignment horizontal="center" vertical="center" wrapText="1"/>
    </xf>
    <xf numFmtId="0" fontId="14" fillId="0" borderId="0" xfId="12" applyFont="1" applyAlignment="1">
      <alignment horizontal="center" vertical="center" wrapText="1"/>
    </xf>
    <xf numFmtId="0" fontId="14" fillId="0" borderId="39" xfId="12" applyFont="1" applyBorder="1" applyAlignment="1">
      <alignment horizontal="center" vertical="center" wrapText="1"/>
    </xf>
    <xf numFmtId="0" fontId="21" fillId="0" borderId="30" xfId="12" applyFont="1" applyBorder="1" applyAlignment="1">
      <alignment horizontal="center" vertical="center"/>
    </xf>
    <xf numFmtId="0" fontId="21" fillId="0" borderId="31" xfId="12" applyFont="1" applyBorder="1" applyAlignment="1">
      <alignment horizontal="center" vertical="center"/>
    </xf>
    <xf numFmtId="0" fontId="21" fillId="0" borderId="32" xfId="12" applyFont="1" applyBorder="1" applyAlignment="1">
      <alignment horizontal="center" vertical="center"/>
    </xf>
    <xf numFmtId="0" fontId="14" fillId="0" borderId="15" xfId="12" applyFont="1" applyBorder="1" applyAlignment="1">
      <alignment horizontal="center" vertical="center"/>
    </xf>
    <xf numFmtId="0" fontId="14" fillId="0" borderId="16" xfId="12" applyFont="1" applyBorder="1" applyAlignment="1">
      <alignment horizontal="center" vertical="center"/>
    </xf>
    <xf numFmtId="0" fontId="14" fillId="0" borderId="15" xfId="12" applyFont="1" applyBorder="1" applyAlignment="1">
      <alignment horizontal="left" vertical="center"/>
    </xf>
    <xf numFmtId="0" fontId="14" fillId="0" borderId="16" xfId="12" applyFont="1" applyBorder="1" applyAlignment="1">
      <alignment horizontal="left" vertical="center"/>
    </xf>
    <xf numFmtId="0" fontId="14" fillId="0" borderId="17" xfId="12" applyFont="1" applyBorder="1" applyAlignment="1">
      <alignment horizontal="left" vertical="center"/>
    </xf>
    <xf numFmtId="0" fontId="14" fillId="0" borderId="35" xfId="12" applyFont="1" applyBorder="1" applyAlignment="1">
      <alignment horizontal="center"/>
    </xf>
    <xf numFmtId="0" fontId="14" fillId="0" borderId="0" xfId="12" applyFont="1" applyAlignment="1">
      <alignment horizontal="center"/>
    </xf>
    <xf numFmtId="0" fontId="14" fillId="0" borderId="39" xfId="12" applyFont="1" applyBorder="1" applyAlignment="1">
      <alignment horizontal="center"/>
    </xf>
    <xf numFmtId="0" fontId="14" fillId="0" borderId="30" xfId="12" applyFont="1" applyBorder="1" applyAlignment="1">
      <alignment horizontal="center" vertical="center" wrapText="1"/>
    </xf>
    <xf numFmtId="0" fontId="14" fillId="0" borderId="31" xfId="12" applyFont="1" applyBorder="1" applyAlignment="1">
      <alignment horizontal="center" vertical="center" wrapText="1"/>
    </xf>
    <xf numFmtId="0" fontId="14" fillId="0" borderId="30" xfId="12" applyFont="1" applyBorder="1" applyAlignment="1">
      <alignment horizontal="left" vertical="center" wrapText="1"/>
    </xf>
    <xf numFmtId="0" fontId="14" fillId="0" borderId="31" xfId="12" applyFont="1" applyBorder="1" applyAlignment="1">
      <alignment horizontal="left" vertical="center"/>
    </xf>
    <xf numFmtId="0" fontId="14" fillId="0" borderId="32" xfId="12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16">
    <cellStyle name="20% - Accent4" xfId="2" builtinId="42"/>
    <cellStyle name="40% - Accent3" xfId="1" builtinId="39"/>
    <cellStyle name="40% - Accent5" xfId="3" builtinId="47"/>
    <cellStyle name="40% - Accent6" xfId="4" builtinId="51"/>
    <cellStyle name="Comma" xfId="15" builtinId="3"/>
    <cellStyle name="Comma 2" xfId="5" xr:uid="{00000000-0005-0000-0000-000004000000}"/>
    <cellStyle name="Comma 2 2" xfId="8" xr:uid="{00000000-0005-0000-0000-000005000000}"/>
    <cellStyle name="Comma 2 3" xfId="14" xr:uid="{00000000-0005-0000-0000-000006000000}"/>
    <cellStyle name="Comma 3" xfId="9" xr:uid="{00000000-0005-0000-0000-000007000000}"/>
    <cellStyle name="Comma 4" xfId="7" xr:uid="{00000000-0005-0000-0000-000008000000}"/>
    <cellStyle name="Normal" xfId="0" builtinId="0"/>
    <cellStyle name="Normal 2" xfId="10" xr:uid="{00000000-0005-0000-0000-00000A000000}"/>
    <cellStyle name="Normal 2 2" xfId="12" xr:uid="{00000000-0005-0000-0000-00000B000000}"/>
    <cellStyle name="Normal 3" xfId="13" xr:uid="{00000000-0005-0000-0000-00000C000000}"/>
    <cellStyle name="Normal 6" xfId="11" xr:uid="{00000000-0005-0000-0000-00000D000000}"/>
    <cellStyle name="Percent" xfId="6" builtinId="5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5" formatCode="_(* #,##0.00_);_(* \(#,##0.00\);_(* &quot;-&quot;??_);_(@_)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top style="thin">
          <color theme="3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5" formatCode="_(* #,##0.00_);_(* \(#,##0.00\);_(* &quot;-&quot;??_);_(@_)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border outline="0">
        <top style="thin">
          <color theme="3" tint="-0.249977111117893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theme="3" tint="-0.249977111117893"/>
        </left>
        <right style="thin">
          <color theme="3" tint="-0.249977111117893"/>
        </right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3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/>
        <bottom/>
      </border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459442</xdr:colOff>
      <xdr:row>1</xdr:row>
      <xdr:rowOff>128067</xdr:rowOff>
    </xdr:from>
    <xdr:to>
      <xdr:col>29</xdr:col>
      <xdr:colOff>1321494</xdr:colOff>
      <xdr:row>6</xdr:row>
      <xdr:rowOff>123960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3236" y="307361"/>
          <a:ext cx="1915405" cy="10492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20\TAS_Projects\Users\Danreb%20Pastorin\Desktop\May'17\Ajman%20City%20Centre_May'2017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July'2019/LOR%20EXPO2020%20Dayworks%20July'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Payment%20Application%20Form%20K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E11.Rev1"/>
      <sheetName val="Dayworks - May'17"/>
      <sheetName val="Frontsheet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Ajman City Centre_May'2017 In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AG105" totalsRowCount="1" headerRowDxfId="123" dataDxfId="121" totalsRowDxfId="119" headerRowBorderDxfId="122" tableBorderDxfId="120" totalsRowBorderDxfId="118" headerRowCellStyle="40% - Accent5" dataCellStyle="40% - Accent5">
  <autoFilter ref="A9:AG104" xr:uid="{00000000-0009-0000-0100-000001000000}"/>
  <tableColumns count="33">
    <tableColumn id="1" xr3:uid="{00000000-0010-0000-0000-000001000000}" name="Billing Reference" totalsRowLabel="Total" dataDxfId="117" totalsRowDxfId="32" dataCellStyle="20% - Accent4"/>
    <tableColumn id="17" xr3:uid="{3BFE6B37-D398-4E64-9F1E-A43AB98608D8}" name="Location" dataDxfId="116" totalsRowDxfId="31" dataCellStyle="20% - Accent4"/>
    <tableColumn id="2" xr3:uid="{00000000-0010-0000-0000-000002000000}" name="Tag No." dataDxfId="115" totalsRowDxfId="30" dataCellStyle="20% - Accent4"/>
    <tableColumn id="3" xr3:uid="{00000000-0010-0000-0000-000003000000}" name="HOC" totalsRowFunction="count" dataDxfId="114" totalsRowDxfId="29" dataCellStyle="20% - Accent4"/>
    <tableColumn id="4" xr3:uid="{00000000-0010-0000-0000-000004000000}" name="OHC" totalsRowFunction="count" dataDxfId="113" totalsRowDxfId="28" dataCellStyle="20% - Accent4"/>
    <tableColumn id="6" xr3:uid="{00000000-0010-0000-0000-000006000000}" name="Description" dataDxfId="112" totalsRowDxfId="27" dataCellStyle="20% - Accent4"/>
    <tableColumn id="14" xr3:uid="{89D346EA-51BD-4437-ADE1-726CB91CC5B2}" name="Founding Level" dataDxfId="111" totalsRowDxfId="26" dataCellStyle="20% - Accent4"/>
    <tableColumn id="7" xr3:uid="{00000000-0010-0000-0000-000007000000}" name="Scaffold Type" dataDxfId="110" totalsRowDxfId="25" dataCellStyle="20% - Accent4"/>
    <tableColumn id="8" xr3:uid="{00000000-0010-0000-0000-000008000000}" name="Number" dataDxfId="109" totalsRowDxfId="24" dataCellStyle="20% - Accent4"/>
    <tableColumn id="9" xr3:uid="{00000000-0010-0000-0000-000009000000}" name="Length" dataDxfId="108" totalsRowDxfId="23" dataCellStyle="20% - Accent4"/>
    <tableColumn id="10" xr3:uid="{00000000-0010-0000-0000-00000A000000}" name="Width" dataDxfId="107" totalsRowDxfId="22" dataCellStyle="20% - Accent4"/>
    <tableColumn id="11" xr3:uid="{00000000-0010-0000-0000-00000B000000}" name="Height" dataDxfId="106" totalsRowDxfId="21" dataCellStyle="20% - Accent4"/>
    <tableColumn id="12" xr3:uid="{00000000-0010-0000-0000-00000C000000}" name="Board  Lift" dataDxfId="105" totalsRowDxfId="20" dataCellStyle="20% - Accent4"/>
    <tableColumn id="16" xr3:uid="{00000000-0010-0000-0000-000010000000}" name="Unit of Measure" dataDxfId="104" totalsRowDxfId="19" dataCellStyle="20% - Accent4"/>
    <tableColumn id="15" xr3:uid="{00000000-0010-0000-0000-00000F000000}" name="Quantity" dataDxfId="103" totalsRowDxfId="18" dataCellStyle="20% - Accent4">
      <calculatedColumnFormula>ROUND(IF(N10="m3",I10*J10*K10*L10,IF(N10="m2-LxH",I10*J10*L10,IF(N10="m2-LxW",I10*J10*K10,IF(N10="rm",I10*L10,IF(N10="lm",I10*J10,IF(N10="unit",I10,"NA")))))),2)</calculatedColumnFormula>
    </tableColumn>
    <tableColumn id="18" xr3:uid="{00000000-0010-0000-0000-000012000000}" name="HOC Date" dataDxfId="102" totalsRowDxfId="17" dataCellStyle="40% - Accent3"/>
    <tableColumn id="19" xr3:uid="{00000000-0010-0000-0000-000013000000}" name="OHC Date" dataDxfId="101" totalsRowDxfId="16" dataCellStyle="40% - Accent3"/>
    <tableColumn id="20" xr3:uid="{00000000-0010-0000-0000-000014000000}" name="Erection %" dataDxfId="100" totalsRowDxfId="15" dataCellStyle="Percent"/>
    <tableColumn id="22" xr3:uid="{00000000-0010-0000-0000-000016000000}" name="Hire %" dataDxfId="99" totalsRowDxfId="14" dataCellStyle="Percent"/>
    <tableColumn id="21" xr3:uid="{00000000-0010-0000-0000-000015000000}" name="Dismantle %" dataDxfId="98" totalsRowDxfId="13" dataCellStyle="Percent"/>
    <tableColumn id="24" xr3:uid="{00000000-0010-0000-0000-000018000000}" name="Hire Weeks" dataDxfId="97" totalsRowDxfId="12" dataCellStyle="40% - Accent3">
      <calculatedColumnFormula>IF(ISBLANK(Table1[[#This Row],[OHC Date]]),$B$7-Table1[[#This Row],[HOC Date]]+1,Table1[[#This Row],[OHC Date]]-Table1[[#This Row],[HOC Date]]+1)/7</calculatedColumnFormula>
    </tableColumn>
    <tableColumn id="25" xr3:uid="{00000000-0010-0000-0000-000019000000}" name="E&amp;D Rate per unit" dataDxfId="96" totalsRowDxfId="11" dataCellStyle="40% - Accent5"/>
    <tableColumn id="26" xr3:uid="{00000000-0010-0000-0000-00001A000000}" name="Hire Rate per week" dataDxfId="95" totalsRowDxfId="10" dataCellStyle="40% - Accent5"/>
    <tableColumn id="28" xr3:uid="{00000000-0010-0000-0000-00001C000000}" name="Erect Charges" totalsRowFunction="sum" dataDxfId="94" totalsRowDxfId="9" dataCellStyle="40% - Accent5">
      <calculatedColumnFormula>ROUND(0.7*Table1[[#This Row],[E&amp;D Rate per unit]]*R10*Table1[[#This Row],[Quantity]],2)</calculatedColumnFormula>
    </tableColumn>
    <tableColumn id="30" xr3:uid="{00000000-0010-0000-0000-00001E000000}" name="Hire Charges" totalsRowFunction="sum" dataDxfId="93" totalsRowDxfId="8" dataCellStyle="40% - Accent5">
      <calculatedColumnFormula>ROUND(O10*U10*W10*S10,2)</calculatedColumnFormula>
    </tableColumn>
    <tableColumn id="29" xr3:uid="{00000000-0010-0000-0000-00001D000000}" name="Dismantle Charges" totalsRowFunction="sum" dataDxfId="92" totalsRowDxfId="7" dataCellStyle="40% - Accent5">
      <calculatedColumnFormula>ROUND(0.3*T10*Table1[[#This Row],[E&amp;D Rate per unit]]*Table1[[#This Row],[Quantity]],2)</calculatedColumnFormula>
    </tableColumn>
    <tableColumn id="33" xr3:uid="{00000000-0010-0000-0000-000021000000}" name="Total Amount" totalsRowFunction="sum" dataDxfId="91" totalsRowDxfId="6" dataCellStyle="40% - Accent5"/>
    <tableColumn id="5" xr3:uid="{6A22415C-3242-4E4A-90A0-17BB2F71EF32}" name="Previous Amount" totalsRowFunction="sum" dataDxfId="90" totalsRowDxfId="5" dataCellStyle="40% - Accent5"/>
    <tableColumn id="13" xr3:uid="{9D149D36-4A49-4A54-8D1A-884C86FB6D29}" name="Net Amount" totalsRowFunction="sum" dataDxfId="89" totalsRowDxfId="4" dataCellStyle="40% - Accent5"/>
    <tableColumn id="36" xr3:uid="{00000000-0010-0000-0000-000024000000}" name="Remarks" dataDxfId="88" totalsRowDxfId="3" dataCellStyle="40% - Accent6"/>
    <tableColumn id="31" xr3:uid="{EBDADF94-5AF2-4BB7-A70C-E61641815742}" name="Certified Amount (Previous)" totalsRowFunction="sum" dataDxfId="87" totalsRowDxfId="2" dataCellStyle="Comma"/>
    <tableColumn id="23" xr3:uid="{1B08143D-E37E-45A5-BF81-13008AD702B1}" name="Certified Amount (This Month)" totalsRowFunction="sum" dataDxfId="86" totalsRowDxfId="1" dataCellStyle="Comma">
      <calculatedColumnFormula>Table1[[#This Row],[Certified Amount (Cum)]]-Table1[[#This Row],[Certified Amount (Previous)]]</calculatedColumnFormula>
    </tableColumn>
    <tableColumn id="27" xr3:uid="{0535C89C-159C-449C-A5A6-A1BEE0B091E2}" name="Certified Amount (Cum)" totalsRowFunction="sum" dataDxfId="85" totalsRowDxfId="0" dataCellStyle="Comma">
      <calculatedColumnFormula>SUM(X10,Y10,Z10)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71828-8CF2-4F39-BBB9-A9B56F351B60}" name="Table37" displayName="Table37" ref="A8:E14" totalsRowCount="1" headerRowDxfId="84" headerRowBorderDxfId="83" tableBorderDxfId="82" totalsRowBorderDxfId="81">
  <autoFilter ref="A8:E13" xr:uid="{87A71828-8CF2-4F39-BBB9-A9B56F351B60}"/>
  <tableColumns count="5">
    <tableColumn id="1" xr3:uid="{9DFD6B60-EFCC-44DC-9526-28177157DC4D}" name="DTS" totalsRowLabel="Total" dataDxfId="80" totalsRowDxfId="79"/>
    <tableColumn id="2" xr3:uid="{3214119C-8E47-4625-A5C7-3C0351EF2569}" name="Date" dataDxfId="78" totalsRowDxfId="77"/>
    <tableColumn id="3" xr3:uid="{52AAA9B6-8D47-40F3-A57E-8AFC83DFBE1B}" name="Hrs" totalsRowFunction="sum" dataDxfId="76" totalsRowDxfId="75"/>
    <tableColumn id="5" xr3:uid="{8D44D0A9-1928-4382-9EDA-077FC764060C}" name="Total" totalsRowFunction="sum" dataDxfId="74" totalsRowDxfId="73">
      <calculatedColumnFormula>20.5*C9</calculatedColumnFormula>
    </tableColumn>
    <tableColumn id="7" xr3:uid="{4BC987A9-6C9A-4A27-96DE-C408F67F5E1A}" name="Net" totalsRowFunction="sum" dataDxfId="72" totalsRowDxfId="71">
      <calculatedColumnFormula>Table37[[#This Row],[Total]]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G12" totalsRowCount="1" headerRowDxfId="70" dataDxfId="68" totalsRowDxfId="66" headerRowBorderDxfId="69" tableBorderDxfId="67" totalsRowBorderDxfId="65">
  <autoFilter ref="A8:G11" xr:uid="{00000000-0009-0000-0100-000002000000}"/>
  <tableColumns count="7">
    <tableColumn id="1" xr3:uid="{00000000-0010-0000-0100-000001000000}" name="DTS" totalsRowLabel="Total" dataDxfId="64" totalsRowDxfId="63"/>
    <tableColumn id="2" xr3:uid="{00000000-0010-0000-0100-000002000000}" name="Date" dataDxfId="62" totalsRowDxfId="61"/>
    <tableColumn id="3" xr3:uid="{00000000-0010-0000-0100-000003000000}" name="Scaffolder" dataDxfId="60" totalsRowDxfId="59"/>
    <tableColumn id="4" xr3:uid="{00000000-0010-0000-0100-000004000000}" name="Foreman" dataDxfId="58" totalsRowDxfId="57"/>
    <tableColumn id="7" xr3:uid="{00000000-0010-0000-0100-000007000000}" name="Cumulative" totalsRowFunction="sum" dataDxfId="56" totalsRowDxfId="55"/>
    <tableColumn id="6" xr3:uid="{00000000-0010-0000-0100-000006000000}" name="Previous" totalsRowFunction="sum" dataDxfId="54" totalsRowDxfId="53"/>
    <tableColumn id="5" xr3:uid="{00000000-0010-0000-0100-000005000000}" name="Net" totalsRowFunction="count" dataDxfId="52" totalsRowDxfId="5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J12" totalsRowShown="0">
  <autoFilter ref="A2:J12" xr:uid="{00000000-0009-0000-0100-000004000000}"/>
  <tableColumns count="10">
    <tableColumn id="1" xr3:uid="{00000000-0010-0000-0200-000001000000}" name="Reference"/>
    <tableColumn id="2" xr3:uid="{00000000-0010-0000-0200-000002000000}" name="Description"/>
    <tableColumn id="3" xr3:uid="{00000000-0010-0000-0200-000003000000}" name="Number"/>
    <tableColumn id="4" xr3:uid="{00000000-0010-0000-0200-000004000000}" name="L"/>
    <tableColumn id="5" xr3:uid="{00000000-0010-0000-0200-000005000000}" name="W"/>
    <tableColumn id="6" xr3:uid="{00000000-0010-0000-0200-000006000000}" name="H"/>
    <tableColumn id="7" xr3:uid="{00000000-0010-0000-0200-000007000000}" name="BL"/>
    <tableColumn id="8" xr3:uid="{00000000-0010-0000-0200-000008000000}" name="Item Price"/>
    <tableColumn id="9" xr3:uid="{00000000-0010-0000-0200-000009000000}" name="Period (Wks)"/>
    <tableColumn id="10" xr3:uid="{00000000-0010-0000-0200-00000A000000}" name="Extra Hire per 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8:F17" totalsRowCount="1" headerRowDxfId="50" dataDxfId="48" totalsRowDxfId="46" headerRowBorderDxfId="49" tableBorderDxfId="47" totalsRowBorderDxfId="45">
  <autoFilter ref="A8:F16" xr:uid="{00000000-0009-0000-0100-000003000000}"/>
  <tableColumns count="6">
    <tableColumn id="1" xr3:uid="{00000000-0010-0000-0300-000001000000}" name="Application No." totalsRowLabel="Total" dataDxfId="44" totalsRowDxfId="43"/>
    <tableColumn id="2" xr3:uid="{00000000-0010-0000-0300-000002000000}" name="Application Date" dataDxfId="42" totalsRowDxfId="41"/>
    <tableColumn id="3" xr3:uid="{00000000-0010-0000-0300-000003000000}" name="Works Carried Out" totalsRowFunction="sum" dataDxfId="40" totalsRowDxfId="39"/>
    <tableColumn id="5" xr3:uid="{00000000-0010-0000-0300-000005000000}" name="Day Works" totalsRowFunction="sum" dataDxfId="38" totalsRowDxfId="37"/>
    <tableColumn id="6" xr3:uid="{00000000-0010-0000-0300-000006000000}" name="Total" totalsRowFunction="sum" dataDxfId="36" totalsRowDxfId="35"/>
    <tableColumn id="7" xr3:uid="{00000000-0010-0000-0300-000007000000}" name="Remarks" totalsRowFunction="count" dataDxfId="34" totalsRowDxfId="33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topLeftCell="A4" zoomScaleNormal="100" workbookViewId="0">
      <selection activeCell="G16" sqref="G16:G17"/>
    </sheetView>
  </sheetViews>
  <sheetFormatPr defaultColWidth="9.08984375" defaultRowHeight="14.5" x14ac:dyDescent="0.35"/>
  <cols>
    <col min="1" max="3" width="9.08984375" style="57"/>
    <col min="4" max="4" width="13.453125" style="57" customWidth="1"/>
    <col min="5" max="5" width="17.36328125" style="57" customWidth="1"/>
    <col min="6" max="6" width="15.90625" style="57" customWidth="1"/>
    <col min="7" max="7" width="16.90625" style="57" customWidth="1"/>
    <col min="8" max="9" width="9.08984375" style="57"/>
    <col min="10" max="10" width="10.54296875" style="57" bestFit="1" customWidth="1"/>
    <col min="11" max="12" width="9.08984375" style="57"/>
    <col min="13" max="13" width="0" style="57" hidden="1" customWidth="1"/>
    <col min="14" max="16384" width="9.08984375" style="57"/>
  </cols>
  <sheetData>
    <row r="1" spans="1:13" ht="30.75" customHeight="1" thickBot="1" x14ac:dyDescent="0.4">
      <c r="A1" s="176" t="s">
        <v>174</v>
      </c>
      <c r="B1" s="177"/>
      <c r="C1" s="177"/>
      <c r="D1" s="177"/>
      <c r="E1" s="177"/>
      <c r="F1" s="177"/>
      <c r="G1" s="178"/>
    </row>
    <row r="2" spans="1:13" ht="30.75" customHeight="1" thickBot="1" x14ac:dyDescent="0.4">
      <c r="A2" s="200" t="s">
        <v>302</v>
      </c>
      <c r="B2" s="201"/>
      <c r="C2" s="201"/>
      <c r="D2" s="201"/>
      <c r="E2" s="201"/>
      <c r="F2" s="201"/>
      <c r="G2" s="202"/>
    </row>
    <row r="3" spans="1:13" x14ac:dyDescent="0.35">
      <c r="A3" s="131" t="s">
        <v>58</v>
      </c>
      <c r="B3" s="61"/>
      <c r="C3" s="61"/>
      <c r="D3" s="61"/>
      <c r="E3" s="132" t="s">
        <v>31</v>
      </c>
      <c r="F3" s="133">
        <v>44865</v>
      </c>
      <c r="G3" s="134"/>
      <c r="M3" s="57" t="s">
        <v>98</v>
      </c>
    </row>
    <row r="4" spans="1:13" x14ac:dyDescent="0.35">
      <c r="A4" s="60" t="s">
        <v>59</v>
      </c>
      <c r="B4" s="61"/>
      <c r="C4" s="61"/>
      <c r="D4" s="61"/>
      <c r="E4" s="58" t="s">
        <v>60</v>
      </c>
      <c r="F4" s="59">
        <v>44859</v>
      </c>
      <c r="G4" s="62"/>
      <c r="M4" s="57" t="s">
        <v>99</v>
      </c>
    </row>
    <row r="5" spans="1:13" x14ac:dyDescent="0.35">
      <c r="A5" s="60" t="s">
        <v>61</v>
      </c>
      <c r="B5" s="61"/>
      <c r="C5" s="61"/>
      <c r="D5" s="61"/>
      <c r="E5" s="58" t="s">
        <v>62</v>
      </c>
      <c r="F5" s="63" t="s">
        <v>63</v>
      </c>
      <c r="G5" s="64"/>
    </row>
    <row r="6" spans="1:13" x14ac:dyDescent="0.35">
      <c r="A6" s="179" t="s">
        <v>64</v>
      </c>
      <c r="B6" s="180"/>
      <c r="C6" s="180"/>
      <c r="D6" s="180"/>
      <c r="E6" s="65" t="s">
        <v>65</v>
      </c>
      <c r="F6" s="66" t="s">
        <v>66</v>
      </c>
      <c r="G6" s="67"/>
    </row>
    <row r="7" spans="1:13" x14ac:dyDescent="0.35">
      <c r="A7" s="179" t="s">
        <v>67</v>
      </c>
      <c r="B7" s="180"/>
      <c r="C7" s="180"/>
      <c r="D7" s="180"/>
      <c r="E7" s="68"/>
      <c r="F7" s="69"/>
      <c r="G7" s="70"/>
    </row>
    <row r="8" spans="1:13" ht="15" thickBot="1" x14ac:dyDescent="0.4">
      <c r="A8" s="71" t="s">
        <v>68</v>
      </c>
      <c r="B8" s="72"/>
      <c r="C8" s="72"/>
      <c r="D8" s="72"/>
      <c r="E8" s="73" t="s">
        <v>69</v>
      </c>
      <c r="F8" s="181" t="s">
        <v>70</v>
      </c>
      <c r="G8" s="182"/>
    </row>
    <row r="9" spans="1:13" ht="15" thickBot="1" x14ac:dyDescent="0.4">
      <c r="A9" s="183" t="s">
        <v>171</v>
      </c>
      <c r="B9" s="184"/>
      <c r="C9" s="184"/>
      <c r="D9" s="184"/>
      <c r="E9" s="184"/>
      <c r="F9" s="184"/>
      <c r="G9" s="185"/>
    </row>
    <row r="10" spans="1:13" ht="15.75" customHeight="1" x14ac:dyDescent="0.35">
      <c r="A10" s="186" t="s">
        <v>172</v>
      </c>
      <c r="B10" s="187"/>
      <c r="C10" s="187"/>
      <c r="D10" s="187"/>
      <c r="E10" s="187"/>
      <c r="F10" s="187"/>
      <c r="G10" s="188"/>
    </row>
    <row r="11" spans="1:13" ht="15.75" customHeight="1" thickBot="1" x14ac:dyDescent="0.4">
      <c r="A11" s="189"/>
      <c r="B11" s="190"/>
      <c r="C11" s="190"/>
      <c r="D11" s="190"/>
      <c r="E11" s="190"/>
      <c r="F11" s="190"/>
      <c r="G11" s="191"/>
    </row>
    <row r="12" spans="1:13" ht="42.5" thickBot="1" x14ac:dyDescent="0.4">
      <c r="A12" s="192" t="s">
        <v>6</v>
      </c>
      <c r="B12" s="193"/>
      <c r="C12" s="193"/>
      <c r="D12" s="193"/>
      <c r="E12" s="74" t="s">
        <v>71</v>
      </c>
      <c r="F12" s="75" t="s">
        <v>72</v>
      </c>
      <c r="G12" s="76" t="s">
        <v>73</v>
      </c>
    </row>
    <row r="13" spans="1:13" x14ac:dyDescent="0.35">
      <c r="A13" s="194"/>
      <c r="B13" s="195"/>
      <c r="C13" s="195"/>
      <c r="D13" s="195"/>
      <c r="E13" s="77"/>
      <c r="F13" s="77"/>
      <c r="G13" s="78"/>
    </row>
    <row r="14" spans="1:13" x14ac:dyDescent="0.35">
      <c r="A14" s="194" t="s">
        <v>173</v>
      </c>
      <c r="B14" s="195"/>
      <c r="C14" s="195"/>
      <c r="D14" s="196"/>
      <c r="E14" s="78"/>
      <c r="F14" s="78"/>
      <c r="G14" s="78"/>
    </row>
    <row r="15" spans="1:13" x14ac:dyDescent="0.35">
      <c r="A15" s="79"/>
      <c r="B15" s="80"/>
      <c r="C15" s="80"/>
      <c r="D15" s="80"/>
      <c r="E15" s="78"/>
      <c r="F15" s="78"/>
      <c r="G15" s="78"/>
    </row>
    <row r="16" spans="1:13" ht="21.75" customHeight="1" x14ac:dyDescent="0.35">
      <c r="A16" s="197" t="s">
        <v>74</v>
      </c>
      <c r="B16" s="198"/>
      <c r="C16" s="198"/>
      <c r="D16" s="199"/>
      <c r="E16" s="166">
        <f>Evaluation!AE12</f>
        <v>86977.8</v>
      </c>
      <c r="F16" s="167">
        <f>Evaluation!AF12</f>
        <v>72956.059999999983</v>
      </c>
      <c r="G16" s="167">
        <f>E16+F16</f>
        <v>159933.85999999999</v>
      </c>
    </row>
    <row r="17" spans="1:10" ht="21.75" customHeight="1" x14ac:dyDescent="0.35">
      <c r="A17" s="197" t="s">
        <v>82</v>
      </c>
      <c r="B17" s="198"/>
      <c r="C17" s="198"/>
      <c r="D17" s="199"/>
      <c r="E17" s="166">
        <f>SUM(Evaluation!AE10,Evaluation!AE13:AE19)</f>
        <v>37852.409999999996</v>
      </c>
      <c r="F17" s="168">
        <f>SUM(Evaluation!AF13:AF104,Evaluation!AF10)</f>
        <v>148671.72999999998</v>
      </c>
      <c r="G17" s="167">
        <f>E17+F17</f>
        <v>186524.13999999998</v>
      </c>
    </row>
    <row r="18" spans="1:10" ht="21.75" customHeight="1" x14ac:dyDescent="0.35">
      <c r="A18" s="197" t="s">
        <v>80</v>
      </c>
      <c r="B18" s="198"/>
      <c r="C18" s="198"/>
      <c r="D18" s="199"/>
      <c r="E18" s="166">
        <v>0</v>
      </c>
      <c r="F18" s="167">
        <v>1271</v>
      </c>
      <c r="G18" s="167">
        <f>E18+F18</f>
        <v>1271</v>
      </c>
    </row>
    <row r="19" spans="1:10" ht="21.75" customHeight="1" x14ac:dyDescent="0.35">
      <c r="A19" s="128"/>
      <c r="B19" s="130"/>
      <c r="C19" s="130"/>
      <c r="D19" s="129"/>
      <c r="E19" s="81"/>
      <c r="F19" s="78"/>
      <c r="G19" s="78"/>
    </row>
    <row r="20" spans="1:10" ht="21.75" customHeight="1" x14ac:dyDescent="0.35">
      <c r="A20" s="128"/>
      <c r="B20" s="130"/>
      <c r="C20" s="130"/>
      <c r="D20" s="129"/>
      <c r="E20" s="81"/>
      <c r="F20" s="78"/>
      <c r="G20" s="78"/>
    </row>
    <row r="21" spans="1:10" ht="21.75" customHeight="1" x14ac:dyDescent="0.35">
      <c r="A21" s="128"/>
      <c r="B21" s="130"/>
      <c r="C21" s="130"/>
      <c r="D21" s="129"/>
      <c r="E21" s="81"/>
      <c r="F21" s="78"/>
      <c r="G21" s="78"/>
    </row>
    <row r="22" spans="1:10" ht="21.75" customHeight="1" x14ac:dyDescent="0.35">
      <c r="A22" s="128"/>
      <c r="B22" s="130"/>
      <c r="C22" s="130"/>
      <c r="D22" s="129"/>
      <c r="E22" s="81"/>
      <c r="F22" s="78"/>
      <c r="G22" s="78"/>
    </row>
    <row r="23" spans="1:10" x14ac:dyDescent="0.35">
      <c r="A23" s="173"/>
      <c r="B23" s="174"/>
      <c r="C23" s="174"/>
      <c r="D23" s="175"/>
      <c r="E23" s="82"/>
      <c r="F23" s="78"/>
      <c r="G23" s="78"/>
      <c r="J23" s="83"/>
    </row>
    <row r="24" spans="1:10" ht="17" customHeight="1" x14ac:dyDescent="0.35">
      <c r="A24" s="173"/>
      <c r="B24" s="174"/>
      <c r="C24" s="174"/>
      <c r="D24" s="175"/>
      <c r="E24" s="78"/>
      <c r="F24" s="82"/>
      <c r="G24" s="78"/>
    </row>
    <row r="25" spans="1:10" x14ac:dyDescent="0.35">
      <c r="A25" s="173"/>
      <c r="B25" s="174"/>
      <c r="C25" s="174"/>
      <c r="D25" s="175"/>
      <c r="E25" s="78"/>
      <c r="F25" s="82"/>
      <c r="G25" s="78"/>
    </row>
    <row r="26" spans="1:10" ht="15" thickBot="1" x14ac:dyDescent="0.4">
      <c r="A26" s="208"/>
      <c r="B26" s="209"/>
      <c r="C26" s="209"/>
      <c r="D26" s="210"/>
      <c r="E26" s="78"/>
      <c r="F26" s="82"/>
      <c r="G26" s="78"/>
    </row>
    <row r="27" spans="1:10" ht="35" customHeight="1" thickBot="1" x14ac:dyDescent="0.4">
      <c r="A27" s="211" t="s">
        <v>34</v>
      </c>
      <c r="B27" s="212"/>
      <c r="C27" s="212"/>
      <c r="D27" s="212"/>
      <c r="E27" s="88">
        <f>SUM(E16:E26)</f>
        <v>124830.20999999999</v>
      </c>
      <c r="F27" s="88">
        <f>SUM(F16:F26)</f>
        <v>222898.78999999998</v>
      </c>
      <c r="G27" s="88">
        <f>SUM(G16:G26)</f>
        <v>347729</v>
      </c>
    </row>
    <row r="28" spans="1:10" ht="35" customHeight="1" thickBot="1" x14ac:dyDescent="0.4">
      <c r="A28" s="213" t="s">
        <v>303</v>
      </c>
      <c r="B28" s="214"/>
      <c r="C28" s="214"/>
      <c r="D28" s="214"/>
      <c r="E28" s="214"/>
      <c r="F28" s="214"/>
      <c r="G28" s="215"/>
    </row>
    <row r="29" spans="1:10" x14ac:dyDescent="0.35">
      <c r="A29" s="203" t="s">
        <v>75</v>
      </c>
      <c r="B29" s="204"/>
      <c r="C29" s="204"/>
      <c r="D29" s="204"/>
      <c r="E29" s="205" t="s">
        <v>76</v>
      </c>
      <c r="F29" s="206"/>
      <c r="G29" s="207"/>
    </row>
    <row r="30" spans="1:10" x14ac:dyDescent="0.35">
      <c r="A30" s="79"/>
      <c r="B30" s="80"/>
      <c r="C30" s="80"/>
      <c r="D30" s="80"/>
      <c r="E30" s="89"/>
      <c r="F30" s="90"/>
      <c r="G30" s="70"/>
    </row>
    <row r="31" spans="1:10" x14ac:dyDescent="0.35">
      <c r="A31" s="79"/>
      <c r="B31" s="80"/>
      <c r="C31" s="80"/>
      <c r="D31" s="80"/>
      <c r="E31" s="89"/>
      <c r="F31" s="90"/>
      <c r="G31" s="70"/>
    </row>
    <row r="32" spans="1:10" x14ac:dyDescent="0.35">
      <c r="A32" s="79"/>
      <c r="B32" s="80"/>
      <c r="C32" s="80"/>
      <c r="D32" s="80"/>
      <c r="E32" s="89"/>
      <c r="F32" s="90"/>
      <c r="G32" s="70"/>
    </row>
    <row r="33" spans="1:7" x14ac:dyDescent="0.35">
      <c r="A33" s="79"/>
      <c r="B33" s="80"/>
      <c r="C33" s="80"/>
      <c r="D33" s="80"/>
      <c r="E33" s="89"/>
      <c r="F33" s="90"/>
      <c r="G33" s="70"/>
    </row>
    <row r="34" spans="1:7" x14ac:dyDescent="0.35">
      <c r="A34" s="79"/>
      <c r="B34" s="80"/>
      <c r="C34" s="80"/>
      <c r="D34" s="80"/>
      <c r="E34" s="89"/>
      <c r="F34" s="90"/>
      <c r="G34" s="70"/>
    </row>
    <row r="35" spans="1:7" x14ac:dyDescent="0.35">
      <c r="A35" s="79"/>
      <c r="B35" s="80"/>
      <c r="C35" s="80"/>
      <c r="D35" s="80"/>
      <c r="E35" s="89"/>
      <c r="F35" s="90"/>
      <c r="G35" s="70"/>
    </row>
    <row r="36" spans="1:7" x14ac:dyDescent="0.35">
      <c r="A36" s="71"/>
      <c r="B36" s="72"/>
      <c r="C36" s="72"/>
      <c r="D36" s="72"/>
      <c r="E36" s="71"/>
      <c r="F36" s="72"/>
      <c r="G36" s="84"/>
    </row>
    <row r="37" spans="1:7" ht="15" thickBot="1" x14ac:dyDescent="0.4">
      <c r="A37" s="85"/>
      <c r="B37" s="86"/>
      <c r="C37" s="86"/>
      <c r="D37" s="86"/>
      <c r="E37" s="85" t="s">
        <v>77</v>
      </c>
      <c r="F37" s="86"/>
      <c r="G37" s="87"/>
    </row>
    <row r="38" spans="1:7" x14ac:dyDescent="0.35">
      <c r="A38" s="72" t="s">
        <v>78</v>
      </c>
      <c r="B38" s="72"/>
      <c r="C38" s="72"/>
      <c r="D38" s="72"/>
      <c r="E38" s="72"/>
      <c r="F38" s="72"/>
      <c r="G38" s="72"/>
    </row>
  </sheetData>
  <mergeCells count="21">
    <mergeCell ref="A29:D29"/>
    <mergeCell ref="E29:G29"/>
    <mergeCell ref="A25:D25"/>
    <mergeCell ref="A26:D26"/>
    <mergeCell ref="A27:D27"/>
    <mergeCell ref="A28:G28"/>
    <mergeCell ref="A24:D24"/>
    <mergeCell ref="A1:G1"/>
    <mergeCell ref="A6:D6"/>
    <mergeCell ref="A7:D7"/>
    <mergeCell ref="F8:G8"/>
    <mergeCell ref="A9:G9"/>
    <mergeCell ref="A10:G11"/>
    <mergeCell ref="A12:D12"/>
    <mergeCell ref="A13:D13"/>
    <mergeCell ref="A14:D14"/>
    <mergeCell ref="A16:D16"/>
    <mergeCell ref="A23:D23"/>
    <mergeCell ref="A17:D17"/>
    <mergeCell ref="A18:D18"/>
    <mergeCell ref="A2:G2"/>
  </mergeCells>
  <printOptions horizontalCentered="1" verticalCentered="1"/>
  <pageMargins left="0.70866141732283505" right="0.70866141732283505" top="1.04270833333333" bottom="0.74803149606299202" header="0.31496062992126" footer="0.31496062992126"/>
  <pageSetup paperSize="9" scale="96" orientation="portrait" verticalDpi="4294967293" r:id="rId1"/>
  <headerFooter>
    <oddHeader>&amp;R&amp;G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19"/>
  <sheetViews>
    <sheetView tabSelected="1" view="pageBreakPreview" topLeftCell="S82" zoomScaleNormal="70" zoomScaleSheetLayoutView="100" workbookViewId="0">
      <selection activeCell="AG10" sqref="AG10"/>
    </sheetView>
  </sheetViews>
  <sheetFormatPr defaultColWidth="9.08984375" defaultRowHeight="14.5" x14ac:dyDescent="0.35"/>
  <cols>
    <col min="1" max="1" width="30.54296875" style="8" customWidth="1"/>
    <col min="2" max="2" width="22.90625" style="8" customWidth="1"/>
    <col min="3" max="3" width="9.90625" style="8" customWidth="1"/>
    <col min="4" max="5" width="12.90625" style="8" customWidth="1"/>
    <col min="6" max="6" width="36.453125" style="13" customWidth="1"/>
    <col min="7" max="7" width="14" style="13" customWidth="1"/>
    <col min="8" max="8" width="28.36328125" style="8" bestFit="1" customWidth="1"/>
    <col min="9" max="13" width="10.6328125" style="8" customWidth="1"/>
    <col min="14" max="14" width="12.36328125" style="8" customWidth="1"/>
    <col min="15" max="15" width="15.6328125" style="8" customWidth="1"/>
    <col min="16" max="16" width="11.90625" style="127" customWidth="1"/>
    <col min="17" max="17" width="11.54296875" style="123" customWidth="1"/>
    <col min="18" max="20" width="10.90625" style="8" customWidth="1"/>
    <col min="21" max="21" width="10.08984375" style="8" customWidth="1"/>
    <col min="22" max="22" width="14.453125" customWidth="1"/>
    <col min="23" max="29" width="15.6328125" style="8" customWidth="1"/>
    <col min="30" max="30" width="24.90625" style="8" bestFit="1" customWidth="1"/>
    <col min="31" max="31" width="21.08984375" style="153" customWidth="1"/>
    <col min="32" max="32" width="21.6328125" style="153" customWidth="1"/>
    <col min="33" max="33" width="19.08984375" style="153" customWidth="1"/>
    <col min="34" max="34" width="26.90625" style="8" customWidth="1"/>
    <col min="35" max="35" width="17.90625" style="8" bestFit="1" customWidth="1"/>
    <col min="36" max="16384" width="9.08984375" style="8"/>
  </cols>
  <sheetData>
    <row r="1" spans="1:34" ht="14" x14ac:dyDescent="0.3">
      <c r="P1" s="123"/>
      <c r="V1" s="8"/>
    </row>
    <row r="2" spans="1:34" ht="25" x14ac:dyDescent="0.5">
      <c r="A2" s="216" t="s">
        <v>19</v>
      </c>
      <c r="B2" s="216"/>
      <c r="C2" s="216"/>
      <c r="D2" s="216"/>
      <c r="E2" s="216"/>
      <c r="F2" s="8"/>
      <c r="G2" s="8"/>
      <c r="P2" s="123"/>
      <c r="V2" s="8"/>
    </row>
    <row r="3" spans="1:34" ht="14" x14ac:dyDescent="0.3">
      <c r="A3" s="217" t="s">
        <v>57</v>
      </c>
      <c r="B3" s="217"/>
      <c r="C3" s="217"/>
      <c r="D3" s="217"/>
      <c r="E3" s="217"/>
      <c r="F3" s="8"/>
      <c r="G3" s="8"/>
      <c r="P3" s="123"/>
      <c r="V3" s="8"/>
    </row>
    <row r="4" spans="1:34" ht="14" x14ac:dyDescent="0.3">
      <c r="A4" s="9" t="s">
        <v>20</v>
      </c>
      <c r="B4" s="9">
        <v>2</v>
      </c>
      <c r="F4" s="8"/>
      <c r="G4" s="8"/>
      <c r="P4" s="123"/>
      <c r="V4" s="8"/>
    </row>
    <row r="5" spans="1:34" ht="14" x14ac:dyDescent="0.3">
      <c r="A5" s="9" t="s">
        <v>16</v>
      </c>
      <c r="B5" s="9" t="s">
        <v>88</v>
      </c>
      <c r="F5" s="8"/>
      <c r="G5" s="8"/>
      <c r="P5" s="123"/>
      <c r="V5" s="8"/>
    </row>
    <row r="6" spans="1:34" ht="14" x14ac:dyDescent="0.3">
      <c r="A6" s="9" t="s">
        <v>55</v>
      </c>
      <c r="B6" s="9" t="s">
        <v>87</v>
      </c>
      <c r="F6" s="159"/>
      <c r="G6" s="8" t="s">
        <v>308</v>
      </c>
      <c r="I6" s="9"/>
      <c r="P6" s="123"/>
      <c r="V6" s="8"/>
    </row>
    <row r="7" spans="1:34" ht="14" x14ac:dyDescent="0.3">
      <c r="A7" s="9" t="s">
        <v>89</v>
      </c>
      <c r="B7" s="10">
        <v>44859</v>
      </c>
      <c r="D7" s="9"/>
      <c r="E7" s="9"/>
      <c r="F7" s="160"/>
      <c r="G7" s="8" t="s">
        <v>307</v>
      </c>
      <c r="H7" s="11"/>
      <c r="I7" s="12"/>
      <c r="P7" s="123"/>
      <c r="Q7" s="155"/>
      <c r="U7" s="8">
        <f>Q11-P11</f>
        <v>16</v>
      </c>
      <c r="V7" s="156">
        <f>U7/7</f>
        <v>2.2857142857142856</v>
      </c>
    </row>
    <row r="8" spans="1:34" ht="14" x14ac:dyDescent="0.3">
      <c r="A8" s="9"/>
      <c r="B8" s="9"/>
      <c r="C8" s="10"/>
      <c r="D8" s="9"/>
      <c r="E8" s="9"/>
      <c r="F8" s="8"/>
      <c r="G8" s="8"/>
      <c r="H8" s="11"/>
      <c r="I8" s="12"/>
      <c r="P8" s="123"/>
      <c r="V8" s="8"/>
    </row>
    <row r="9" spans="1:34" s="15" customFormat="1" ht="30" customHeight="1" x14ac:dyDescent="0.35">
      <c r="A9" s="7" t="s">
        <v>13</v>
      </c>
      <c r="B9" s="7" t="s">
        <v>90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84</v>
      </c>
      <c r="H9" s="3" t="s">
        <v>18</v>
      </c>
      <c r="I9" s="3" t="s">
        <v>22</v>
      </c>
      <c r="J9" s="3" t="s">
        <v>0</v>
      </c>
      <c r="K9" s="3" t="s">
        <v>1</v>
      </c>
      <c r="L9" s="3" t="s">
        <v>2</v>
      </c>
      <c r="M9" s="3" t="s">
        <v>7</v>
      </c>
      <c r="N9" s="3" t="s">
        <v>9</v>
      </c>
      <c r="O9" s="3" t="s">
        <v>8</v>
      </c>
      <c r="P9" s="124" t="s">
        <v>10</v>
      </c>
      <c r="Q9" s="124" t="s">
        <v>11</v>
      </c>
      <c r="R9" s="4" t="s">
        <v>28</v>
      </c>
      <c r="S9" s="4" t="s">
        <v>29</v>
      </c>
      <c r="T9" s="4" t="s">
        <v>27</v>
      </c>
      <c r="U9" s="4" t="s">
        <v>101</v>
      </c>
      <c r="V9" s="5" t="s">
        <v>12</v>
      </c>
      <c r="W9" s="5" t="s">
        <v>38</v>
      </c>
      <c r="X9" s="5" t="s">
        <v>23</v>
      </c>
      <c r="Y9" s="5" t="s">
        <v>25</v>
      </c>
      <c r="Z9" s="5" t="s">
        <v>24</v>
      </c>
      <c r="AA9" s="6" t="s">
        <v>26</v>
      </c>
      <c r="AB9" s="135" t="s">
        <v>175</v>
      </c>
      <c r="AC9" s="135" t="s">
        <v>176</v>
      </c>
      <c r="AD9" s="14" t="s">
        <v>14</v>
      </c>
      <c r="AE9" s="154" t="s">
        <v>309</v>
      </c>
      <c r="AF9" s="154" t="s">
        <v>305</v>
      </c>
      <c r="AG9" s="154" t="s">
        <v>304</v>
      </c>
      <c r="AH9" s="15" t="s">
        <v>306</v>
      </c>
    </row>
    <row r="10" spans="1:34" ht="30" customHeight="1" x14ac:dyDescent="0.3">
      <c r="A10" s="91" t="s">
        <v>96</v>
      </c>
      <c r="B10" s="91" t="s">
        <v>98</v>
      </c>
      <c r="C10" s="16">
        <v>1</v>
      </c>
      <c r="D10" s="16">
        <v>74602</v>
      </c>
      <c r="E10" s="16"/>
      <c r="F10" s="17" t="s">
        <v>83</v>
      </c>
      <c r="G10" s="17" t="s">
        <v>86</v>
      </c>
      <c r="H10" s="17" t="s">
        <v>100</v>
      </c>
      <c r="I10" s="16">
        <v>1</v>
      </c>
      <c r="J10" s="16"/>
      <c r="K10" s="16"/>
      <c r="L10" s="16"/>
      <c r="M10" s="16"/>
      <c r="N10" s="92" t="s">
        <v>56</v>
      </c>
      <c r="O10" s="16">
        <f>ROUND(IF(N10="m3",I10*J10*K10*L10,IF(N10="m2-LxH",I10*J10*L10,IF(N10="m2-LxW",I10*J10*K10,IF(N10="rm",I10*L10,IF(N10="lm",I10*J10,IF(N10="unit",I10,"NA")))))),2)</f>
        <v>1</v>
      </c>
      <c r="P10" s="18">
        <v>44830</v>
      </c>
      <c r="Q10" s="18"/>
      <c r="R10" s="19">
        <v>1</v>
      </c>
      <c r="S10" s="19">
        <v>1</v>
      </c>
      <c r="T10" s="19">
        <v>0</v>
      </c>
      <c r="U10" s="171">
        <f>IF(ISBLANK(Table1[[#This Row],[OHC Date]]),$B$7-Table1[[#This Row],[HOC Date]]+1,Table1[[#This Row],[OHC Date]]-Table1[[#This Row],[HOC Date]]+1)/7</f>
        <v>4.2857142857142856</v>
      </c>
      <c r="V10" s="151">
        <v>50703.26</v>
      </c>
      <c r="W10" s="151">
        <v>2807</v>
      </c>
      <c r="X10" s="20">
        <f>ROUND(0.7*Table1[[#This Row],[E&amp;D Rate per unit]]*R10*Table1[[#This Row],[Quantity]],2)</f>
        <v>35492.28</v>
      </c>
      <c r="Y10" s="20">
        <f>ROUND(O10*U10*W10*S10,2)</f>
        <v>12030</v>
      </c>
      <c r="Z10" s="20">
        <f>ROUND(0.3*T10*Table1[[#This Row],[E&amp;D Rate per unit]]*Table1[[#This Row],[Quantity]],2)</f>
        <v>0</v>
      </c>
      <c r="AA10" s="20">
        <v>47522.28</v>
      </c>
      <c r="AB10" s="20">
        <v>37497.279999999999</v>
      </c>
      <c r="AC10" s="20">
        <v>10025</v>
      </c>
      <c r="AD10" s="16" t="s">
        <v>85</v>
      </c>
      <c r="AE10" s="161">
        <v>37497.279999999999</v>
      </c>
      <c r="AF10" s="158">
        <f>Table1[[#This Row],[Certified Amount (Cum)]]-Table1[[#This Row],[Certified Amount (Previous)]]</f>
        <v>10025</v>
      </c>
      <c r="AG10" s="158">
        <f>SUM(X10,Y10,Z10)</f>
        <v>47522.28</v>
      </c>
      <c r="AH10" s="172">
        <f>Table1[[#This Row],[Certified Amount (Cum)]]-Table1[[#This Row],[Total Amount]]</f>
        <v>0</v>
      </c>
    </row>
    <row r="11" spans="1:34" ht="30" customHeight="1" x14ac:dyDescent="0.3">
      <c r="A11" s="91" t="s">
        <v>92</v>
      </c>
      <c r="B11" s="91" t="s">
        <v>99</v>
      </c>
      <c r="C11" s="16"/>
      <c r="D11" s="16"/>
      <c r="E11" s="16"/>
      <c r="F11" s="17" t="s">
        <v>102</v>
      </c>
      <c r="G11" s="17" t="s">
        <v>103</v>
      </c>
      <c r="H11" s="16" t="s">
        <v>103</v>
      </c>
      <c r="I11" s="16">
        <v>1</v>
      </c>
      <c r="J11" s="16"/>
      <c r="K11" s="16"/>
      <c r="L11" s="16"/>
      <c r="M11" s="16"/>
      <c r="N11" s="92" t="s">
        <v>56</v>
      </c>
      <c r="O11" s="16">
        <f>ROUND(IF(N11="m3",I11*J11*K11*L11,IF(N11="m2-LxH",I11*J11*L11,IF(N11="m2-LxW",I11*J11*K11,IF(N11="rm",I11*L11,IF(N11="lm",I11*J11,IF(N11="unit",I11,"NA")))))),2)</f>
        <v>1</v>
      </c>
      <c r="P11" s="18">
        <v>44819</v>
      </c>
      <c r="Q11" s="18">
        <v>44835</v>
      </c>
      <c r="R11" s="19">
        <v>0</v>
      </c>
      <c r="S11" s="19">
        <v>1</v>
      </c>
      <c r="T11" s="19">
        <v>0</v>
      </c>
      <c r="U11" s="171">
        <f>IF(ISBLANK(Table1[[#This Row],[OHC Date]]),$B$7-Table1[[#This Row],[HOC Date]]+1,Table1[[#This Row],[OHC Date]]-Table1[[#This Row],[HOC Date]]+1)/7</f>
        <v>2.4285714285714284</v>
      </c>
      <c r="V11" s="20">
        <v>0</v>
      </c>
      <c r="W11" s="20">
        <v>200</v>
      </c>
      <c r="X11" s="20">
        <f>ROUND(0.7*Table1[[#This Row],[E&amp;D Rate per unit]]*R11*Table1[[#This Row],[Quantity]],2)</f>
        <v>0</v>
      </c>
      <c r="Y11" s="20">
        <f>ROUND(O11*U11*W11*S11,2)</f>
        <v>485.71</v>
      </c>
      <c r="Z11" s="20">
        <f>ROUND(0.3*T11*Table1[[#This Row],[E&amp;D Rate per unit]]*Table1[[#This Row],[Quantity]],2)</f>
        <v>0</v>
      </c>
      <c r="AA11" s="20">
        <v>485.71</v>
      </c>
      <c r="AB11" s="20">
        <v>457.14</v>
      </c>
      <c r="AC11" s="20">
        <v>28.569999999999993</v>
      </c>
      <c r="AD11" s="16" t="s">
        <v>104</v>
      </c>
      <c r="AE11" s="161">
        <v>0</v>
      </c>
      <c r="AF11" s="158">
        <f>Table1[[#This Row],[Certified Amount (Cum)]]-Table1[[#This Row],[Certified Amount (Previous)]]</f>
        <v>485.71</v>
      </c>
      <c r="AG11" s="158">
        <f t="shared" ref="AG11:AG73" si="0">SUM(X11,Y11,Z11)</f>
        <v>485.71</v>
      </c>
      <c r="AH11" s="172">
        <f>Table1[[#This Row],[Certified Amount (Cum)]]-Table1[[#This Row],[Total Amount]]</f>
        <v>0</v>
      </c>
    </row>
    <row r="12" spans="1:34" ht="30" customHeight="1" x14ac:dyDescent="0.3">
      <c r="A12" s="109" t="s">
        <v>159</v>
      </c>
      <c r="B12" s="91" t="s">
        <v>99</v>
      </c>
      <c r="C12" s="110"/>
      <c r="D12" s="147">
        <v>74652</v>
      </c>
      <c r="E12" s="110"/>
      <c r="F12" s="111" t="s">
        <v>160</v>
      </c>
      <c r="G12" s="17"/>
      <c r="H12" s="110"/>
      <c r="I12" s="110">
        <v>1</v>
      </c>
      <c r="J12" s="16"/>
      <c r="K12" s="16"/>
      <c r="L12" s="16"/>
      <c r="M12" s="16"/>
      <c r="N12" s="112" t="s">
        <v>56</v>
      </c>
      <c r="O12" s="16">
        <f>ROUND(IF(N12="m3",I12*J12*K12*L12,IF(N12="m2-LxH",I12*J12*L12,IF(N12="m2-LxW",I12*J12*K12,IF(N12="rm",I12*L12,IF(N12="lm",I12*J12,IF(N12="unit",I12,"NA")))))),2)</f>
        <v>1</v>
      </c>
      <c r="P12" s="18">
        <v>44824</v>
      </c>
      <c r="Q12" s="125"/>
      <c r="R12" s="113">
        <v>0.95</v>
      </c>
      <c r="S12" s="113">
        <v>0.95</v>
      </c>
      <c r="T12" s="113">
        <v>0</v>
      </c>
      <c r="U12" s="171">
        <f>IF(ISBLANK(Table1[[#This Row],[OHC Date]]),$B$7-Table1[[#This Row],[HOC Date]]+1,Table1[[#This Row],[OHC Date]]-Table1[[#This Row],[HOC Date]]+1)/7</f>
        <v>5.1428571428571432</v>
      </c>
      <c r="V12" s="152">
        <v>191160</v>
      </c>
      <c r="W12" s="152">
        <v>6716</v>
      </c>
      <c r="X12" s="114">
        <f>ROUND(0.7*Table1[[#This Row],[E&amp;D Rate per unit]]*R12*Table1[[#This Row],[Quantity]],2)</f>
        <v>127121.4</v>
      </c>
      <c r="Y12" s="20">
        <f>ROUND(O12*U12*W12*S12,2)</f>
        <v>32812.46</v>
      </c>
      <c r="Z12" s="114">
        <f>ROUND(0.3*T12*Table1[[#This Row],[E&amp;D Rate per unit]]*Table1[[#This Row],[Quantity]],2)</f>
        <v>0</v>
      </c>
      <c r="AA12" s="114">
        <v>159933.85999999999</v>
      </c>
      <c r="AB12" s="136">
        <v>86977.8</v>
      </c>
      <c r="AC12" s="136">
        <v>72956.059999999983</v>
      </c>
      <c r="AD12" s="115"/>
      <c r="AE12" s="162">
        <v>86977.8</v>
      </c>
      <c r="AF12" s="158">
        <f>Table1[[#This Row],[Certified Amount (Cum)]]-Table1[[#This Row],[Certified Amount (Previous)]]</f>
        <v>72956.059999999983</v>
      </c>
      <c r="AG12" s="158">
        <f t="shared" si="0"/>
        <v>159933.85999999999</v>
      </c>
      <c r="AH12" s="172">
        <f>Table1[[#This Row],[Certified Amount (Cum)]]-Table1[[#This Row],[Total Amount]]</f>
        <v>0</v>
      </c>
    </row>
    <row r="13" spans="1:34" ht="30" customHeight="1" x14ac:dyDescent="0.3">
      <c r="A13" s="109" t="s">
        <v>91</v>
      </c>
      <c r="B13" s="91" t="s">
        <v>99</v>
      </c>
      <c r="C13" s="110" t="s">
        <v>79</v>
      </c>
      <c r="D13" s="110">
        <v>74653</v>
      </c>
      <c r="E13" s="110">
        <v>76751</v>
      </c>
      <c r="F13" s="111" t="s">
        <v>164</v>
      </c>
      <c r="G13" s="17" t="s">
        <v>161</v>
      </c>
      <c r="H13" s="110" t="s">
        <v>129</v>
      </c>
      <c r="I13" s="110">
        <v>1</v>
      </c>
      <c r="J13" s="110">
        <v>25.2</v>
      </c>
      <c r="K13" s="110">
        <v>1.2</v>
      </c>
      <c r="L13" s="110">
        <v>1</v>
      </c>
      <c r="M13" s="110">
        <v>1</v>
      </c>
      <c r="N13" s="112" t="s">
        <v>162</v>
      </c>
      <c r="O13" s="16">
        <f>ROUND(IF(N13="m3",I13*J13*K13*L13,IF(N13="m2-LxH",I13*J13*L13,IF(N13="m2-LxW",I13*J13*K13,IF(N13="rm",I13*L13,IF(N13="lm",I13*J13,IF(N13="unit",I13,"NA")))))),2)</f>
        <v>30.24</v>
      </c>
      <c r="P13" s="18">
        <v>44824</v>
      </c>
      <c r="Q13" s="125">
        <v>44830</v>
      </c>
      <c r="R13" s="113">
        <v>1</v>
      </c>
      <c r="S13" s="113">
        <v>1</v>
      </c>
      <c r="T13" s="113">
        <v>1</v>
      </c>
      <c r="U13" s="171">
        <f>IF(ISBLANK(Table1[[#This Row],[OHC Date]]),$B$7-Table1[[#This Row],[HOC Date]]+1,Table1[[#This Row],[OHC Date]]-Table1[[#This Row],[HOC Date]]+1)/7</f>
        <v>1</v>
      </c>
      <c r="V13" s="114">
        <v>36.520000000000003</v>
      </c>
      <c r="W13" s="114">
        <f>0.42*7</f>
        <v>2.94</v>
      </c>
      <c r="X13" s="114">
        <f>ROUND(0.7*Table1[[#This Row],[E&amp;D Rate per unit]]*R13*Table1[[#This Row],[Quantity]],2)</f>
        <v>773.06</v>
      </c>
      <c r="Y13" s="114">
        <f>ROUND(O13*U13*W13*S13,2)</f>
        <v>88.91</v>
      </c>
      <c r="Z13" s="114">
        <f>ROUND(0.3*T13*Table1[[#This Row],[E&amp;D Rate per unit]]*Table1[[#This Row],[Quantity]],2)</f>
        <v>331.31</v>
      </c>
      <c r="AA13" s="114">
        <v>1193.28</v>
      </c>
      <c r="AB13" s="136">
        <v>125.43</v>
      </c>
      <c r="AC13" s="136">
        <v>1067.8499999999999</v>
      </c>
      <c r="AD13" s="115"/>
      <c r="AE13" s="162">
        <v>125.43</v>
      </c>
      <c r="AF13" s="158">
        <f>Table1[[#This Row],[Certified Amount (Cum)]]-Table1[[#This Row],[Certified Amount (Previous)]]</f>
        <v>1067.8499999999999</v>
      </c>
      <c r="AG13" s="158">
        <f t="shared" si="0"/>
        <v>1193.28</v>
      </c>
      <c r="AH13" s="172">
        <f>Table1[[#This Row],[Certified Amount (Cum)]]-Table1[[#This Row],[Total Amount]]</f>
        <v>0</v>
      </c>
    </row>
    <row r="14" spans="1:34" ht="30" customHeight="1" x14ac:dyDescent="0.3">
      <c r="A14" s="109" t="s">
        <v>91</v>
      </c>
      <c r="B14" s="91" t="s">
        <v>99</v>
      </c>
      <c r="C14" s="110" t="s">
        <v>163</v>
      </c>
      <c r="D14" s="110">
        <v>74654</v>
      </c>
      <c r="E14" s="110"/>
      <c r="F14" s="111" t="s">
        <v>164</v>
      </c>
      <c r="G14" s="17" t="s">
        <v>165</v>
      </c>
      <c r="H14" s="110" t="s">
        <v>128</v>
      </c>
      <c r="I14" s="110">
        <v>1</v>
      </c>
      <c r="J14" s="110">
        <v>5</v>
      </c>
      <c r="K14" s="110">
        <v>0.5</v>
      </c>
      <c r="L14" s="110">
        <v>1</v>
      </c>
      <c r="M14" s="110">
        <v>1</v>
      </c>
      <c r="N14" s="112" t="s">
        <v>162</v>
      </c>
      <c r="O14" s="16">
        <f>ROUND(IF(N14="m3",I14*J14*K14*L14,IF(N14="m2-LxH",I14*J14*L14,IF(N14="m2-LxW",I14*J14*K14,IF(N14="rm",I14*L14,IF(N14="lm",I14*J14,IF(N14="unit",I14,"NA")))))),2)</f>
        <v>2.5</v>
      </c>
      <c r="P14" s="18">
        <v>44824</v>
      </c>
      <c r="Q14" s="125"/>
      <c r="R14" s="113">
        <v>1</v>
      </c>
      <c r="S14" s="113">
        <v>1</v>
      </c>
      <c r="T14" s="113">
        <v>0</v>
      </c>
      <c r="U14" s="171">
        <f>IF(ISBLANK(Table1[[#This Row],[OHC Date]]),$B$7-Table1[[#This Row],[HOC Date]]+1,Table1[[#This Row],[OHC Date]]-Table1[[#This Row],[HOC Date]]+1)/7</f>
        <v>5.1428571428571432</v>
      </c>
      <c r="V14" s="114">
        <v>32.75</v>
      </c>
      <c r="W14" s="114">
        <v>1.05</v>
      </c>
      <c r="X14" s="114">
        <f>ROUND(0.7*Table1[[#This Row],[E&amp;D Rate per unit]]*R14*Table1[[#This Row],[Quantity]],2)</f>
        <v>57.31</v>
      </c>
      <c r="Y14" s="114">
        <f>ROUND(O14*U14*W14*S14,2)</f>
        <v>13.5</v>
      </c>
      <c r="Z14" s="114">
        <f>ROUND(0.3*T14*Table1[[#This Row],[E&amp;D Rate per unit]]*Table1[[#This Row],[Quantity]],2)</f>
        <v>0</v>
      </c>
      <c r="AA14" s="114">
        <v>70.81</v>
      </c>
      <c r="AB14" s="136">
        <v>27.06</v>
      </c>
      <c r="AC14" s="136">
        <v>43.75</v>
      </c>
      <c r="AD14" s="115"/>
      <c r="AE14" s="162">
        <v>27.06</v>
      </c>
      <c r="AF14" s="158">
        <f>Table1[[#This Row],[Certified Amount (Cum)]]-Table1[[#This Row],[Certified Amount (Previous)]]</f>
        <v>43.75</v>
      </c>
      <c r="AG14" s="158">
        <f t="shared" si="0"/>
        <v>70.81</v>
      </c>
      <c r="AH14" s="172">
        <f>Table1[[#This Row],[Certified Amount (Cum)]]-Table1[[#This Row],[Total Amount]]</f>
        <v>0</v>
      </c>
    </row>
    <row r="15" spans="1:34" ht="30" customHeight="1" x14ac:dyDescent="0.3">
      <c r="A15" s="109" t="s">
        <v>91</v>
      </c>
      <c r="B15" s="91" t="s">
        <v>99</v>
      </c>
      <c r="C15" s="110" t="s">
        <v>166</v>
      </c>
      <c r="D15" s="110">
        <v>74655</v>
      </c>
      <c r="E15" s="110">
        <v>76752</v>
      </c>
      <c r="F15" s="111" t="s">
        <v>164</v>
      </c>
      <c r="G15" s="17" t="s">
        <v>161</v>
      </c>
      <c r="H15" s="110" t="s">
        <v>128</v>
      </c>
      <c r="I15" s="110">
        <v>1</v>
      </c>
      <c r="J15" s="110">
        <v>16.2</v>
      </c>
      <c r="K15" s="110">
        <v>0.5</v>
      </c>
      <c r="L15" s="110">
        <v>1</v>
      </c>
      <c r="M15" s="110">
        <v>1</v>
      </c>
      <c r="N15" s="112" t="s">
        <v>162</v>
      </c>
      <c r="O15" s="112">
        <f t="shared" ref="O15:O16" si="1">ROUND(IF(N15="m3",I15*J15*K15*L15,IF(N15="m2-LxH",I15*J15*L15,IF(N15="m2-LxW",I15*J15*K15,IF(N15="rm",I15*L15,IF(N15="lm",I15*J15,IF(N15="unit",I15,"NA")))))),2)</f>
        <v>8.1</v>
      </c>
      <c r="P15" s="18">
        <v>44825</v>
      </c>
      <c r="Q15" s="125">
        <v>44831</v>
      </c>
      <c r="R15" s="113">
        <v>1</v>
      </c>
      <c r="S15" s="113">
        <v>1</v>
      </c>
      <c r="T15" s="113">
        <v>1</v>
      </c>
      <c r="U15" s="171">
        <f>IF(ISBLANK(Table1[[#This Row],[OHC Date]]),$B$7-Table1[[#This Row],[HOC Date]]+1,Table1[[#This Row],[OHC Date]]-Table1[[#This Row],[HOC Date]]+1)/7</f>
        <v>1</v>
      </c>
      <c r="V15" s="114">
        <v>32.75</v>
      </c>
      <c r="W15" s="114">
        <v>1.05</v>
      </c>
      <c r="X15" s="114">
        <f>ROUND(0.7*Table1[[#This Row],[E&amp;D Rate per unit]]*R15*Table1[[#This Row],[Quantity]],2)</f>
        <v>185.69</v>
      </c>
      <c r="Y15" s="114">
        <f t="shared" ref="Y15:Y16" si="2">ROUND(O15*U15*W15*S15,2)</f>
        <v>8.51</v>
      </c>
      <c r="Z15" s="114">
        <f>ROUND(0.3*T15*Table1[[#This Row],[E&amp;D Rate per unit]]*Table1[[#This Row],[Quantity]],2)</f>
        <v>79.58</v>
      </c>
      <c r="AA15" s="114">
        <v>273.77999999999997</v>
      </c>
      <c r="AB15" s="136">
        <v>41.27</v>
      </c>
      <c r="AC15" s="136">
        <v>232.50999999999996</v>
      </c>
      <c r="AD15" s="115"/>
      <c r="AE15" s="162">
        <v>41.27</v>
      </c>
      <c r="AF15" s="158">
        <f>Table1[[#This Row],[Certified Amount (Cum)]]-Table1[[#This Row],[Certified Amount (Previous)]]</f>
        <v>232.50999999999996</v>
      </c>
      <c r="AG15" s="158">
        <f t="shared" si="0"/>
        <v>273.77999999999997</v>
      </c>
      <c r="AH15" s="172">
        <f>Table1[[#This Row],[Certified Amount (Cum)]]-Table1[[#This Row],[Total Amount]]</f>
        <v>0</v>
      </c>
    </row>
    <row r="16" spans="1:34" ht="30" customHeight="1" x14ac:dyDescent="0.3">
      <c r="A16" s="109" t="s">
        <v>91</v>
      </c>
      <c r="B16" s="91" t="s">
        <v>99</v>
      </c>
      <c r="C16" s="110" t="s">
        <v>167</v>
      </c>
      <c r="D16" s="110">
        <v>74660</v>
      </c>
      <c r="E16" s="110">
        <v>76753</v>
      </c>
      <c r="F16" s="111" t="s">
        <v>164</v>
      </c>
      <c r="G16" s="17" t="s">
        <v>161</v>
      </c>
      <c r="H16" s="110" t="s">
        <v>129</v>
      </c>
      <c r="I16" s="110">
        <v>1</v>
      </c>
      <c r="J16" s="110">
        <v>1.8</v>
      </c>
      <c r="K16" s="110">
        <v>1</v>
      </c>
      <c r="L16" s="110">
        <v>1</v>
      </c>
      <c r="M16" s="110">
        <v>1</v>
      </c>
      <c r="N16" s="112" t="s">
        <v>162</v>
      </c>
      <c r="O16" s="112">
        <f t="shared" si="1"/>
        <v>1.8</v>
      </c>
      <c r="P16" s="18">
        <v>44828</v>
      </c>
      <c r="Q16" s="125">
        <v>44830</v>
      </c>
      <c r="R16" s="113">
        <v>1</v>
      </c>
      <c r="S16" s="113">
        <v>1</v>
      </c>
      <c r="T16" s="113">
        <v>1</v>
      </c>
      <c r="U16" s="171">
        <f>IF(ISBLANK(Table1[[#This Row],[OHC Date]]),$B$7-Table1[[#This Row],[HOC Date]]+1,Table1[[#This Row],[OHC Date]]-Table1[[#This Row],[HOC Date]]+1)/7</f>
        <v>0.42857142857142855</v>
      </c>
      <c r="V16" s="114">
        <v>36.520000000000003</v>
      </c>
      <c r="W16" s="114">
        <f>0.42*7</f>
        <v>2.94</v>
      </c>
      <c r="X16" s="114">
        <f>ROUND(0.7*Table1[[#This Row],[E&amp;D Rate per unit]]*R16*Table1[[#This Row],[Quantity]],2)</f>
        <v>46.02</v>
      </c>
      <c r="Y16" s="114">
        <f t="shared" si="2"/>
        <v>2.27</v>
      </c>
      <c r="Z16" s="114">
        <f>ROUND(0.3*T16*Table1[[#This Row],[E&amp;D Rate per unit]]*Table1[[#This Row],[Quantity]],2)</f>
        <v>19.72</v>
      </c>
      <c r="AA16" s="114">
        <v>68.010000000000005</v>
      </c>
      <c r="AB16" s="136">
        <v>38.79</v>
      </c>
      <c r="AC16" s="136">
        <v>29.220000000000006</v>
      </c>
      <c r="AD16" s="115"/>
      <c r="AE16" s="162">
        <v>38.79</v>
      </c>
      <c r="AF16" s="158">
        <f>Table1[[#This Row],[Certified Amount (Cum)]]-Table1[[#This Row],[Certified Amount (Previous)]]</f>
        <v>29.220000000000006</v>
      </c>
      <c r="AG16" s="158">
        <f t="shared" si="0"/>
        <v>68.010000000000005</v>
      </c>
      <c r="AH16" s="172">
        <f>Table1[[#This Row],[Certified Amount (Cum)]]-Table1[[#This Row],[Total Amount]]</f>
        <v>0</v>
      </c>
    </row>
    <row r="17" spans="1:34" ht="30" customHeight="1" x14ac:dyDescent="0.3">
      <c r="A17" s="109" t="s">
        <v>91</v>
      </c>
      <c r="B17" s="91" t="s">
        <v>99</v>
      </c>
      <c r="C17" s="110" t="s">
        <v>168</v>
      </c>
      <c r="D17" s="110">
        <v>74666</v>
      </c>
      <c r="E17" s="110">
        <v>76754</v>
      </c>
      <c r="F17" s="111" t="s">
        <v>164</v>
      </c>
      <c r="G17" s="17" t="s">
        <v>161</v>
      </c>
      <c r="H17" s="110" t="s">
        <v>129</v>
      </c>
      <c r="I17" s="110">
        <v>1</v>
      </c>
      <c r="J17" s="110">
        <v>23.4</v>
      </c>
      <c r="K17" s="110">
        <v>0.75</v>
      </c>
      <c r="L17" s="110">
        <v>1</v>
      </c>
      <c r="M17" s="110">
        <v>1</v>
      </c>
      <c r="N17" s="112" t="s">
        <v>162</v>
      </c>
      <c r="O17" s="16">
        <f t="shared" ref="O17:O29" si="3">ROUND(IF(N17="m3",I17*J17*K17*L17,IF(N17="m2-LxH",I17*J17*L17,IF(N17="m2-LxW",I17*J17*K17,IF(N17="rm",I17*L17,IF(N17="lm",I17*J17,IF(N17="unit",I17,"NA")))))),2)</f>
        <v>17.55</v>
      </c>
      <c r="P17" s="18">
        <v>44830</v>
      </c>
      <c r="Q17" s="125">
        <v>44832</v>
      </c>
      <c r="R17" s="113">
        <v>1</v>
      </c>
      <c r="S17" s="113">
        <v>1</v>
      </c>
      <c r="T17" s="113">
        <v>1</v>
      </c>
      <c r="U17" s="171">
        <f>IF(ISBLANK(Table1[[#This Row],[OHC Date]]),$B$7-Table1[[#This Row],[HOC Date]]+1,Table1[[#This Row],[OHC Date]]-Table1[[#This Row],[HOC Date]]+1)/7</f>
        <v>0.42857142857142855</v>
      </c>
      <c r="V17" s="114">
        <v>36.520000000000003</v>
      </c>
      <c r="W17" s="114">
        <f>0.42*7</f>
        <v>2.94</v>
      </c>
      <c r="X17" s="114">
        <f>ROUND(0.7*Table1[[#This Row],[E&amp;D Rate per unit]]*R17*Table1[[#This Row],[Quantity]],2)</f>
        <v>448.65</v>
      </c>
      <c r="Y17" s="114">
        <f t="shared" ref="Y17:Y29" si="4">ROUND(O17*U17*W17*S17,2)</f>
        <v>22.11</v>
      </c>
      <c r="Z17" s="114">
        <f>ROUND(0.3*T17*Table1[[#This Row],[E&amp;D Rate per unit]]*Table1[[#This Row],[Quantity]],2)</f>
        <v>192.28</v>
      </c>
      <c r="AA17" s="114">
        <v>663.04</v>
      </c>
      <c r="AB17" s="136">
        <v>58.63</v>
      </c>
      <c r="AC17" s="136">
        <v>604.41</v>
      </c>
      <c r="AD17" s="115"/>
      <c r="AE17" s="162">
        <v>58.63</v>
      </c>
      <c r="AF17" s="158">
        <f>Table1[[#This Row],[Certified Amount (Cum)]]-Table1[[#This Row],[Certified Amount (Previous)]]</f>
        <v>604.41</v>
      </c>
      <c r="AG17" s="158">
        <f t="shared" si="0"/>
        <v>663.04</v>
      </c>
      <c r="AH17" s="172">
        <f>Table1[[#This Row],[Certified Amount (Cum)]]-Table1[[#This Row],[Total Amount]]</f>
        <v>0</v>
      </c>
    </row>
    <row r="18" spans="1:34" ht="30" customHeight="1" x14ac:dyDescent="0.3">
      <c r="A18" s="109" t="s">
        <v>91</v>
      </c>
      <c r="B18" s="91" t="s">
        <v>99</v>
      </c>
      <c r="C18" s="110" t="s">
        <v>169</v>
      </c>
      <c r="D18" s="110">
        <v>74670</v>
      </c>
      <c r="E18" s="110"/>
      <c r="F18" s="111" t="s">
        <v>164</v>
      </c>
      <c r="G18" s="17" t="s">
        <v>161</v>
      </c>
      <c r="H18" s="110" t="s">
        <v>128</v>
      </c>
      <c r="I18" s="110">
        <v>2</v>
      </c>
      <c r="J18" s="110">
        <v>9.8000000000000007</v>
      </c>
      <c r="K18" s="110">
        <v>0.5</v>
      </c>
      <c r="L18" s="110">
        <v>1</v>
      </c>
      <c r="M18" s="110">
        <v>1</v>
      </c>
      <c r="N18" s="112" t="s">
        <v>162</v>
      </c>
      <c r="O18" s="16">
        <f t="shared" si="3"/>
        <v>9.8000000000000007</v>
      </c>
      <c r="P18" s="18">
        <v>44832</v>
      </c>
      <c r="Q18" s="125"/>
      <c r="R18" s="113">
        <v>1</v>
      </c>
      <c r="S18" s="113">
        <v>1</v>
      </c>
      <c r="T18" s="113">
        <v>0</v>
      </c>
      <c r="U18" s="171">
        <f>IF(ISBLANK(Table1[[#This Row],[OHC Date]]),$B$7-Table1[[#This Row],[HOC Date]]+1,Table1[[#This Row],[OHC Date]]-Table1[[#This Row],[HOC Date]]+1)/7</f>
        <v>4</v>
      </c>
      <c r="V18" s="114">
        <v>36.520000000000003</v>
      </c>
      <c r="W18" s="114">
        <v>1.05</v>
      </c>
      <c r="X18" s="114">
        <f>ROUND(0.7*Table1[[#This Row],[E&amp;D Rate per unit]]*R18*Table1[[#This Row],[Quantity]],2)</f>
        <v>250.53</v>
      </c>
      <c r="Y18" s="114">
        <f t="shared" si="4"/>
        <v>41.16</v>
      </c>
      <c r="Z18" s="114">
        <f>ROUND(0.3*T18*Table1[[#This Row],[E&amp;D Rate per unit]]*Table1[[#This Row],[Quantity]],2)</f>
        <v>0</v>
      </c>
      <c r="AA18" s="114">
        <v>291.69</v>
      </c>
      <c r="AB18" s="136">
        <v>37.909999999999997</v>
      </c>
      <c r="AC18" s="136">
        <v>253.78</v>
      </c>
      <c r="AD18" s="115"/>
      <c r="AE18" s="162">
        <v>37.909999999999997</v>
      </c>
      <c r="AF18" s="158">
        <f>Table1[[#This Row],[Certified Amount (Cum)]]-Table1[[#This Row],[Certified Amount (Previous)]]</f>
        <v>253.78</v>
      </c>
      <c r="AG18" s="158">
        <f t="shared" si="0"/>
        <v>291.69</v>
      </c>
      <c r="AH18" s="172">
        <f>Table1[[#This Row],[Certified Amount (Cum)]]-Table1[[#This Row],[Total Amount]]</f>
        <v>0</v>
      </c>
    </row>
    <row r="19" spans="1:34" ht="30" customHeight="1" x14ac:dyDescent="0.3">
      <c r="A19" s="109" t="s">
        <v>91</v>
      </c>
      <c r="B19" s="91" t="s">
        <v>99</v>
      </c>
      <c r="C19" s="110" t="s">
        <v>170</v>
      </c>
      <c r="D19" s="110">
        <v>74671</v>
      </c>
      <c r="E19" s="110"/>
      <c r="F19" s="111" t="s">
        <v>164</v>
      </c>
      <c r="G19" s="17" t="s">
        <v>161</v>
      </c>
      <c r="H19" s="110" t="s">
        <v>128</v>
      </c>
      <c r="I19" s="110">
        <v>1</v>
      </c>
      <c r="J19" s="110">
        <v>13.8</v>
      </c>
      <c r="K19" s="110">
        <v>0.5</v>
      </c>
      <c r="L19" s="110">
        <v>1</v>
      </c>
      <c r="M19" s="110">
        <v>1</v>
      </c>
      <c r="N19" s="112" t="s">
        <v>162</v>
      </c>
      <c r="O19" s="112">
        <f t="shared" si="3"/>
        <v>6.9</v>
      </c>
      <c r="P19" s="125">
        <v>44832</v>
      </c>
      <c r="Q19" s="125"/>
      <c r="R19" s="113">
        <v>1</v>
      </c>
      <c r="S19" s="113">
        <v>1</v>
      </c>
      <c r="T19" s="113">
        <v>0</v>
      </c>
      <c r="U19" s="171">
        <f>IF(ISBLANK(Table1[[#This Row],[OHC Date]]),$B$7-Table1[[#This Row],[HOC Date]]+1,Table1[[#This Row],[OHC Date]]-Table1[[#This Row],[HOC Date]]+1)/7</f>
        <v>4</v>
      </c>
      <c r="V19" s="114">
        <v>32.75</v>
      </c>
      <c r="W19" s="114">
        <v>1.05</v>
      </c>
      <c r="X19" s="114">
        <f>ROUND(0.7*Table1[[#This Row],[E&amp;D Rate per unit]]*R19*Table1[[#This Row],[Quantity]],2)</f>
        <v>158.18</v>
      </c>
      <c r="Y19" s="114">
        <f t="shared" si="4"/>
        <v>28.98</v>
      </c>
      <c r="Z19" s="114">
        <f>ROUND(0.3*T19*Table1[[#This Row],[E&amp;D Rate per unit]]*Table1[[#This Row],[Quantity]],2)</f>
        <v>0</v>
      </c>
      <c r="AA19" s="114">
        <v>187.16</v>
      </c>
      <c r="AB19" s="136">
        <v>26.04</v>
      </c>
      <c r="AC19" s="136">
        <v>161.12</v>
      </c>
      <c r="AD19" s="115"/>
      <c r="AE19" s="162">
        <v>26.04</v>
      </c>
      <c r="AF19" s="158">
        <f>Table1[[#This Row],[Certified Amount (Cum)]]-Table1[[#This Row],[Certified Amount (Previous)]]</f>
        <v>161.12</v>
      </c>
      <c r="AG19" s="158">
        <f t="shared" si="0"/>
        <v>187.16</v>
      </c>
      <c r="AH19" s="172">
        <f>Table1[[#This Row],[Certified Amount (Cum)]]-Table1[[#This Row],[Total Amount]]</f>
        <v>0</v>
      </c>
    </row>
    <row r="20" spans="1:34" ht="30" customHeight="1" x14ac:dyDescent="0.3">
      <c r="A20" s="109" t="s">
        <v>91</v>
      </c>
      <c r="B20" s="91" t="s">
        <v>99</v>
      </c>
      <c r="C20" s="144" t="s">
        <v>177</v>
      </c>
      <c r="D20" s="110">
        <v>74662</v>
      </c>
      <c r="E20" s="110"/>
      <c r="F20" s="111" t="s">
        <v>164</v>
      </c>
      <c r="G20" s="17" t="s">
        <v>161</v>
      </c>
      <c r="H20" s="110" t="s">
        <v>178</v>
      </c>
      <c r="I20" s="110">
        <v>4</v>
      </c>
      <c r="J20" s="110">
        <v>10.8</v>
      </c>
      <c r="K20" s="110">
        <v>1.8</v>
      </c>
      <c r="L20" s="110">
        <v>1</v>
      </c>
      <c r="M20" s="110">
        <v>4</v>
      </c>
      <c r="N20" s="112" t="s">
        <v>162</v>
      </c>
      <c r="O20" s="112">
        <f t="shared" si="3"/>
        <v>77.760000000000005</v>
      </c>
      <c r="P20" s="125">
        <v>44826</v>
      </c>
      <c r="Q20" s="125"/>
      <c r="R20" s="113">
        <v>1</v>
      </c>
      <c r="S20" s="113">
        <v>1</v>
      </c>
      <c r="T20" s="113">
        <v>0</v>
      </c>
      <c r="U20" s="171">
        <f>IF(ISBLANK(Table1[[#This Row],[OHC Date]]),$B$7-Table1[[#This Row],[HOC Date]]+1,Table1[[#This Row],[OHC Date]]-Table1[[#This Row],[HOC Date]]+1)/7</f>
        <v>4.8571428571428568</v>
      </c>
      <c r="V20" s="114">
        <v>6.63</v>
      </c>
      <c r="W20" s="114">
        <v>0.7</v>
      </c>
      <c r="X20" s="114">
        <f>ROUND(0.7*Table1[[#This Row],[E&amp;D Rate per unit]]*R20*Table1[[#This Row],[Quantity]],2)</f>
        <v>360.88</v>
      </c>
      <c r="Y20" s="114">
        <f t="shared" si="4"/>
        <v>264.38</v>
      </c>
      <c r="Z20" s="114">
        <f>ROUND(0.3*T20*Table1[[#This Row],[E&amp;D Rate per unit]]*Table1[[#This Row],[Quantity]],2)</f>
        <v>0</v>
      </c>
      <c r="AA20" s="114">
        <v>625.26</v>
      </c>
      <c r="AB20" s="136">
        <v>0</v>
      </c>
      <c r="AC20" s="136">
        <v>625.26</v>
      </c>
      <c r="AD20" s="115"/>
      <c r="AE20" s="162"/>
      <c r="AF20" s="158">
        <f>Table1[[#This Row],[Certified Amount (Cum)]]-Table1[[#This Row],[Certified Amount (Previous)]]</f>
        <v>625.26</v>
      </c>
      <c r="AG20" s="158">
        <f t="shared" si="0"/>
        <v>625.26</v>
      </c>
      <c r="AH20" s="172">
        <f>Table1[[#This Row],[Certified Amount (Cum)]]-Table1[[#This Row],[Total Amount]]</f>
        <v>0</v>
      </c>
    </row>
    <row r="21" spans="1:34" ht="30" customHeight="1" x14ac:dyDescent="0.3">
      <c r="A21" s="109" t="s">
        <v>91</v>
      </c>
      <c r="B21" s="91" t="s">
        <v>99</v>
      </c>
      <c r="C21" s="144" t="s">
        <v>179</v>
      </c>
      <c r="D21" s="110">
        <v>74663</v>
      </c>
      <c r="E21" s="144">
        <v>76758</v>
      </c>
      <c r="F21" s="111" t="s">
        <v>180</v>
      </c>
      <c r="G21" s="17" t="s">
        <v>161</v>
      </c>
      <c r="H21" s="110" t="s">
        <v>178</v>
      </c>
      <c r="I21" s="110">
        <v>4</v>
      </c>
      <c r="J21" s="110">
        <v>3.6</v>
      </c>
      <c r="K21" s="110">
        <v>3.6</v>
      </c>
      <c r="L21" s="110">
        <v>1</v>
      </c>
      <c r="M21" s="110">
        <v>4</v>
      </c>
      <c r="N21" s="112" t="s">
        <v>162</v>
      </c>
      <c r="O21" s="112">
        <f t="shared" si="3"/>
        <v>51.84</v>
      </c>
      <c r="P21" s="125">
        <v>44826</v>
      </c>
      <c r="Q21" s="125">
        <v>44849</v>
      </c>
      <c r="R21" s="113">
        <v>1</v>
      </c>
      <c r="S21" s="113">
        <v>1</v>
      </c>
      <c r="T21" s="113">
        <v>1</v>
      </c>
      <c r="U21" s="171">
        <f>IF(ISBLANK(Table1[[#This Row],[OHC Date]]),$B$7-Table1[[#This Row],[HOC Date]]+1,Table1[[#This Row],[OHC Date]]-Table1[[#This Row],[HOC Date]]+1)/7</f>
        <v>3.4285714285714284</v>
      </c>
      <c r="V21" s="114">
        <v>6.63</v>
      </c>
      <c r="W21" s="114">
        <v>0.7</v>
      </c>
      <c r="X21" s="114">
        <f>ROUND(0.7*Table1[[#This Row],[E&amp;D Rate per unit]]*R21*Table1[[#This Row],[Quantity]],2)</f>
        <v>240.59</v>
      </c>
      <c r="Y21" s="114">
        <f t="shared" si="4"/>
        <v>124.42</v>
      </c>
      <c r="Z21" s="114">
        <f>ROUND(0.3*T21*Table1[[#This Row],[E&amp;D Rate per unit]]*Table1[[#This Row],[Quantity]],2)</f>
        <v>103.11</v>
      </c>
      <c r="AA21" s="114">
        <v>468.12</v>
      </c>
      <c r="AB21" s="136">
        <v>0</v>
      </c>
      <c r="AC21" s="136">
        <v>468.12</v>
      </c>
      <c r="AD21" s="115"/>
      <c r="AE21" s="162"/>
      <c r="AF21" s="158">
        <f>Table1[[#This Row],[Certified Amount (Cum)]]-Table1[[#This Row],[Certified Amount (Previous)]]</f>
        <v>468.12</v>
      </c>
      <c r="AG21" s="158">
        <f t="shared" si="0"/>
        <v>468.12</v>
      </c>
      <c r="AH21" s="172">
        <f>Table1[[#This Row],[Certified Amount (Cum)]]-Table1[[#This Row],[Total Amount]]</f>
        <v>0</v>
      </c>
    </row>
    <row r="22" spans="1:34" ht="30" customHeight="1" x14ac:dyDescent="0.3">
      <c r="A22" s="109" t="s">
        <v>91</v>
      </c>
      <c r="B22" s="91" t="s">
        <v>99</v>
      </c>
      <c r="C22" s="144" t="s">
        <v>181</v>
      </c>
      <c r="D22" s="110">
        <v>74664</v>
      </c>
      <c r="E22" s="144">
        <v>76759</v>
      </c>
      <c r="F22" s="111" t="s">
        <v>182</v>
      </c>
      <c r="G22" s="17" t="s">
        <v>161</v>
      </c>
      <c r="H22" s="110" t="s">
        <v>178</v>
      </c>
      <c r="I22" s="110">
        <v>4</v>
      </c>
      <c r="J22" s="110">
        <v>3.6</v>
      </c>
      <c r="K22" s="110">
        <v>3.6</v>
      </c>
      <c r="L22" s="110">
        <v>1</v>
      </c>
      <c r="M22" s="110">
        <v>4</v>
      </c>
      <c r="N22" s="112" t="s">
        <v>162</v>
      </c>
      <c r="O22" s="112">
        <f t="shared" si="3"/>
        <v>51.84</v>
      </c>
      <c r="P22" s="125">
        <v>44826</v>
      </c>
      <c r="Q22" s="125">
        <v>44849</v>
      </c>
      <c r="R22" s="113">
        <v>1</v>
      </c>
      <c r="S22" s="113">
        <v>1</v>
      </c>
      <c r="T22" s="113">
        <v>1</v>
      </c>
      <c r="U22" s="171">
        <f>IF(ISBLANK(Table1[[#This Row],[OHC Date]]),$B$7-Table1[[#This Row],[HOC Date]]+1,Table1[[#This Row],[OHC Date]]-Table1[[#This Row],[HOC Date]]+1)/7</f>
        <v>3.4285714285714284</v>
      </c>
      <c r="V22" s="114">
        <v>6.63</v>
      </c>
      <c r="W22" s="114">
        <v>0.7</v>
      </c>
      <c r="X22" s="114">
        <f>ROUND(0.7*Table1[[#This Row],[E&amp;D Rate per unit]]*R22*Table1[[#This Row],[Quantity]],2)</f>
        <v>240.59</v>
      </c>
      <c r="Y22" s="114">
        <f t="shared" si="4"/>
        <v>124.42</v>
      </c>
      <c r="Z22" s="114">
        <f>ROUND(0.3*T22*Table1[[#This Row],[E&amp;D Rate per unit]]*Table1[[#This Row],[Quantity]],2)</f>
        <v>103.11</v>
      </c>
      <c r="AA22" s="114">
        <v>468.12</v>
      </c>
      <c r="AB22" s="136">
        <v>0</v>
      </c>
      <c r="AC22" s="136">
        <v>468.12</v>
      </c>
      <c r="AD22" s="115"/>
      <c r="AE22" s="162"/>
      <c r="AF22" s="158">
        <f>Table1[[#This Row],[Certified Amount (Cum)]]-Table1[[#This Row],[Certified Amount (Previous)]]</f>
        <v>468.12</v>
      </c>
      <c r="AG22" s="158">
        <f t="shared" si="0"/>
        <v>468.12</v>
      </c>
      <c r="AH22" s="172">
        <f>Table1[[#This Row],[Certified Amount (Cum)]]-Table1[[#This Row],[Total Amount]]</f>
        <v>0</v>
      </c>
    </row>
    <row r="23" spans="1:34" ht="30" customHeight="1" x14ac:dyDescent="0.3">
      <c r="A23" s="109" t="s">
        <v>91</v>
      </c>
      <c r="B23" s="91" t="s">
        <v>99</v>
      </c>
      <c r="C23" s="144" t="s">
        <v>183</v>
      </c>
      <c r="D23" s="110">
        <v>74665</v>
      </c>
      <c r="E23" s="144">
        <v>76760</v>
      </c>
      <c r="F23" s="111" t="s">
        <v>184</v>
      </c>
      <c r="G23" s="17" t="s">
        <v>161</v>
      </c>
      <c r="H23" s="110" t="s">
        <v>178</v>
      </c>
      <c r="I23" s="110">
        <v>4</v>
      </c>
      <c r="J23" s="110">
        <v>3.6</v>
      </c>
      <c r="K23" s="110">
        <v>3.6</v>
      </c>
      <c r="L23" s="110">
        <v>1</v>
      </c>
      <c r="M23" s="110">
        <v>4</v>
      </c>
      <c r="N23" s="112" t="s">
        <v>162</v>
      </c>
      <c r="O23" s="112">
        <f t="shared" si="3"/>
        <v>51.84</v>
      </c>
      <c r="P23" s="125">
        <v>44826</v>
      </c>
      <c r="Q23" s="125">
        <v>44849</v>
      </c>
      <c r="R23" s="113">
        <v>1</v>
      </c>
      <c r="S23" s="113">
        <v>1</v>
      </c>
      <c r="T23" s="113">
        <v>1</v>
      </c>
      <c r="U23" s="171">
        <f>IF(ISBLANK(Table1[[#This Row],[OHC Date]]),$B$7-Table1[[#This Row],[HOC Date]]+1,Table1[[#This Row],[OHC Date]]-Table1[[#This Row],[HOC Date]]+1)/7</f>
        <v>3.4285714285714284</v>
      </c>
      <c r="V23" s="114">
        <v>6.63</v>
      </c>
      <c r="W23" s="114">
        <v>0.7</v>
      </c>
      <c r="X23" s="114">
        <f>ROUND(0.7*Table1[[#This Row],[E&amp;D Rate per unit]]*R23*Table1[[#This Row],[Quantity]],2)</f>
        <v>240.59</v>
      </c>
      <c r="Y23" s="114">
        <f t="shared" si="4"/>
        <v>124.42</v>
      </c>
      <c r="Z23" s="114">
        <f>ROUND(0.3*T23*Table1[[#This Row],[E&amp;D Rate per unit]]*Table1[[#This Row],[Quantity]],2)</f>
        <v>103.11</v>
      </c>
      <c r="AA23" s="114">
        <v>468.12</v>
      </c>
      <c r="AB23" s="136">
        <v>0</v>
      </c>
      <c r="AC23" s="136">
        <v>468.12</v>
      </c>
      <c r="AD23" s="115"/>
      <c r="AE23" s="162"/>
      <c r="AF23" s="158">
        <f>Table1[[#This Row],[Certified Amount (Cum)]]-Table1[[#This Row],[Certified Amount (Previous)]]</f>
        <v>468.12</v>
      </c>
      <c r="AG23" s="158">
        <f t="shared" si="0"/>
        <v>468.12</v>
      </c>
      <c r="AH23" s="172">
        <f>Table1[[#This Row],[Certified Amount (Cum)]]-Table1[[#This Row],[Total Amount]]</f>
        <v>0</v>
      </c>
    </row>
    <row r="24" spans="1:34" ht="30" customHeight="1" x14ac:dyDescent="0.3">
      <c r="A24" s="109" t="s">
        <v>91</v>
      </c>
      <c r="B24" s="91" t="s">
        <v>99</v>
      </c>
      <c r="C24" s="144" t="s">
        <v>185</v>
      </c>
      <c r="D24" s="110">
        <v>74668</v>
      </c>
      <c r="E24" s="144">
        <v>76761</v>
      </c>
      <c r="F24" s="111" t="s">
        <v>186</v>
      </c>
      <c r="G24" s="17" t="s">
        <v>165</v>
      </c>
      <c r="H24" s="110" t="s">
        <v>178</v>
      </c>
      <c r="I24" s="110">
        <v>6</v>
      </c>
      <c r="J24" s="110">
        <v>3.5</v>
      </c>
      <c r="K24" s="110">
        <v>3.5</v>
      </c>
      <c r="L24" s="110">
        <v>1</v>
      </c>
      <c r="M24" s="110">
        <v>6</v>
      </c>
      <c r="N24" s="112" t="s">
        <v>162</v>
      </c>
      <c r="O24" s="112">
        <f t="shared" si="3"/>
        <v>73.5</v>
      </c>
      <c r="P24" s="125">
        <v>44831</v>
      </c>
      <c r="Q24" s="125">
        <v>44849</v>
      </c>
      <c r="R24" s="113">
        <v>1</v>
      </c>
      <c r="S24" s="113">
        <v>1</v>
      </c>
      <c r="T24" s="113">
        <v>1</v>
      </c>
      <c r="U24" s="171">
        <f>IF(ISBLANK(Table1[[#This Row],[OHC Date]]),$B$7-Table1[[#This Row],[HOC Date]]+1,Table1[[#This Row],[OHC Date]]-Table1[[#This Row],[HOC Date]]+1)/7</f>
        <v>2.7142857142857144</v>
      </c>
      <c r="V24" s="114">
        <v>6.63</v>
      </c>
      <c r="W24" s="114">
        <v>0.7</v>
      </c>
      <c r="X24" s="114">
        <f>ROUND(0.7*Table1[[#This Row],[E&amp;D Rate per unit]]*R24*Table1[[#This Row],[Quantity]],2)</f>
        <v>341.11</v>
      </c>
      <c r="Y24" s="114">
        <f t="shared" si="4"/>
        <v>139.65</v>
      </c>
      <c r="Z24" s="114">
        <f>ROUND(0.3*T24*Table1[[#This Row],[E&amp;D Rate per unit]]*Table1[[#This Row],[Quantity]],2)</f>
        <v>146.19</v>
      </c>
      <c r="AA24" s="114">
        <v>626.95000000000005</v>
      </c>
      <c r="AB24" s="136">
        <v>0</v>
      </c>
      <c r="AC24" s="136">
        <v>626.95000000000005</v>
      </c>
      <c r="AD24" s="115"/>
      <c r="AE24" s="162"/>
      <c r="AF24" s="158">
        <f>Table1[[#This Row],[Certified Amount (Cum)]]-Table1[[#This Row],[Certified Amount (Previous)]]</f>
        <v>626.95000000000005</v>
      </c>
      <c r="AG24" s="158">
        <f t="shared" si="0"/>
        <v>626.95000000000005</v>
      </c>
      <c r="AH24" s="172">
        <f>Table1[[#This Row],[Certified Amount (Cum)]]-Table1[[#This Row],[Total Amount]]</f>
        <v>0</v>
      </c>
    </row>
    <row r="25" spans="1:34" ht="30" customHeight="1" x14ac:dyDescent="0.3">
      <c r="A25" s="109" t="s">
        <v>91</v>
      </c>
      <c r="B25" s="91" t="s">
        <v>99</v>
      </c>
      <c r="C25" s="144" t="s">
        <v>187</v>
      </c>
      <c r="D25" s="110">
        <v>74669</v>
      </c>
      <c r="E25" s="144">
        <v>76762</v>
      </c>
      <c r="F25" s="111" t="s">
        <v>188</v>
      </c>
      <c r="G25" s="17" t="s">
        <v>165</v>
      </c>
      <c r="H25" s="110" t="s">
        <v>178</v>
      </c>
      <c r="I25" s="110">
        <v>6</v>
      </c>
      <c r="J25" s="110">
        <v>9</v>
      </c>
      <c r="K25" s="110">
        <v>3.5</v>
      </c>
      <c r="L25" s="110">
        <v>1</v>
      </c>
      <c r="M25" s="110">
        <v>6</v>
      </c>
      <c r="N25" s="112" t="s">
        <v>162</v>
      </c>
      <c r="O25" s="112">
        <f t="shared" si="3"/>
        <v>189</v>
      </c>
      <c r="P25" s="125">
        <v>44831</v>
      </c>
      <c r="Q25" s="125">
        <v>44849</v>
      </c>
      <c r="R25" s="113">
        <v>1</v>
      </c>
      <c r="S25" s="113">
        <v>1</v>
      </c>
      <c r="T25" s="113">
        <v>1</v>
      </c>
      <c r="U25" s="171">
        <f>IF(ISBLANK(Table1[[#This Row],[OHC Date]]),$B$7-Table1[[#This Row],[HOC Date]]+1,Table1[[#This Row],[OHC Date]]-Table1[[#This Row],[HOC Date]]+1)/7</f>
        <v>2.7142857142857144</v>
      </c>
      <c r="V25" s="114">
        <v>6.63</v>
      </c>
      <c r="W25" s="114">
        <v>0.7</v>
      </c>
      <c r="X25" s="114">
        <f>ROUND(0.7*Table1[[#This Row],[E&amp;D Rate per unit]]*R25*Table1[[#This Row],[Quantity]],2)</f>
        <v>877.15</v>
      </c>
      <c r="Y25" s="114">
        <f t="shared" si="4"/>
        <v>359.1</v>
      </c>
      <c r="Z25" s="114">
        <f>ROUND(0.3*T25*Table1[[#This Row],[E&amp;D Rate per unit]]*Table1[[#This Row],[Quantity]],2)</f>
        <v>375.92</v>
      </c>
      <c r="AA25" s="114">
        <v>1612.17</v>
      </c>
      <c r="AB25" s="136">
        <v>0</v>
      </c>
      <c r="AC25" s="136">
        <v>1612.17</v>
      </c>
      <c r="AD25" s="115"/>
      <c r="AE25" s="162"/>
      <c r="AF25" s="158">
        <f>Table1[[#This Row],[Certified Amount (Cum)]]-Table1[[#This Row],[Certified Amount (Previous)]]</f>
        <v>1612.17</v>
      </c>
      <c r="AG25" s="158">
        <f t="shared" si="0"/>
        <v>1612.17</v>
      </c>
      <c r="AH25" s="172">
        <f>Table1[[#This Row],[Certified Amount (Cum)]]-Table1[[#This Row],[Total Amount]]</f>
        <v>0</v>
      </c>
    </row>
    <row r="26" spans="1:34" s="143" customFormat="1" ht="30" customHeight="1" x14ac:dyDescent="0.3">
      <c r="A26" s="109" t="s">
        <v>94</v>
      </c>
      <c r="B26" s="91" t="s">
        <v>99</v>
      </c>
      <c r="C26" s="144">
        <v>4</v>
      </c>
      <c r="D26" s="110">
        <v>74673</v>
      </c>
      <c r="E26" s="110"/>
      <c r="F26" s="111" t="s">
        <v>189</v>
      </c>
      <c r="G26" s="17" t="s">
        <v>190</v>
      </c>
      <c r="H26" s="110" t="s">
        <v>191</v>
      </c>
      <c r="I26" s="110">
        <v>1</v>
      </c>
      <c r="J26" s="110"/>
      <c r="K26" s="110"/>
      <c r="L26" s="110"/>
      <c r="M26" s="110"/>
      <c r="N26" s="112" t="s">
        <v>56</v>
      </c>
      <c r="O26" s="112">
        <f t="shared" si="3"/>
        <v>1</v>
      </c>
      <c r="P26" s="125">
        <v>44835</v>
      </c>
      <c r="Q26" s="125"/>
      <c r="R26" s="113">
        <v>1</v>
      </c>
      <c r="S26" s="113">
        <v>1</v>
      </c>
      <c r="T26" s="113">
        <v>0</v>
      </c>
      <c r="U26" s="171">
        <f>IF(ISBLANK(Table1[[#This Row],[OHC Date]]),$B$7-Table1[[#This Row],[HOC Date]]+1,Table1[[#This Row],[OHC Date]]-Table1[[#This Row],[HOC Date]]+1)/7</f>
        <v>3.5714285714285716</v>
      </c>
      <c r="V26" s="152">
        <v>15626.48</v>
      </c>
      <c r="W26" s="152">
        <v>625.97</v>
      </c>
      <c r="X26" s="114">
        <f>ROUND(0.7*Table1[[#This Row],[E&amp;D Rate per unit]]*R26*Table1[[#This Row],[Quantity]],2)</f>
        <v>10938.54</v>
      </c>
      <c r="Y26" s="114">
        <f t="shared" si="4"/>
        <v>2235.61</v>
      </c>
      <c r="Z26" s="114">
        <f>ROUND(0.3*T26*Table1[[#This Row],[E&amp;D Rate per unit]]*Table1[[#This Row],[Quantity]],2)</f>
        <v>0</v>
      </c>
      <c r="AA26" s="114">
        <v>13174.15</v>
      </c>
      <c r="AB26" s="136">
        <v>0</v>
      </c>
      <c r="AC26" s="136">
        <v>13174.15</v>
      </c>
      <c r="AD26" s="115" t="s">
        <v>196</v>
      </c>
      <c r="AE26" s="162"/>
      <c r="AF26" s="158">
        <f>Table1[[#This Row],[Certified Amount (Cum)]]-Table1[[#This Row],[Certified Amount (Previous)]]</f>
        <v>13174.150000000001</v>
      </c>
      <c r="AG26" s="158">
        <f t="shared" si="0"/>
        <v>13174.150000000001</v>
      </c>
      <c r="AH26" s="172">
        <f>Table1[[#This Row],[Certified Amount (Cum)]]-Table1[[#This Row],[Total Amount]]</f>
        <v>0</v>
      </c>
    </row>
    <row r="27" spans="1:34" ht="30" customHeight="1" x14ac:dyDescent="0.3">
      <c r="A27" s="109" t="s">
        <v>93</v>
      </c>
      <c r="B27" s="91" t="s">
        <v>99</v>
      </c>
      <c r="C27" s="144">
        <v>5</v>
      </c>
      <c r="D27" s="110">
        <v>74675</v>
      </c>
      <c r="E27" s="144">
        <v>76768</v>
      </c>
      <c r="F27" s="111" t="s">
        <v>193</v>
      </c>
      <c r="G27" s="17" t="s">
        <v>161</v>
      </c>
      <c r="H27" s="110" t="s">
        <v>194</v>
      </c>
      <c r="I27" s="110">
        <v>1</v>
      </c>
      <c r="J27" s="110"/>
      <c r="K27" s="110"/>
      <c r="L27" s="110"/>
      <c r="M27" s="110"/>
      <c r="N27" s="112" t="s">
        <v>56</v>
      </c>
      <c r="O27" s="112">
        <f t="shared" si="3"/>
        <v>1</v>
      </c>
      <c r="P27" s="125">
        <v>44837</v>
      </c>
      <c r="Q27" s="125">
        <v>44856</v>
      </c>
      <c r="R27" s="113">
        <v>1</v>
      </c>
      <c r="S27" s="113">
        <v>1</v>
      </c>
      <c r="T27" s="113">
        <v>1</v>
      </c>
      <c r="U27" s="171">
        <f>IF(ISBLANK(Table1[[#This Row],[OHC Date]]),$B$7-Table1[[#This Row],[HOC Date]]+1,Table1[[#This Row],[OHC Date]]-Table1[[#This Row],[HOC Date]]+1)/7</f>
        <v>2.8571428571428572</v>
      </c>
      <c r="V27" s="114">
        <v>5727.13</v>
      </c>
      <c r="W27" s="114">
        <v>317.70999999999998</v>
      </c>
      <c r="X27" s="114">
        <f>ROUND(0.7*Table1[[#This Row],[E&amp;D Rate per unit]]*R27*Table1[[#This Row],[Quantity]],2)</f>
        <v>4008.99</v>
      </c>
      <c r="Y27" s="114">
        <f t="shared" si="4"/>
        <v>907.74</v>
      </c>
      <c r="Z27" s="114">
        <f>ROUND(0.3*T27*Table1[[#This Row],[E&amp;D Rate per unit]]*Table1[[#This Row],[Quantity]],2)</f>
        <v>1718.14</v>
      </c>
      <c r="AA27" s="114">
        <v>6634.87</v>
      </c>
      <c r="AB27" s="136">
        <v>0</v>
      </c>
      <c r="AC27" s="136">
        <v>6634.87</v>
      </c>
      <c r="AD27" s="115" t="s">
        <v>195</v>
      </c>
      <c r="AE27" s="162"/>
      <c r="AF27" s="158">
        <f>Table1[[#This Row],[Certified Amount (Cum)]]-Table1[[#This Row],[Certified Amount (Previous)]]</f>
        <v>6634.87</v>
      </c>
      <c r="AG27" s="158">
        <f t="shared" si="0"/>
        <v>6634.87</v>
      </c>
      <c r="AH27" s="172">
        <f>Table1[[#This Row],[Certified Amount (Cum)]]-Table1[[#This Row],[Total Amount]]</f>
        <v>0</v>
      </c>
    </row>
    <row r="28" spans="1:34" ht="30" customHeight="1" x14ac:dyDescent="0.3">
      <c r="A28" s="109" t="s">
        <v>91</v>
      </c>
      <c r="B28" s="91" t="s">
        <v>99</v>
      </c>
      <c r="C28" s="144" t="s">
        <v>197</v>
      </c>
      <c r="D28" s="110">
        <v>74676</v>
      </c>
      <c r="E28" s="144">
        <v>76755</v>
      </c>
      <c r="F28" s="111" t="s">
        <v>198</v>
      </c>
      <c r="G28" s="17" t="s">
        <v>161</v>
      </c>
      <c r="H28" s="110" t="s">
        <v>178</v>
      </c>
      <c r="I28" s="110">
        <v>1</v>
      </c>
      <c r="J28" s="110">
        <v>3.6</v>
      </c>
      <c r="K28" s="110">
        <v>1.8</v>
      </c>
      <c r="L28" s="110">
        <v>1</v>
      </c>
      <c r="M28" s="110">
        <v>1</v>
      </c>
      <c r="N28" s="112" t="s">
        <v>162</v>
      </c>
      <c r="O28" s="112">
        <f t="shared" si="3"/>
        <v>6.48</v>
      </c>
      <c r="P28" s="125">
        <v>44838</v>
      </c>
      <c r="Q28" s="125">
        <v>44841</v>
      </c>
      <c r="R28" s="113">
        <v>1</v>
      </c>
      <c r="S28" s="113">
        <v>1</v>
      </c>
      <c r="T28" s="113">
        <v>1</v>
      </c>
      <c r="U28" s="171">
        <f>IF(ISBLANK(Table1[[#This Row],[OHC Date]]),$B$7-Table1[[#This Row],[HOC Date]]+1,Table1[[#This Row],[OHC Date]]-Table1[[#This Row],[HOC Date]]+1)/7</f>
        <v>0.5714285714285714</v>
      </c>
      <c r="V28" s="114">
        <v>6.63</v>
      </c>
      <c r="W28" s="114">
        <v>0.7</v>
      </c>
      <c r="X28" s="114">
        <f>ROUND(0.7*Table1[[#This Row],[E&amp;D Rate per unit]]*R28*Table1[[#This Row],[Quantity]],2)</f>
        <v>30.07</v>
      </c>
      <c r="Y28" s="114">
        <f t="shared" si="4"/>
        <v>2.59</v>
      </c>
      <c r="Z28" s="114">
        <f>ROUND(0.3*T28*Table1[[#This Row],[E&amp;D Rate per unit]]*Table1[[#This Row],[Quantity]],2)</f>
        <v>12.89</v>
      </c>
      <c r="AA28" s="114">
        <v>45.55</v>
      </c>
      <c r="AB28" s="136">
        <v>0</v>
      </c>
      <c r="AC28" s="136">
        <v>45.55</v>
      </c>
      <c r="AD28" s="115"/>
      <c r="AE28" s="162"/>
      <c r="AF28" s="158">
        <f>Table1[[#This Row],[Certified Amount (Cum)]]-Table1[[#This Row],[Certified Amount (Previous)]]</f>
        <v>45.55</v>
      </c>
      <c r="AG28" s="158">
        <f t="shared" si="0"/>
        <v>45.55</v>
      </c>
      <c r="AH28" s="172">
        <f>Table1[[#This Row],[Certified Amount (Cum)]]-Table1[[#This Row],[Total Amount]]</f>
        <v>0</v>
      </c>
    </row>
    <row r="29" spans="1:34" ht="30" customHeight="1" x14ac:dyDescent="0.3">
      <c r="A29" s="109" t="s">
        <v>199</v>
      </c>
      <c r="B29" s="91" t="s">
        <v>99</v>
      </c>
      <c r="C29" s="144">
        <v>6</v>
      </c>
      <c r="D29" s="110">
        <v>74677</v>
      </c>
      <c r="E29" s="110"/>
      <c r="F29" s="111" t="s">
        <v>201</v>
      </c>
      <c r="G29" s="17" t="s">
        <v>202</v>
      </c>
      <c r="H29" s="110" t="s">
        <v>203</v>
      </c>
      <c r="I29" s="110">
        <v>1</v>
      </c>
      <c r="J29" s="110"/>
      <c r="K29" s="110"/>
      <c r="L29" s="110"/>
      <c r="M29" s="110"/>
      <c r="N29" s="112" t="s">
        <v>56</v>
      </c>
      <c r="O29" s="112">
        <f t="shared" si="3"/>
        <v>1</v>
      </c>
      <c r="P29" s="125">
        <v>44844</v>
      </c>
      <c r="Q29" s="125"/>
      <c r="R29" s="113">
        <v>1</v>
      </c>
      <c r="S29" s="113">
        <v>1</v>
      </c>
      <c r="T29" s="113">
        <v>0</v>
      </c>
      <c r="U29" s="171">
        <f>IF(ISBLANK(Table1[[#This Row],[OHC Date]]),$B$7-Table1[[#This Row],[HOC Date]]+1,Table1[[#This Row],[OHC Date]]-Table1[[#This Row],[HOC Date]]+1)/7</f>
        <v>2.2857142857142856</v>
      </c>
      <c r="V29" s="114">
        <v>4959.7700000000004</v>
      </c>
      <c r="W29" s="114">
        <v>123.48</v>
      </c>
      <c r="X29" s="114">
        <f>ROUND(0.7*Table1[[#This Row],[E&amp;D Rate per unit]]*R29*Table1[[#This Row],[Quantity]],2)</f>
        <v>3471.84</v>
      </c>
      <c r="Y29" s="114">
        <f t="shared" si="4"/>
        <v>282.24</v>
      </c>
      <c r="Z29" s="114">
        <f>ROUND(0.3*T29*Table1[[#This Row],[E&amp;D Rate per unit]]*Table1[[#This Row],[Quantity]],2)</f>
        <v>0</v>
      </c>
      <c r="AA29" s="114">
        <v>3754.08</v>
      </c>
      <c r="AB29" s="136">
        <v>0</v>
      </c>
      <c r="AC29" s="136">
        <v>3754.08</v>
      </c>
      <c r="AD29" s="115" t="s">
        <v>204</v>
      </c>
      <c r="AE29" s="162"/>
      <c r="AF29" s="158">
        <f>Table1[[#This Row],[Certified Amount (Cum)]]-Table1[[#This Row],[Certified Amount (Previous)]]</f>
        <v>3754.08</v>
      </c>
      <c r="AG29" s="158">
        <f t="shared" si="0"/>
        <v>3754.08</v>
      </c>
      <c r="AH29" s="172">
        <f>Table1[[#This Row],[Certified Amount (Cum)]]-Table1[[#This Row],[Total Amount]]</f>
        <v>0</v>
      </c>
    </row>
    <row r="30" spans="1:34" ht="30" customHeight="1" x14ac:dyDescent="0.3">
      <c r="A30" s="109" t="s">
        <v>91</v>
      </c>
      <c r="B30" s="91" t="s">
        <v>99</v>
      </c>
      <c r="C30" s="144">
        <v>7</v>
      </c>
      <c r="D30" s="110">
        <v>74678</v>
      </c>
      <c r="E30" s="110"/>
      <c r="F30" s="111" t="s">
        <v>205</v>
      </c>
      <c r="G30" s="17" t="s">
        <v>206</v>
      </c>
      <c r="H30" s="110" t="s">
        <v>207</v>
      </c>
      <c r="I30" s="110">
        <v>1</v>
      </c>
      <c r="J30" s="110">
        <v>15</v>
      </c>
      <c r="K30" s="110">
        <v>1.5</v>
      </c>
      <c r="L30" s="110">
        <v>0.8</v>
      </c>
      <c r="M30" s="110">
        <v>1</v>
      </c>
      <c r="N30" s="112" t="s">
        <v>208</v>
      </c>
      <c r="O30" s="112">
        <f t="shared" ref="O30:O41" si="5">ROUND(IF(N30="m3",I30*J30*K30*L30,IF(N30="m2-LxH",I30*J30*L30,IF(N30="m2-LxW",I30*J30*K30,IF(N30="rm",I30*L30,IF(N30="lm",I30*J30,IF(N30="unit",I30,"NA")))))),2)</f>
        <v>12</v>
      </c>
      <c r="P30" s="125">
        <v>44844</v>
      </c>
      <c r="Q30" s="125"/>
      <c r="R30" s="113">
        <v>1</v>
      </c>
      <c r="S30" s="113">
        <v>1</v>
      </c>
      <c r="T30" s="113">
        <v>0</v>
      </c>
      <c r="U30" s="171">
        <f>IF(ISBLANK(Table1[[#This Row],[OHC Date]]),$B$7-Table1[[#This Row],[HOC Date]]+1,Table1[[#This Row],[OHC Date]]-Table1[[#This Row],[HOC Date]]+1)/7</f>
        <v>2.2857142857142856</v>
      </c>
      <c r="V30" s="114">
        <v>12.01</v>
      </c>
      <c r="W30" s="114">
        <v>0.49</v>
      </c>
      <c r="X30" s="114">
        <f>ROUND(0.7*Table1[[#This Row],[E&amp;D Rate per unit]]*R30*Table1[[#This Row],[Quantity]],2)</f>
        <v>100.88</v>
      </c>
      <c r="Y30" s="114">
        <f t="shared" ref="Y30:Y41" si="6">ROUND(O30*U30*W30*S30,2)</f>
        <v>13.44</v>
      </c>
      <c r="Z30" s="114">
        <f>ROUND(0.3*T30*Table1[[#This Row],[E&amp;D Rate per unit]]*Table1[[#This Row],[Quantity]],2)</f>
        <v>0</v>
      </c>
      <c r="AA30" s="114">
        <v>114.32</v>
      </c>
      <c r="AB30" s="139">
        <v>0</v>
      </c>
      <c r="AC30" s="136">
        <v>114.32</v>
      </c>
      <c r="AD30" s="115"/>
      <c r="AE30" s="162"/>
      <c r="AF30" s="158">
        <f>Table1[[#This Row],[Certified Amount (Cum)]]-Table1[[#This Row],[Certified Amount (Previous)]]</f>
        <v>114.32</v>
      </c>
      <c r="AG30" s="158">
        <f t="shared" si="0"/>
        <v>114.32</v>
      </c>
      <c r="AH30" s="172">
        <f>Table1[[#This Row],[Certified Amount (Cum)]]-Table1[[#This Row],[Total Amount]]</f>
        <v>0</v>
      </c>
    </row>
    <row r="31" spans="1:34" ht="30" customHeight="1" x14ac:dyDescent="0.3">
      <c r="A31" s="109" t="s">
        <v>91</v>
      </c>
      <c r="B31" s="91" t="s">
        <v>99</v>
      </c>
      <c r="C31" s="144" t="s">
        <v>209</v>
      </c>
      <c r="D31" s="110">
        <v>74679</v>
      </c>
      <c r="E31" s="144">
        <v>76756</v>
      </c>
      <c r="F31" s="111" t="s">
        <v>210</v>
      </c>
      <c r="G31" s="17" t="s">
        <v>211</v>
      </c>
      <c r="H31" s="110" t="s">
        <v>178</v>
      </c>
      <c r="I31" s="110">
        <v>1</v>
      </c>
      <c r="J31" s="110">
        <v>4</v>
      </c>
      <c r="K31" s="110">
        <v>1</v>
      </c>
      <c r="L31" s="110">
        <v>1</v>
      </c>
      <c r="M31" s="110">
        <v>1</v>
      </c>
      <c r="N31" s="112" t="s">
        <v>162</v>
      </c>
      <c r="O31" s="112">
        <f t="shared" si="5"/>
        <v>4</v>
      </c>
      <c r="P31" s="125">
        <v>44844</v>
      </c>
      <c r="Q31" s="125">
        <v>44845</v>
      </c>
      <c r="R31" s="113">
        <v>1</v>
      </c>
      <c r="S31" s="113">
        <v>1</v>
      </c>
      <c r="T31" s="113">
        <v>1</v>
      </c>
      <c r="U31" s="171">
        <f>IF(ISBLANK(Table1[[#This Row],[OHC Date]]),$B$7-Table1[[#This Row],[HOC Date]]+1,Table1[[#This Row],[OHC Date]]-Table1[[#This Row],[HOC Date]]+1)/7</f>
        <v>0.2857142857142857</v>
      </c>
      <c r="V31" s="114">
        <v>6.63</v>
      </c>
      <c r="W31" s="114">
        <v>0.7</v>
      </c>
      <c r="X31" s="114">
        <f>ROUND(0.7*Table1[[#This Row],[E&amp;D Rate per unit]]*R31*Table1[[#This Row],[Quantity]],2)</f>
        <v>18.559999999999999</v>
      </c>
      <c r="Y31" s="114">
        <f t="shared" si="6"/>
        <v>0.8</v>
      </c>
      <c r="Z31" s="114">
        <f>ROUND(0.3*T31*Table1[[#This Row],[E&amp;D Rate per unit]]*Table1[[#This Row],[Quantity]],2)</f>
        <v>7.96</v>
      </c>
      <c r="AA31" s="114">
        <v>27.32</v>
      </c>
      <c r="AB31" s="139">
        <v>0</v>
      </c>
      <c r="AC31" s="136">
        <v>27.32</v>
      </c>
      <c r="AD31" s="115"/>
      <c r="AE31" s="162"/>
      <c r="AF31" s="158">
        <f>Table1[[#This Row],[Certified Amount (Cum)]]-Table1[[#This Row],[Certified Amount (Previous)]]</f>
        <v>27.32</v>
      </c>
      <c r="AG31" s="158">
        <f t="shared" si="0"/>
        <v>27.32</v>
      </c>
      <c r="AH31" s="172">
        <f>Table1[[#This Row],[Certified Amount (Cum)]]-Table1[[#This Row],[Total Amount]]</f>
        <v>0</v>
      </c>
    </row>
    <row r="32" spans="1:34" ht="30" customHeight="1" x14ac:dyDescent="0.3">
      <c r="A32" s="109" t="s">
        <v>91</v>
      </c>
      <c r="B32" s="91" t="s">
        <v>99</v>
      </c>
      <c r="C32" s="144" t="s">
        <v>212</v>
      </c>
      <c r="D32" s="110">
        <v>74682</v>
      </c>
      <c r="E32" s="110"/>
      <c r="F32" s="111" t="s">
        <v>213</v>
      </c>
      <c r="G32" s="17" t="s">
        <v>161</v>
      </c>
      <c r="H32" s="110" t="s">
        <v>129</v>
      </c>
      <c r="I32" s="110">
        <v>1</v>
      </c>
      <c r="J32" s="110">
        <v>19</v>
      </c>
      <c r="K32" s="110">
        <v>0.75</v>
      </c>
      <c r="L32" s="110">
        <v>1</v>
      </c>
      <c r="M32" s="110">
        <v>1</v>
      </c>
      <c r="N32" s="112" t="s">
        <v>162</v>
      </c>
      <c r="O32" s="112">
        <f t="shared" si="5"/>
        <v>14.25</v>
      </c>
      <c r="P32" s="125">
        <v>44846</v>
      </c>
      <c r="Q32" s="125"/>
      <c r="R32" s="113">
        <v>1</v>
      </c>
      <c r="S32" s="113">
        <v>1</v>
      </c>
      <c r="T32" s="113">
        <v>0</v>
      </c>
      <c r="U32" s="171">
        <f>IF(ISBLANK(Table1[[#This Row],[OHC Date]]),$B$7-Table1[[#This Row],[HOC Date]]+1,Table1[[#This Row],[OHC Date]]-Table1[[#This Row],[HOC Date]]+1)/7</f>
        <v>2</v>
      </c>
      <c r="V32" s="114">
        <v>36.520000000000003</v>
      </c>
      <c r="W32" s="114">
        <v>2.94</v>
      </c>
      <c r="X32" s="114">
        <f>ROUND(0.7*Table1[[#This Row],[E&amp;D Rate per unit]]*R32*Table1[[#This Row],[Quantity]],2)</f>
        <v>364.29</v>
      </c>
      <c r="Y32" s="114">
        <f t="shared" si="6"/>
        <v>83.79</v>
      </c>
      <c r="Z32" s="114">
        <f>ROUND(0.3*T32*Table1[[#This Row],[E&amp;D Rate per unit]]*Table1[[#This Row],[Quantity]],2)</f>
        <v>0</v>
      </c>
      <c r="AA32" s="114">
        <v>448.08</v>
      </c>
      <c r="AB32" s="136">
        <v>0</v>
      </c>
      <c r="AC32" s="136">
        <v>448.08</v>
      </c>
      <c r="AD32" s="115"/>
      <c r="AE32" s="162"/>
      <c r="AF32" s="158">
        <f>Table1[[#This Row],[Certified Amount (Cum)]]-Table1[[#This Row],[Certified Amount (Previous)]]</f>
        <v>448.08000000000004</v>
      </c>
      <c r="AG32" s="158">
        <f t="shared" si="0"/>
        <v>448.08000000000004</v>
      </c>
      <c r="AH32" s="172">
        <f>Table1[[#This Row],[Certified Amount (Cum)]]-Table1[[#This Row],[Total Amount]]</f>
        <v>0</v>
      </c>
    </row>
    <row r="33" spans="1:34" ht="30" customHeight="1" x14ac:dyDescent="0.3">
      <c r="A33" s="109" t="s">
        <v>91</v>
      </c>
      <c r="B33" s="91" t="s">
        <v>99</v>
      </c>
      <c r="C33" s="144" t="s">
        <v>215</v>
      </c>
      <c r="D33" s="110">
        <v>74683</v>
      </c>
      <c r="E33" s="145">
        <v>76764</v>
      </c>
      <c r="F33" s="111" t="s">
        <v>213</v>
      </c>
      <c r="G33" s="17" t="s">
        <v>161</v>
      </c>
      <c r="H33" s="110" t="s">
        <v>128</v>
      </c>
      <c r="I33" s="110">
        <v>1</v>
      </c>
      <c r="J33" s="110">
        <v>19.8</v>
      </c>
      <c r="K33" s="110">
        <v>0.5</v>
      </c>
      <c r="L33" s="110">
        <v>1</v>
      </c>
      <c r="M33" s="110">
        <v>1</v>
      </c>
      <c r="N33" s="112" t="s">
        <v>162</v>
      </c>
      <c r="O33" s="112">
        <f t="shared" si="5"/>
        <v>9.9</v>
      </c>
      <c r="P33" s="125">
        <v>44846</v>
      </c>
      <c r="Q33" s="125">
        <v>44855</v>
      </c>
      <c r="R33" s="113">
        <v>1</v>
      </c>
      <c r="S33" s="113">
        <v>1</v>
      </c>
      <c r="T33" s="113">
        <v>1</v>
      </c>
      <c r="U33" s="171">
        <f>IF(ISBLANK(Table1[[#This Row],[OHC Date]]),$B$7-Table1[[#This Row],[HOC Date]]+1,Table1[[#This Row],[OHC Date]]-Table1[[#This Row],[HOC Date]]+1)/7</f>
        <v>1.4285714285714286</v>
      </c>
      <c r="V33" s="114">
        <v>32.75</v>
      </c>
      <c r="W33" s="114">
        <v>1.05</v>
      </c>
      <c r="X33" s="114">
        <f>ROUND(0.7*Table1[[#This Row],[E&amp;D Rate per unit]]*R33*Table1[[#This Row],[Quantity]],2)</f>
        <v>226.96</v>
      </c>
      <c r="Y33" s="114">
        <f t="shared" si="6"/>
        <v>14.85</v>
      </c>
      <c r="Z33" s="114">
        <f>ROUND(0.3*T33*Table1[[#This Row],[E&amp;D Rate per unit]]*Table1[[#This Row],[Quantity]],2)</f>
        <v>97.27</v>
      </c>
      <c r="AA33" s="114">
        <v>339.08</v>
      </c>
      <c r="AB33" s="136">
        <v>0</v>
      </c>
      <c r="AC33" s="136">
        <v>339.08</v>
      </c>
      <c r="AD33" s="115"/>
      <c r="AE33" s="162"/>
      <c r="AF33" s="158">
        <f>Table1[[#This Row],[Certified Amount (Cum)]]-Table1[[#This Row],[Certified Amount (Previous)]]</f>
        <v>339.08</v>
      </c>
      <c r="AG33" s="158">
        <f t="shared" si="0"/>
        <v>339.08</v>
      </c>
      <c r="AH33" s="172">
        <f>Table1[[#This Row],[Certified Amount (Cum)]]-Table1[[#This Row],[Total Amount]]</f>
        <v>0</v>
      </c>
    </row>
    <row r="34" spans="1:34" ht="30" customHeight="1" x14ac:dyDescent="0.3">
      <c r="A34" s="109" t="s">
        <v>91</v>
      </c>
      <c r="B34" s="91" t="s">
        <v>99</v>
      </c>
      <c r="C34" s="144">
        <v>11</v>
      </c>
      <c r="D34" s="110">
        <v>74684</v>
      </c>
      <c r="E34" s="144">
        <v>76757</v>
      </c>
      <c r="F34" s="111" t="s">
        <v>216</v>
      </c>
      <c r="G34" s="17" t="s">
        <v>161</v>
      </c>
      <c r="H34" s="110" t="s">
        <v>207</v>
      </c>
      <c r="I34" s="110">
        <v>1</v>
      </c>
      <c r="J34" s="110">
        <v>3.6</v>
      </c>
      <c r="K34" s="110">
        <v>1.2</v>
      </c>
      <c r="L34" s="110">
        <v>2.5</v>
      </c>
      <c r="M34" s="110">
        <v>1</v>
      </c>
      <c r="N34" s="112" t="s">
        <v>208</v>
      </c>
      <c r="O34" s="112">
        <f t="shared" si="5"/>
        <v>9</v>
      </c>
      <c r="P34" s="125">
        <v>44847</v>
      </c>
      <c r="Q34" s="125">
        <v>44849</v>
      </c>
      <c r="R34" s="113">
        <v>1</v>
      </c>
      <c r="S34" s="113">
        <v>1</v>
      </c>
      <c r="T34" s="113">
        <v>1</v>
      </c>
      <c r="U34" s="171">
        <f>IF(ISBLANK(Table1[[#This Row],[OHC Date]]),$B$7-Table1[[#This Row],[HOC Date]]+1,Table1[[#This Row],[OHC Date]]-Table1[[#This Row],[HOC Date]]+1)/7</f>
        <v>0.42857142857142855</v>
      </c>
      <c r="V34" s="114">
        <v>12.01</v>
      </c>
      <c r="W34" s="114">
        <v>0.49</v>
      </c>
      <c r="X34" s="114">
        <f>ROUND(0.7*Table1[[#This Row],[E&amp;D Rate per unit]]*R34*Table1[[#This Row],[Quantity]],2)</f>
        <v>75.66</v>
      </c>
      <c r="Y34" s="114">
        <f t="shared" si="6"/>
        <v>1.89</v>
      </c>
      <c r="Z34" s="114">
        <f>ROUND(0.3*T34*Table1[[#This Row],[E&amp;D Rate per unit]]*Table1[[#This Row],[Quantity]],2)</f>
        <v>32.43</v>
      </c>
      <c r="AA34" s="114">
        <v>109.98</v>
      </c>
      <c r="AB34" s="136">
        <v>0</v>
      </c>
      <c r="AC34" s="136">
        <v>109.98</v>
      </c>
      <c r="AD34" s="115"/>
      <c r="AE34" s="162"/>
      <c r="AF34" s="158">
        <f>Table1[[#This Row],[Certified Amount (Cum)]]-Table1[[#This Row],[Certified Amount (Previous)]]</f>
        <v>109.97999999999999</v>
      </c>
      <c r="AG34" s="158">
        <f t="shared" si="0"/>
        <v>109.97999999999999</v>
      </c>
      <c r="AH34" s="172">
        <f>Table1[[#This Row],[Certified Amount (Cum)]]-Table1[[#This Row],[Total Amount]]</f>
        <v>0</v>
      </c>
    </row>
    <row r="35" spans="1:34" ht="30" customHeight="1" x14ac:dyDescent="0.3">
      <c r="A35" s="138" t="s">
        <v>199</v>
      </c>
      <c r="B35" s="91" t="s">
        <v>99</v>
      </c>
      <c r="C35" s="144">
        <v>12</v>
      </c>
      <c r="D35" s="110">
        <v>74685</v>
      </c>
      <c r="E35" s="110"/>
      <c r="F35" s="17" t="s">
        <v>201</v>
      </c>
      <c r="G35" s="17" t="s">
        <v>202</v>
      </c>
      <c r="H35" s="110" t="s">
        <v>203</v>
      </c>
      <c r="I35" s="110">
        <v>1</v>
      </c>
      <c r="J35" s="110"/>
      <c r="K35" s="110"/>
      <c r="L35" s="110"/>
      <c r="M35" s="110"/>
      <c r="N35" s="112" t="s">
        <v>56</v>
      </c>
      <c r="O35" s="112">
        <f t="shared" si="5"/>
        <v>1</v>
      </c>
      <c r="P35" s="125">
        <v>44848</v>
      </c>
      <c r="Q35" s="125"/>
      <c r="R35" s="113">
        <v>1</v>
      </c>
      <c r="S35" s="113">
        <v>1</v>
      </c>
      <c r="T35" s="113">
        <v>0</v>
      </c>
      <c r="U35" s="171">
        <f>IF(ISBLANK(Table1[[#This Row],[OHC Date]]),$B$7-Table1[[#This Row],[HOC Date]]+1,Table1[[#This Row],[OHC Date]]-Table1[[#This Row],[HOC Date]]+1)/7</f>
        <v>1.7142857142857142</v>
      </c>
      <c r="V35" s="114">
        <v>4959.7700000000004</v>
      </c>
      <c r="W35" s="114">
        <v>123.48</v>
      </c>
      <c r="X35" s="114">
        <f>ROUND(0.7*Table1[[#This Row],[E&amp;D Rate per unit]]*R35*Table1[[#This Row],[Quantity]],2)</f>
        <v>3471.84</v>
      </c>
      <c r="Y35" s="114">
        <f t="shared" si="6"/>
        <v>211.68</v>
      </c>
      <c r="Z35" s="114">
        <f>ROUND(0.3*T35*Table1[[#This Row],[E&amp;D Rate per unit]]*Table1[[#This Row],[Quantity]],2)</f>
        <v>0</v>
      </c>
      <c r="AA35" s="114">
        <v>3683.52</v>
      </c>
      <c r="AB35" s="136">
        <v>0</v>
      </c>
      <c r="AC35" s="136">
        <v>3683.52</v>
      </c>
      <c r="AD35" s="137" t="s">
        <v>204</v>
      </c>
      <c r="AE35" s="161"/>
      <c r="AF35" s="158">
        <f>Table1[[#This Row],[Certified Amount (Cum)]]-Table1[[#This Row],[Certified Amount (Previous)]]</f>
        <v>3683.52</v>
      </c>
      <c r="AG35" s="158">
        <f t="shared" si="0"/>
        <v>3683.52</v>
      </c>
      <c r="AH35" s="172">
        <f>Table1[[#This Row],[Certified Amount (Cum)]]-Table1[[#This Row],[Total Amount]]</f>
        <v>0</v>
      </c>
    </row>
    <row r="36" spans="1:34" ht="30" customHeight="1" x14ac:dyDescent="0.3">
      <c r="A36" s="109" t="s">
        <v>91</v>
      </c>
      <c r="B36" s="91" t="s">
        <v>99</v>
      </c>
      <c r="C36" s="144">
        <v>13</v>
      </c>
      <c r="D36" s="110">
        <v>74686</v>
      </c>
      <c r="E36" s="110"/>
      <c r="F36" s="111" t="s">
        <v>217</v>
      </c>
      <c r="G36" s="17" t="s">
        <v>218</v>
      </c>
      <c r="H36" s="110" t="s">
        <v>207</v>
      </c>
      <c r="I36" s="110">
        <v>1</v>
      </c>
      <c r="J36" s="110">
        <v>7.3</v>
      </c>
      <c r="K36" s="110">
        <v>1.3</v>
      </c>
      <c r="L36" s="110">
        <v>1.7</v>
      </c>
      <c r="M36" s="110">
        <v>1</v>
      </c>
      <c r="N36" s="112" t="s">
        <v>208</v>
      </c>
      <c r="O36" s="112">
        <f t="shared" si="5"/>
        <v>12.41</v>
      </c>
      <c r="P36" s="125">
        <v>44848</v>
      </c>
      <c r="Q36" s="125"/>
      <c r="R36" s="113">
        <v>1</v>
      </c>
      <c r="S36" s="113">
        <v>1</v>
      </c>
      <c r="T36" s="113">
        <v>0</v>
      </c>
      <c r="U36" s="171">
        <f>IF(ISBLANK(Table1[[#This Row],[OHC Date]]),$B$7-Table1[[#This Row],[HOC Date]]+1,Table1[[#This Row],[OHC Date]]-Table1[[#This Row],[HOC Date]]+1)/7</f>
        <v>1.7142857142857142</v>
      </c>
      <c r="V36" s="114">
        <v>12.01</v>
      </c>
      <c r="W36" s="114">
        <v>0.49</v>
      </c>
      <c r="X36" s="114">
        <f>ROUND(0.7*Table1[[#This Row],[E&amp;D Rate per unit]]*R36*Table1[[#This Row],[Quantity]],2)</f>
        <v>104.33</v>
      </c>
      <c r="Y36" s="114">
        <f t="shared" si="6"/>
        <v>10.42</v>
      </c>
      <c r="Z36" s="114">
        <f>ROUND(0.3*T36*Table1[[#This Row],[E&amp;D Rate per unit]]*Table1[[#This Row],[Quantity]],2)</f>
        <v>0</v>
      </c>
      <c r="AA36" s="114">
        <v>114.75</v>
      </c>
      <c r="AB36" s="136">
        <v>0</v>
      </c>
      <c r="AC36" s="136">
        <v>114.75</v>
      </c>
      <c r="AD36" s="115" t="s">
        <v>220</v>
      </c>
      <c r="AE36" s="162"/>
      <c r="AF36" s="158">
        <f>Table1[[#This Row],[Certified Amount (Cum)]]-Table1[[#This Row],[Certified Amount (Previous)]]</f>
        <v>114.75</v>
      </c>
      <c r="AG36" s="158">
        <f t="shared" si="0"/>
        <v>114.75</v>
      </c>
      <c r="AH36" s="172">
        <f>Table1[[#This Row],[Certified Amount (Cum)]]-Table1[[#This Row],[Total Amount]]</f>
        <v>0</v>
      </c>
    </row>
    <row r="37" spans="1:34" ht="30" customHeight="1" x14ac:dyDescent="0.3">
      <c r="A37" s="109" t="s">
        <v>91</v>
      </c>
      <c r="B37" s="91" t="s">
        <v>99</v>
      </c>
      <c r="C37" s="144">
        <v>14</v>
      </c>
      <c r="D37" s="110">
        <v>74687</v>
      </c>
      <c r="E37" s="144">
        <v>76763</v>
      </c>
      <c r="F37" s="111" t="s">
        <v>219</v>
      </c>
      <c r="G37" s="17" t="s">
        <v>218</v>
      </c>
      <c r="H37" s="110" t="s">
        <v>207</v>
      </c>
      <c r="I37" s="110">
        <v>1</v>
      </c>
      <c r="J37" s="110">
        <v>5.0999999999999996</v>
      </c>
      <c r="K37" s="110">
        <v>1.3</v>
      </c>
      <c r="L37" s="110">
        <v>1.6</v>
      </c>
      <c r="M37" s="110">
        <v>1</v>
      </c>
      <c r="N37" s="112" t="s">
        <v>208</v>
      </c>
      <c r="O37" s="112">
        <f t="shared" si="5"/>
        <v>8.16</v>
      </c>
      <c r="P37" s="125">
        <v>44849</v>
      </c>
      <c r="Q37" s="125">
        <v>44851</v>
      </c>
      <c r="R37" s="113">
        <v>1</v>
      </c>
      <c r="S37" s="113">
        <v>1</v>
      </c>
      <c r="T37" s="113">
        <v>1</v>
      </c>
      <c r="U37" s="171">
        <f>IF(ISBLANK(Table1[[#This Row],[OHC Date]]),$B$7-Table1[[#This Row],[HOC Date]]+1,Table1[[#This Row],[OHC Date]]-Table1[[#This Row],[HOC Date]]+1)/7</f>
        <v>0.42857142857142855</v>
      </c>
      <c r="V37" s="114">
        <v>12.01</v>
      </c>
      <c r="W37" s="114">
        <v>0.49</v>
      </c>
      <c r="X37" s="114">
        <f>ROUND(0.7*Table1[[#This Row],[E&amp;D Rate per unit]]*R37*Table1[[#This Row],[Quantity]],2)</f>
        <v>68.599999999999994</v>
      </c>
      <c r="Y37" s="114">
        <f t="shared" si="6"/>
        <v>1.71</v>
      </c>
      <c r="Z37" s="114">
        <f>ROUND(0.3*T37*Table1[[#This Row],[E&amp;D Rate per unit]]*Table1[[#This Row],[Quantity]],2)</f>
        <v>29.4</v>
      </c>
      <c r="AA37" s="114">
        <v>99.71</v>
      </c>
      <c r="AB37" s="136">
        <v>0</v>
      </c>
      <c r="AC37" s="136">
        <v>99.71</v>
      </c>
      <c r="AD37" s="115"/>
      <c r="AE37" s="162"/>
      <c r="AF37" s="158">
        <f>Table1[[#This Row],[Certified Amount (Cum)]]-Table1[[#This Row],[Certified Amount (Previous)]]</f>
        <v>99.70999999999998</v>
      </c>
      <c r="AG37" s="158">
        <f t="shared" si="0"/>
        <v>99.70999999999998</v>
      </c>
      <c r="AH37" s="172">
        <f>Table1[[#This Row],[Certified Amount (Cum)]]-Table1[[#This Row],[Total Amount]]</f>
        <v>0</v>
      </c>
    </row>
    <row r="38" spans="1:34" ht="30" customHeight="1" x14ac:dyDescent="0.3">
      <c r="A38" s="109" t="s">
        <v>91</v>
      </c>
      <c r="B38" s="91" t="s">
        <v>99</v>
      </c>
      <c r="C38" s="144">
        <v>15</v>
      </c>
      <c r="D38" s="110">
        <v>74688</v>
      </c>
      <c r="E38" s="110"/>
      <c r="F38" s="111" t="s">
        <v>217</v>
      </c>
      <c r="G38" s="17" t="s">
        <v>218</v>
      </c>
      <c r="H38" s="110" t="s">
        <v>207</v>
      </c>
      <c r="I38" s="110">
        <v>1</v>
      </c>
      <c r="J38" s="110">
        <v>5</v>
      </c>
      <c r="K38" s="110">
        <v>1.2</v>
      </c>
      <c r="L38" s="110">
        <v>2</v>
      </c>
      <c r="M38" s="110">
        <v>1</v>
      </c>
      <c r="N38" s="112" t="s">
        <v>208</v>
      </c>
      <c r="O38" s="112">
        <f t="shared" si="5"/>
        <v>10</v>
      </c>
      <c r="P38" s="125">
        <v>44851</v>
      </c>
      <c r="Q38" s="125"/>
      <c r="R38" s="113">
        <v>1</v>
      </c>
      <c r="S38" s="113">
        <v>1</v>
      </c>
      <c r="T38" s="113">
        <v>0</v>
      </c>
      <c r="U38" s="171">
        <f>IF(ISBLANK(Table1[[#This Row],[OHC Date]]),$B$7-Table1[[#This Row],[HOC Date]]+1,Table1[[#This Row],[OHC Date]]-Table1[[#This Row],[HOC Date]]+1)/7</f>
        <v>1.2857142857142858</v>
      </c>
      <c r="V38" s="114">
        <v>12.01</v>
      </c>
      <c r="W38" s="114">
        <v>0.49</v>
      </c>
      <c r="X38" s="114">
        <f>ROUND(0.7*Table1[[#This Row],[E&amp;D Rate per unit]]*R38*Table1[[#This Row],[Quantity]],2)</f>
        <v>84.07</v>
      </c>
      <c r="Y38" s="114">
        <f t="shared" si="6"/>
        <v>6.3</v>
      </c>
      <c r="Z38" s="114">
        <f>ROUND(0.3*T38*Table1[[#This Row],[E&amp;D Rate per unit]]*Table1[[#This Row],[Quantity]],2)</f>
        <v>0</v>
      </c>
      <c r="AA38" s="114">
        <v>90.37</v>
      </c>
      <c r="AB38" s="136">
        <v>0</v>
      </c>
      <c r="AC38" s="136">
        <v>90.37</v>
      </c>
      <c r="AD38" s="115" t="s">
        <v>220</v>
      </c>
      <c r="AE38" s="162"/>
      <c r="AF38" s="158">
        <f>Table1[[#This Row],[Certified Amount (Cum)]]-Table1[[#This Row],[Certified Amount (Previous)]]</f>
        <v>90.36999999999999</v>
      </c>
      <c r="AG38" s="158">
        <f t="shared" si="0"/>
        <v>90.36999999999999</v>
      </c>
      <c r="AH38" s="172">
        <f>Table1[[#This Row],[Certified Amount (Cum)]]-Table1[[#This Row],[Total Amount]]</f>
        <v>0</v>
      </c>
    </row>
    <row r="39" spans="1:34" ht="30" customHeight="1" x14ac:dyDescent="0.3">
      <c r="A39" s="109" t="s">
        <v>91</v>
      </c>
      <c r="B39" s="91" t="s">
        <v>99</v>
      </c>
      <c r="C39" s="144">
        <v>16</v>
      </c>
      <c r="D39" s="110">
        <v>74689</v>
      </c>
      <c r="E39" s="144">
        <v>76766</v>
      </c>
      <c r="F39" s="111" t="s">
        <v>221</v>
      </c>
      <c r="G39" s="17" t="s">
        <v>192</v>
      </c>
      <c r="H39" s="110" t="s">
        <v>222</v>
      </c>
      <c r="I39" s="110">
        <v>1</v>
      </c>
      <c r="J39" s="110">
        <v>2.5</v>
      </c>
      <c r="K39" s="110">
        <v>1.8</v>
      </c>
      <c r="L39" s="110">
        <v>2.2999999999999998</v>
      </c>
      <c r="M39" s="110">
        <v>1</v>
      </c>
      <c r="N39" s="112" t="s">
        <v>223</v>
      </c>
      <c r="O39" s="112">
        <f t="shared" si="5"/>
        <v>2.2999999999999998</v>
      </c>
      <c r="P39" s="125">
        <v>44851</v>
      </c>
      <c r="Q39" s="125">
        <v>44856</v>
      </c>
      <c r="R39" s="113">
        <v>1</v>
      </c>
      <c r="S39" s="113">
        <v>1</v>
      </c>
      <c r="T39" s="113">
        <v>1</v>
      </c>
      <c r="U39" s="171">
        <f>IF(ISBLANK(Table1[[#This Row],[OHC Date]]),$B$7-Table1[[#This Row],[HOC Date]]+1,Table1[[#This Row],[OHC Date]]-Table1[[#This Row],[HOC Date]]+1)/7</f>
        <v>0.8571428571428571</v>
      </c>
      <c r="V39" s="114">
        <v>63.34</v>
      </c>
      <c r="W39" s="114">
        <v>7.28</v>
      </c>
      <c r="X39" s="114">
        <f>ROUND(0.7*Table1[[#This Row],[E&amp;D Rate per unit]]*R39*Table1[[#This Row],[Quantity]],2)</f>
        <v>101.98</v>
      </c>
      <c r="Y39" s="114">
        <f t="shared" si="6"/>
        <v>14.35</v>
      </c>
      <c r="Z39" s="114">
        <f>ROUND(0.3*T39*Table1[[#This Row],[E&amp;D Rate per unit]]*Table1[[#This Row],[Quantity]],2)</f>
        <v>43.7</v>
      </c>
      <c r="AA39" s="114">
        <v>160.03</v>
      </c>
      <c r="AB39" s="136">
        <v>0</v>
      </c>
      <c r="AC39" s="136">
        <v>160.03</v>
      </c>
      <c r="AD39" s="115" t="s">
        <v>220</v>
      </c>
      <c r="AE39" s="162"/>
      <c r="AF39" s="158">
        <f>Table1[[#This Row],[Certified Amount (Cum)]]-Table1[[#This Row],[Certified Amount (Previous)]]</f>
        <v>160.03</v>
      </c>
      <c r="AG39" s="158">
        <f t="shared" si="0"/>
        <v>160.03</v>
      </c>
      <c r="AH39" s="172">
        <f>Table1[[#This Row],[Certified Amount (Cum)]]-Table1[[#This Row],[Total Amount]]</f>
        <v>0</v>
      </c>
    </row>
    <row r="40" spans="1:34" ht="30" customHeight="1" x14ac:dyDescent="0.3">
      <c r="A40" s="109" t="s">
        <v>91</v>
      </c>
      <c r="B40" s="91" t="s">
        <v>99</v>
      </c>
      <c r="C40" s="144">
        <v>16</v>
      </c>
      <c r="D40" s="110">
        <v>74689</v>
      </c>
      <c r="E40" s="144">
        <v>76766</v>
      </c>
      <c r="F40" s="111" t="s">
        <v>221</v>
      </c>
      <c r="G40" s="17" t="s">
        <v>192</v>
      </c>
      <c r="H40" s="110" t="s">
        <v>178</v>
      </c>
      <c r="I40" s="110">
        <v>1</v>
      </c>
      <c r="J40" s="110">
        <v>2.5</v>
      </c>
      <c r="K40" s="110">
        <v>1.8</v>
      </c>
      <c r="L40" s="110">
        <v>1</v>
      </c>
      <c r="M40" s="110">
        <v>1</v>
      </c>
      <c r="N40" s="112" t="s">
        <v>162</v>
      </c>
      <c r="O40" s="112">
        <f>ROUND(IF(N40="m3",I40*J40*K40*L40,IF(N40="m2-LxH",I40*J40*L40,IF(N40="m2-LxW",I40*J40*K40,IF(N40="rm",I40*L40,IF(N40="lm",I40*J40,IF(N40="unit",I40,"NA")))))),2)</f>
        <v>4.5</v>
      </c>
      <c r="P40" s="125">
        <v>44851</v>
      </c>
      <c r="Q40" s="125">
        <v>44856</v>
      </c>
      <c r="R40" s="113">
        <v>1</v>
      </c>
      <c r="S40" s="113">
        <v>1</v>
      </c>
      <c r="T40" s="113">
        <v>1</v>
      </c>
      <c r="U40" s="171">
        <f>IF(ISBLANK(Table1[[#This Row],[OHC Date]]),$B$7-Table1[[#This Row],[HOC Date]]+1,Table1[[#This Row],[OHC Date]]-Table1[[#This Row],[HOC Date]]+1)/7</f>
        <v>0.8571428571428571</v>
      </c>
      <c r="V40" s="114">
        <v>6.63</v>
      </c>
      <c r="W40" s="114">
        <v>0.7</v>
      </c>
      <c r="X40" s="114">
        <f>ROUND(0.7*Table1[[#This Row],[E&amp;D Rate per unit]]*R40*Table1[[#This Row],[Quantity]],2)</f>
        <v>20.88</v>
      </c>
      <c r="Y40" s="114">
        <f>ROUND(O40*U40*W40*S40,2)</f>
        <v>2.7</v>
      </c>
      <c r="Z40" s="114">
        <f>ROUND(0.3*T40*Table1[[#This Row],[E&amp;D Rate per unit]]*Table1[[#This Row],[Quantity]],2)</f>
        <v>8.9499999999999993</v>
      </c>
      <c r="AA40" s="114">
        <v>32.53</v>
      </c>
      <c r="AB40" s="136">
        <v>0</v>
      </c>
      <c r="AC40" s="136">
        <v>32.53</v>
      </c>
      <c r="AD40" s="115" t="s">
        <v>220</v>
      </c>
      <c r="AE40" s="162"/>
      <c r="AF40" s="158">
        <f>Table1[[#This Row],[Certified Amount (Cum)]]-Table1[[#This Row],[Certified Amount (Previous)]]</f>
        <v>32.53</v>
      </c>
      <c r="AG40" s="158">
        <f t="shared" si="0"/>
        <v>32.53</v>
      </c>
      <c r="AH40" s="172">
        <f>Table1[[#This Row],[Certified Amount (Cum)]]-Table1[[#This Row],[Total Amount]]</f>
        <v>0</v>
      </c>
    </row>
    <row r="41" spans="1:34" ht="30" customHeight="1" x14ac:dyDescent="0.3">
      <c r="A41" s="109" t="s">
        <v>91</v>
      </c>
      <c r="B41" s="91" t="s">
        <v>99</v>
      </c>
      <c r="C41" s="144">
        <v>17</v>
      </c>
      <c r="D41" s="110">
        <v>74690</v>
      </c>
      <c r="E41" s="110"/>
      <c r="F41" s="111" t="s">
        <v>224</v>
      </c>
      <c r="G41" s="17" t="s">
        <v>225</v>
      </c>
      <c r="H41" s="110" t="s">
        <v>121</v>
      </c>
      <c r="I41" s="110">
        <v>1</v>
      </c>
      <c r="J41" s="110">
        <v>17.5</v>
      </c>
      <c r="K41" s="110">
        <v>10</v>
      </c>
      <c r="L41" s="110">
        <v>6.2</v>
      </c>
      <c r="M41" s="110">
        <v>1</v>
      </c>
      <c r="N41" s="112" t="s">
        <v>226</v>
      </c>
      <c r="O41" s="112">
        <f t="shared" si="5"/>
        <v>1085</v>
      </c>
      <c r="P41" s="125">
        <v>44852</v>
      </c>
      <c r="Q41" s="125"/>
      <c r="R41" s="113">
        <v>1</v>
      </c>
      <c r="S41" s="113">
        <v>1</v>
      </c>
      <c r="T41" s="113">
        <v>0</v>
      </c>
      <c r="U41" s="171">
        <f>IF(ISBLANK(Table1[[#This Row],[OHC Date]]),$B$7-Table1[[#This Row],[HOC Date]]+1,Table1[[#This Row],[OHC Date]]-Table1[[#This Row],[HOC Date]]+1)/7</f>
        <v>1.1428571428571428</v>
      </c>
      <c r="V41" s="114">
        <v>7.08</v>
      </c>
      <c r="W41" s="114">
        <v>0.49</v>
      </c>
      <c r="X41" s="114">
        <f>ROUND(0.7*Table1[[#This Row],[E&amp;D Rate per unit]]*R41*Table1[[#This Row],[Quantity]],2)</f>
        <v>5377.26</v>
      </c>
      <c r="Y41" s="114">
        <f t="shared" si="6"/>
        <v>607.6</v>
      </c>
      <c r="Z41" s="114">
        <f>ROUND(0.3*T41*Table1[[#This Row],[E&amp;D Rate per unit]]*Table1[[#This Row],[Quantity]],2)</f>
        <v>0</v>
      </c>
      <c r="AA41" s="114">
        <v>5984.86</v>
      </c>
      <c r="AB41" s="136">
        <v>0</v>
      </c>
      <c r="AC41" s="136">
        <v>5984.86</v>
      </c>
      <c r="AD41" s="115" t="s">
        <v>220</v>
      </c>
      <c r="AE41" s="162"/>
      <c r="AF41" s="158">
        <f>Table1[[#This Row],[Certified Amount (Cum)]]-Table1[[#This Row],[Certified Amount (Previous)]]</f>
        <v>5984.8600000000006</v>
      </c>
      <c r="AG41" s="158">
        <f t="shared" si="0"/>
        <v>5984.8600000000006</v>
      </c>
      <c r="AH41" s="172">
        <f>Table1[[#This Row],[Certified Amount (Cum)]]-Table1[[#This Row],[Total Amount]]</f>
        <v>0</v>
      </c>
    </row>
    <row r="42" spans="1:34" ht="30" customHeight="1" x14ac:dyDescent="0.3">
      <c r="A42" s="109" t="s">
        <v>91</v>
      </c>
      <c r="B42" s="91" t="s">
        <v>99</v>
      </c>
      <c r="C42" s="144">
        <v>18</v>
      </c>
      <c r="D42" s="110">
        <v>74691</v>
      </c>
      <c r="E42" s="110"/>
      <c r="F42" s="111" t="s">
        <v>227</v>
      </c>
      <c r="G42" s="17" t="s">
        <v>228</v>
      </c>
      <c r="H42" s="110" t="s">
        <v>222</v>
      </c>
      <c r="I42" s="110">
        <v>1</v>
      </c>
      <c r="J42" s="110">
        <v>1.8</v>
      </c>
      <c r="K42" s="110">
        <v>1.3</v>
      </c>
      <c r="L42" s="110">
        <v>2.5</v>
      </c>
      <c r="M42" s="110">
        <v>1</v>
      </c>
      <c r="N42" s="112" t="s">
        <v>223</v>
      </c>
      <c r="O42" s="112">
        <f t="shared" ref="O42:O74" si="7">ROUND(IF(N42="m3",I42*J42*K42*L42,IF(N42="m2-LxH",I42*J42*L42,IF(N42="m2-LxW",I42*J42*K42,IF(N42="rm",I42*L42,IF(N42="lm",I42*J42,IF(N42="unit",I42,"NA")))))),2)</f>
        <v>2.5</v>
      </c>
      <c r="P42" s="125">
        <v>44852</v>
      </c>
      <c r="Q42" s="125"/>
      <c r="R42" s="113">
        <v>1</v>
      </c>
      <c r="S42" s="113">
        <v>1</v>
      </c>
      <c r="T42" s="113">
        <v>0</v>
      </c>
      <c r="U42" s="171">
        <f>IF(ISBLANK(Table1[[#This Row],[OHC Date]]),$B$7-Table1[[#This Row],[HOC Date]]+1,Table1[[#This Row],[OHC Date]]-Table1[[#This Row],[HOC Date]]+1)/7</f>
        <v>1.1428571428571428</v>
      </c>
      <c r="V42" s="114">
        <v>63.34</v>
      </c>
      <c r="W42" s="114">
        <v>7.28</v>
      </c>
      <c r="X42" s="114">
        <f>ROUND(0.7*Table1[[#This Row],[E&amp;D Rate per unit]]*R42*Table1[[#This Row],[Quantity]],2)</f>
        <v>110.85</v>
      </c>
      <c r="Y42" s="114">
        <f t="shared" ref="Y42:Y74" si="8">ROUND(O42*U42*W42*S42,2)</f>
        <v>20.8</v>
      </c>
      <c r="Z42" s="114">
        <f>ROUND(0.3*T42*Table1[[#This Row],[E&amp;D Rate per unit]]*Table1[[#This Row],[Quantity]],2)</f>
        <v>0</v>
      </c>
      <c r="AA42" s="114">
        <v>131.65</v>
      </c>
      <c r="AB42" s="136">
        <v>0</v>
      </c>
      <c r="AC42" s="136">
        <v>131.65</v>
      </c>
      <c r="AD42" s="115" t="s">
        <v>220</v>
      </c>
      <c r="AE42" s="162"/>
      <c r="AF42" s="158">
        <f>Table1[[#This Row],[Certified Amount (Cum)]]-Table1[[#This Row],[Certified Amount (Previous)]]</f>
        <v>131.65</v>
      </c>
      <c r="AG42" s="158">
        <f t="shared" si="0"/>
        <v>131.65</v>
      </c>
      <c r="AH42" s="172">
        <f>Table1[[#This Row],[Certified Amount (Cum)]]-Table1[[#This Row],[Total Amount]]</f>
        <v>0</v>
      </c>
    </row>
    <row r="43" spans="1:34" ht="30" customHeight="1" x14ac:dyDescent="0.3">
      <c r="A43" s="109" t="s">
        <v>91</v>
      </c>
      <c r="B43" s="91" t="s">
        <v>99</v>
      </c>
      <c r="C43" s="144">
        <v>19</v>
      </c>
      <c r="D43" s="110">
        <v>74692</v>
      </c>
      <c r="E43" s="110"/>
      <c r="F43" s="111" t="s">
        <v>229</v>
      </c>
      <c r="G43" s="17" t="s">
        <v>192</v>
      </c>
      <c r="H43" s="110" t="s">
        <v>207</v>
      </c>
      <c r="I43" s="110">
        <v>1</v>
      </c>
      <c r="J43" s="110">
        <v>4</v>
      </c>
      <c r="K43" s="110">
        <v>1.3</v>
      </c>
      <c r="L43" s="110">
        <v>6.3</v>
      </c>
      <c r="M43" s="110">
        <v>1</v>
      </c>
      <c r="N43" s="112" t="s">
        <v>208</v>
      </c>
      <c r="O43" s="112">
        <f t="shared" si="7"/>
        <v>25.2</v>
      </c>
      <c r="P43" s="125">
        <v>44852</v>
      </c>
      <c r="Q43" s="125"/>
      <c r="R43" s="113">
        <v>1</v>
      </c>
      <c r="S43" s="113">
        <v>1</v>
      </c>
      <c r="T43" s="113">
        <v>0</v>
      </c>
      <c r="U43" s="171">
        <f>IF(ISBLANK(Table1[[#This Row],[OHC Date]]),$B$7-Table1[[#This Row],[HOC Date]]+1,Table1[[#This Row],[OHC Date]]-Table1[[#This Row],[HOC Date]]+1)/7</f>
        <v>1.1428571428571428</v>
      </c>
      <c r="V43" s="114">
        <v>12.01</v>
      </c>
      <c r="W43" s="114">
        <v>0.49</v>
      </c>
      <c r="X43" s="114">
        <f>ROUND(0.7*Table1[[#This Row],[E&amp;D Rate per unit]]*R43*Table1[[#This Row],[Quantity]],2)</f>
        <v>211.86</v>
      </c>
      <c r="Y43" s="114">
        <f t="shared" si="8"/>
        <v>14.11</v>
      </c>
      <c r="Z43" s="114">
        <f>ROUND(0.3*T43*Table1[[#This Row],[E&amp;D Rate per unit]]*Table1[[#This Row],[Quantity]],2)</f>
        <v>0</v>
      </c>
      <c r="AA43" s="114">
        <v>225.97</v>
      </c>
      <c r="AB43" s="136">
        <v>0</v>
      </c>
      <c r="AC43" s="136">
        <v>225.97</v>
      </c>
      <c r="AD43" s="115"/>
      <c r="AE43" s="162"/>
      <c r="AF43" s="158">
        <f>Table1[[#This Row],[Certified Amount (Cum)]]-Table1[[#This Row],[Certified Amount (Previous)]]</f>
        <v>225.97000000000003</v>
      </c>
      <c r="AG43" s="158">
        <f t="shared" si="0"/>
        <v>225.97000000000003</v>
      </c>
      <c r="AH43" s="172">
        <f>Table1[[#This Row],[Certified Amount (Cum)]]-Table1[[#This Row],[Total Amount]]</f>
        <v>0</v>
      </c>
    </row>
    <row r="44" spans="1:34" ht="30" customHeight="1" x14ac:dyDescent="0.3">
      <c r="A44" s="109" t="s">
        <v>91</v>
      </c>
      <c r="B44" s="91" t="s">
        <v>99</v>
      </c>
      <c r="C44" s="144" t="s">
        <v>230</v>
      </c>
      <c r="D44" s="110">
        <v>74700</v>
      </c>
      <c r="E44" s="110"/>
      <c r="F44" s="111" t="s">
        <v>229</v>
      </c>
      <c r="G44" s="17" t="s">
        <v>192</v>
      </c>
      <c r="H44" s="110" t="s">
        <v>207</v>
      </c>
      <c r="I44" s="110">
        <v>1</v>
      </c>
      <c r="J44" s="110">
        <v>4</v>
      </c>
      <c r="K44" s="110">
        <v>1.3</v>
      </c>
      <c r="L44" s="110">
        <v>2</v>
      </c>
      <c r="M44" s="110">
        <v>1</v>
      </c>
      <c r="N44" s="112" t="s">
        <v>208</v>
      </c>
      <c r="O44" s="112">
        <f t="shared" si="7"/>
        <v>8</v>
      </c>
      <c r="P44" s="125">
        <v>44853</v>
      </c>
      <c r="Q44" s="125"/>
      <c r="R44" s="113">
        <v>1</v>
      </c>
      <c r="S44" s="113">
        <v>1</v>
      </c>
      <c r="T44" s="113">
        <v>0</v>
      </c>
      <c r="U44" s="171">
        <f>IF(ISBLANK(Table1[[#This Row],[OHC Date]]),$B$7-Table1[[#This Row],[HOC Date]]+1,Table1[[#This Row],[OHC Date]]-Table1[[#This Row],[HOC Date]]+1)/7</f>
        <v>1</v>
      </c>
      <c r="V44" s="114">
        <v>12.01</v>
      </c>
      <c r="W44" s="114">
        <v>0.49</v>
      </c>
      <c r="X44" s="114">
        <f>ROUND(0.7*Table1[[#This Row],[E&amp;D Rate per unit]]*R44*Table1[[#This Row],[Quantity]],2)</f>
        <v>67.260000000000005</v>
      </c>
      <c r="Y44" s="114">
        <f t="shared" si="8"/>
        <v>3.92</v>
      </c>
      <c r="Z44" s="114">
        <f>ROUND(0.3*T44*Table1[[#This Row],[E&amp;D Rate per unit]]*Table1[[#This Row],[Quantity]],2)</f>
        <v>0</v>
      </c>
      <c r="AA44" s="114">
        <v>71.180000000000007</v>
      </c>
      <c r="AB44" s="136">
        <v>0</v>
      </c>
      <c r="AC44" s="136">
        <v>71.180000000000007</v>
      </c>
      <c r="AD44" s="115"/>
      <c r="AE44" s="162"/>
      <c r="AF44" s="158">
        <f>Table1[[#This Row],[Certified Amount (Cum)]]-Table1[[#This Row],[Certified Amount (Previous)]]</f>
        <v>71.180000000000007</v>
      </c>
      <c r="AG44" s="158">
        <f t="shared" si="0"/>
        <v>71.180000000000007</v>
      </c>
      <c r="AH44" s="172">
        <f>Table1[[#This Row],[Certified Amount (Cum)]]-Table1[[#This Row],[Total Amount]]</f>
        <v>0</v>
      </c>
    </row>
    <row r="45" spans="1:34" ht="30" customHeight="1" x14ac:dyDescent="0.3">
      <c r="A45" s="109" t="s">
        <v>91</v>
      </c>
      <c r="B45" s="91" t="s">
        <v>99</v>
      </c>
      <c r="C45" s="144">
        <v>20</v>
      </c>
      <c r="D45" s="110">
        <v>74693</v>
      </c>
      <c r="E45" s="110"/>
      <c r="F45" s="111" t="s">
        <v>227</v>
      </c>
      <c r="G45" s="17" t="s">
        <v>228</v>
      </c>
      <c r="H45" s="110" t="s">
        <v>222</v>
      </c>
      <c r="I45" s="110">
        <v>1</v>
      </c>
      <c r="J45" s="110">
        <v>2.5</v>
      </c>
      <c r="K45" s="110">
        <v>2.5</v>
      </c>
      <c r="L45" s="110">
        <v>3</v>
      </c>
      <c r="M45" s="110">
        <v>1</v>
      </c>
      <c r="N45" s="112" t="s">
        <v>223</v>
      </c>
      <c r="O45" s="112">
        <f t="shared" si="7"/>
        <v>3</v>
      </c>
      <c r="P45" s="125">
        <v>44852</v>
      </c>
      <c r="Q45" s="125"/>
      <c r="R45" s="113">
        <v>1</v>
      </c>
      <c r="S45" s="113">
        <v>1</v>
      </c>
      <c r="T45" s="113">
        <v>0</v>
      </c>
      <c r="U45" s="171">
        <f>IF(ISBLANK(Table1[[#This Row],[OHC Date]]),$B$7-Table1[[#This Row],[HOC Date]]+1,Table1[[#This Row],[OHC Date]]-Table1[[#This Row],[HOC Date]]+1)/7</f>
        <v>1.1428571428571428</v>
      </c>
      <c r="V45" s="114">
        <v>63.34</v>
      </c>
      <c r="W45" s="114">
        <v>7.28</v>
      </c>
      <c r="X45" s="114">
        <f>ROUND(0.7*Table1[[#This Row],[E&amp;D Rate per unit]]*R45*Table1[[#This Row],[Quantity]],2)</f>
        <v>133.01</v>
      </c>
      <c r="Y45" s="114">
        <f t="shared" si="8"/>
        <v>24.96</v>
      </c>
      <c r="Z45" s="114">
        <f>ROUND(0.3*T45*Table1[[#This Row],[E&amp;D Rate per unit]]*Table1[[#This Row],[Quantity]],2)</f>
        <v>0</v>
      </c>
      <c r="AA45" s="114">
        <v>157.97</v>
      </c>
      <c r="AB45" s="136">
        <v>0</v>
      </c>
      <c r="AC45" s="136">
        <v>157.97</v>
      </c>
      <c r="AD45" s="115"/>
      <c r="AE45" s="162"/>
      <c r="AF45" s="158">
        <f>Table1[[#This Row],[Certified Amount (Cum)]]-Table1[[#This Row],[Certified Amount (Previous)]]</f>
        <v>157.97</v>
      </c>
      <c r="AG45" s="158">
        <f t="shared" si="0"/>
        <v>157.97</v>
      </c>
      <c r="AH45" s="172">
        <f>Table1[[#This Row],[Certified Amount (Cum)]]-Table1[[#This Row],[Total Amount]]</f>
        <v>0</v>
      </c>
    </row>
    <row r="46" spans="1:34" ht="30" customHeight="1" x14ac:dyDescent="0.3">
      <c r="A46" s="109" t="s">
        <v>91</v>
      </c>
      <c r="B46" s="91" t="s">
        <v>99</v>
      </c>
      <c r="C46" s="144" t="s">
        <v>231</v>
      </c>
      <c r="D46" s="110">
        <v>74694</v>
      </c>
      <c r="E46" s="144">
        <v>76767</v>
      </c>
      <c r="F46" s="111" t="s">
        <v>232</v>
      </c>
      <c r="G46" s="17" t="s">
        <v>192</v>
      </c>
      <c r="H46" s="110" t="s">
        <v>222</v>
      </c>
      <c r="I46" s="110">
        <v>1</v>
      </c>
      <c r="J46" s="110">
        <v>2.5</v>
      </c>
      <c r="K46" s="110">
        <v>1.8</v>
      </c>
      <c r="L46" s="110">
        <v>2</v>
      </c>
      <c r="M46" s="110">
        <v>1</v>
      </c>
      <c r="N46" s="112" t="s">
        <v>223</v>
      </c>
      <c r="O46" s="112">
        <f t="shared" si="7"/>
        <v>2</v>
      </c>
      <c r="P46" s="125">
        <v>44853</v>
      </c>
      <c r="Q46" s="125">
        <v>44856</v>
      </c>
      <c r="R46" s="113">
        <v>1</v>
      </c>
      <c r="S46" s="113">
        <v>1</v>
      </c>
      <c r="T46" s="113">
        <v>1</v>
      </c>
      <c r="U46" s="171">
        <f>IF(ISBLANK(Table1[[#This Row],[OHC Date]]),$B$7-Table1[[#This Row],[HOC Date]]+1,Table1[[#This Row],[OHC Date]]-Table1[[#This Row],[HOC Date]]+1)/7</f>
        <v>0.5714285714285714</v>
      </c>
      <c r="V46" s="114">
        <v>63.34</v>
      </c>
      <c r="W46" s="114">
        <v>7.28</v>
      </c>
      <c r="X46" s="114">
        <f>ROUND(0.7*Table1[[#This Row],[E&amp;D Rate per unit]]*R46*Table1[[#This Row],[Quantity]],2)</f>
        <v>88.68</v>
      </c>
      <c r="Y46" s="114">
        <f t="shared" si="8"/>
        <v>8.32</v>
      </c>
      <c r="Z46" s="114">
        <f>ROUND(0.3*T46*Table1[[#This Row],[E&amp;D Rate per unit]]*Table1[[#This Row],[Quantity]],2)</f>
        <v>38</v>
      </c>
      <c r="AA46" s="114">
        <v>135</v>
      </c>
      <c r="AB46" s="136">
        <v>0</v>
      </c>
      <c r="AC46" s="136">
        <v>135</v>
      </c>
      <c r="AD46" s="115"/>
      <c r="AE46" s="162"/>
      <c r="AF46" s="158">
        <f>Table1[[#This Row],[Certified Amount (Cum)]]-Table1[[#This Row],[Certified Amount (Previous)]]</f>
        <v>135</v>
      </c>
      <c r="AG46" s="158">
        <f t="shared" si="0"/>
        <v>135</v>
      </c>
      <c r="AH46" s="172">
        <f>Table1[[#This Row],[Certified Amount (Cum)]]-Table1[[#This Row],[Total Amount]]</f>
        <v>0</v>
      </c>
    </row>
    <row r="47" spans="1:34" ht="30" customHeight="1" x14ac:dyDescent="0.3">
      <c r="A47" s="109" t="s">
        <v>91</v>
      </c>
      <c r="B47" s="91" t="s">
        <v>99</v>
      </c>
      <c r="C47" s="144" t="s">
        <v>233</v>
      </c>
      <c r="D47" s="110">
        <v>74695</v>
      </c>
      <c r="E47" s="110"/>
      <c r="F47" s="111" t="s">
        <v>234</v>
      </c>
      <c r="G47" s="17" t="s">
        <v>192</v>
      </c>
      <c r="H47" s="110" t="s">
        <v>178</v>
      </c>
      <c r="I47" s="110">
        <v>1</v>
      </c>
      <c r="J47" s="110">
        <v>11.5</v>
      </c>
      <c r="K47" s="110">
        <v>1.8</v>
      </c>
      <c r="L47" s="110">
        <v>1</v>
      </c>
      <c r="M47" s="110">
        <v>1</v>
      </c>
      <c r="N47" s="112" t="s">
        <v>162</v>
      </c>
      <c r="O47" s="112">
        <f t="shared" si="7"/>
        <v>20.7</v>
      </c>
      <c r="P47" s="125">
        <v>44853</v>
      </c>
      <c r="Q47" s="125"/>
      <c r="R47" s="113">
        <v>1</v>
      </c>
      <c r="S47" s="113">
        <v>1</v>
      </c>
      <c r="T47" s="113">
        <v>0</v>
      </c>
      <c r="U47" s="171">
        <f>IF(ISBLANK(Table1[[#This Row],[OHC Date]]),$B$7-Table1[[#This Row],[HOC Date]]+1,Table1[[#This Row],[OHC Date]]-Table1[[#This Row],[HOC Date]]+1)/7</f>
        <v>1</v>
      </c>
      <c r="V47" s="114">
        <v>6.63</v>
      </c>
      <c r="W47" s="114">
        <v>0.7</v>
      </c>
      <c r="X47" s="114">
        <f>ROUND(0.7*Table1[[#This Row],[E&amp;D Rate per unit]]*R47*Table1[[#This Row],[Quantity]],2)</f>
        <v>96.07</v>
      </c>
      <c r="Y47" s="114">
        <f t="shared" si="8"/>
        <v>14.49</v>
      </c>
      <c r="Z47" s="114">
        <f>ROUND(0.3*T47*Table1[[#This Row],[E&amp;D Rate per unit]]*Table1[[#This Row],[Quantity]],2)</f>
        <v>0</v>
      </c>
      <c r="AA47" s="114">
        <v>110.56</v>
      </c>
      <c r="AB47" s="136">
        <v>0</v>
      </c>
      <c r="AC47" s="136">
        <v>110.56</v>
      </c>
      <c r="AD47" s="115"/>
      <c r="AE47" s="162"/>
      <c r="AF47" s="158">
        <f>Table1[[#This Row],[Certified Amount (Cum)]]-Table1[[#This Row],[Certified Amount (Previous)]]</f>
        <v>110.55999999999999</v>
      </c>
      <c r="AG47" s="158">
        <f t="shared" si="0"/>
        <v>110.55999999999999</v>
      </c>
      <c r="AH47" s="172">
        <f>Table1[[#This Row],[Certified Amount (Cum)]]-Table1[[#This Row],[Total Amount]]</f>
        <v>0</v>
      </c>
    </row>
    <row r="48" spans="1:34" ht="30" customHeight="1" x14ac:dyDescent="0.3">
      <c r="A48" s="109" t="s">
        <v>91</v>
      </c>
      <c r="B48" s="91" t="s">
        <v>99</v>
      </c>
      <c r="C48" s="144">
        <v>21</v>
      </c>
      <c r="D48" s="110">
        <v>74696</v>
      </c>
      <c r="E48" s="110"/>
      <c r="F48" s="111" t="s">
        <v>227</v>
      </c>
      <c r="G48" s="17" t="s">
        <v>228</v>
      </c>
      <c r="H48" s="110" t="s">
        <v>222</v>
      </c>
      <c r="I48" s="110">
        <v>1</v>
      </c>
      <c r="J48" s="110">
        <v>2.5</v>
      </c>
      <c r="K48" s="110">
        <v>1.8</v>
      </c>
      <c r="L48" s="110">
        <v>3</v>
      </c>
      <c r="M48" s="110">
        <v>1</v>
      </c>
      <c r="N48" s="112" t="s">
        <v>223</v>
      </c>
      <c r="O48" s="112">
        <f t="shared" si="7"/>
        <v>3</v>
      </c>
      <c r="P48" s="125">
        <v>44853</v>
      </c>
      <c r="Q48" s="125"/>
      <c r="R48" s="113">
        <v>1</v>
      </c>
      <c r="S48" s="113">
        <v>1</v>
      </c>
      <c r="T48" s="113">
        <v>0</v>
      </c>
      <c r="U48" s="171">
        <f>IF(ISBLANK(Table1[[#This Row],[OHC Date]]),$B$7-Table1[[#This Row],[HOC Date]]+1,Table1[[#This Row],[OHC Date]]-Table1[[#This Row],[HOC Date]]+1)/7</f>
        <v>1</v>
      </c>
      <c r="V48" s="114">
        <v>63.34</v>
      </c>
      <c r="W48" s="114">
        <v>7.28</v>
      </c>
      <c r="X48" s="114">
        <f>ROUND(0.7*Table1[[#This Row],[E&amp;D Rate per unit]]*R48*Table1[[#This Row],[Quantity]],2)</f>
        <v>133.01</v>
      </c>
      <c r="Y48" s="114">
        <f t="shared" si="8"/>
        <v>21.84</v>
      </c>
      <c r="Z48" s="114">
        <f>ROUND(0.3*T48*Table1[[#This Row],[E&amp;D Rate per unit]]*Table1[[#This Row],[Quantity]],2)</f>
        <v>0</v>
      </c>
      <c r="AA48" s="114">
        <v>154.85</v>
      </c>
      <c r="AB48" s="136">
        <v>0</v>
      </c>
      <c r="AC48" s="136">
        <v>154.85</v>
      </c>
      <c r="AD48" s="115" t="s">
        <v>220</v>
      </c>
      <c r="AE48" s="162"/>
      <c r="AF48" s="158">
        <f>Table1[[#This Row],[Certified Amount (Cum)]]-Table1[[#This Row],[Certified Amount (Previous)]]</f>
        <v>154.85</v>
      </c>
      <c r="AG48" s="158">
        <f t="shared" si="0"/>
        <v>154.85</v>
      </c>
      <c r="AH48" s="172">
        <f>Table1[[#This Row],[Certified Amount (Cum)]]-Table1[[#This Row],[Total Amount]]</f>
        <v>0</v>
      </c>
    </row>
    <row r="49" spans="1:34" ht="30" customHeight="1" x14ac:dyDescent="0.3">
      <c r="A49" s="109" t="s">
        <v>91</v>
      </c>
      <c r="B49" s="91" t="s">
        <v>99</v>
      </c>
      <c r="C49" s="144">
        <v>22</v>
      </c>
      <c r="D49" s="110">
        <v>74697</v>
      </c>
      <c r="E49" s="110"/>
      <c r="F49" s="111" t="s">
        <v>227</v>
      </c>
      <c r="G49" s="17" t="s">
        <v>228</v>
      </c>
      <c r="H49" s="110" t="s">
        <v>207</v>
      </c>
      <c r="I49" s="110">
        <v>1</v>
      </c>
      <c r="J49" s="110">
        <v>3.1</v>
      </c>
      <c r="K49" s="110">
        <v>1.3</v>
      </c>
      <c r="L49" s="110">
        <v>3</v>
      </c>
      <c r="M49" s="110">
        <v>1</v>
      </c>
      <c r="N49" s="112" t="s">
        <v>208</v>
      </c>
      <c r="O49" s="112">
        <f t="shared" si="7"/>
        <v>9.3000000000000007</v>
      </c>
      <c r="P49" s="125">
        <v>44853</v>
      </c>
      <c r="Q49" s="125"/>
      <c r="R49" s="113">
        <v>1</v>
      </c>
      <c r="S49" s="113">
        <v>1</v>
      </c>
      <c r="T49" s="113">
        <v>0</v>
      </c>
      <c r="U49" s="171">
        <f>IF(ISBLANK(Table1[[#This Row],[OHC Date]]),$B$7-Table1[[#This Row],[HOC Date]]+1,Table1[[#This Row],[OHC Date]]-Table1[[#This Row],[HOC Date]]+1)/7</f>
        <v>1</v>
      </c>
      <c r="V49" s="114">
        <v>12.01</v>
      </c>
      <c r="W49" s="114">
        <v>0.49</v>
      </c>
      <c r="X49" s="114">
        <f>ROUND(0.7*Table1[[#This Row],[E&amp;D Rate per unit]]*R49*Table1[[#This Row],[Quantity]],2)</f>
        <v>78.19</v>
      </c>
      <c r="Y49" s="114">
        <f t="shared" si="8"/>
        <v>4.5599999999999996</v>
      </c>
      <c r="Z49" s="114">
        <f>ROUND(0.3*T49*Table1[[#This Row],[E&amp;D Rate per unit]]*Table1[[#This Row],[Quantity]],2)</f>
        <v>0</v>
      </c>
      <c r="AA49" s="114">
        <v>82.75</v>
      </c>
      <c r="AB49" s="136">
        <v>0</v>
      </c>
      <c r="AC49" s="136">
        <v>82.75</v>
      </c>
      <c r="AD49" s="115" t="s">
        <v>220</v>
      </c>
      <c r="AE49" s="162"/>
      <c r="AF49" s="158">
        <f>Table1[[#This Row],[Certified Amount (Cum)]]-Table1[[#This Row],[Certified Amount (Previous)]]</f>
        <v>82.75</v>
      </c>
      <c r="AG49" s="158">
        <f t="shared" si="0"/>
        <v>82.75</v>
      </c>
      <c r="AH49" s="172">
        <f>Table1[[#This Row],[Certified Amount (Cum)]]-Table1[[#This Row],[Total Amount]]</f>
        <v>0</v>
      </c>
    </row>
    <row r="50" spans="1:34" ht="30" customHeight="1" x14ac:dyDescent="0.3">
      <c r="A50" s="109" t="s">
        <v>91</v>
      </c>
      <c r="B50" s="91" t="s">
        <v>99</v>
      </c>
      <c r="C50" s="144">
        <v>23</v>
      </c>
      <c r="D50" s="110">
        <v>74698</v>
      </c>
      <c r="E50" s="110"/>
      <c r="F50" s="111" t="s">
        <v>227</v>
      </c>
      <c r="G50" s="17" t="s">
        <v>228</v>
      </c>
      <c r="H50" s="110" t="s">
        <v>207</v>
      </c>
      <c r="I50" s="110">
        <v>1</v>
      </c>
      <c r="J50" s="110">
        <v>3.1</v>
      </c>
      <c r="K50" s="110">
        <v>1.8</v>
      </c>
      <c r="L50" s="110">
        <v>4.5</v>
      </c>
      <c r="M50" s="110">
        <v>1</v>
      </c>
      <c r="N50" s="112" t="s">
        <v>208</v>
      </c>
      <c r="O50" s="112">
        <f t="shared" si="7"/>
        <v>13.95</v>
      </c>
      <c r="P50" s="125">
        <v>44853</v>
      </c>
      <c r="Q50" s="125"/>
      <c r="R50" s="113">
        <v>1</v>
      </c>
      <c r="S50" s="113">
        <v>1</v>
      </c>
      <c r="T50" s="113">
        <v>0</v>
      </c>
      <c r="U50" s="171">
        <f>IF(ISBLANK(Table1[[#This Row],[OHC Date]]),$B$7-Table1[[#This Row],[HOC Date]]+1,Table1[[#This Row],[OHC Date]]-Table1[[#This Row],[HOC Date]]+1)/7</f>
        <v>1</v>
      </c>
      <c r="V50" s="114">
        <v>12.01</v>
      </c>
      <c r="W50" s="114">
        <v>0.77</v>
      </c>
      <c r="X50" s="114">
        <f>ROUND(0.7*Table1[[#This Row],[E&amp;D Rate per unit]]*R50*Table1[[#This Row],[Quantity]],2)</f>
        <v>117.28</v>
      </c>
      <c r="Y50" s="114">
        <f t="shared" si="8"/>
        <v>10.74</v>
      </c>
      <c r="Z50" s="114">
        <f>ROUND(0.3*T50*Table1[[#This Row],[E&amp;D Rate per unit]]*Table1[[#This Row],[Quantity]],2)</f>
        <v>0</v>
      </c>
      <c r="AA50" s="114">
        <v>128.02000000000001</v>
      </c>
      <c r="AB50" s="136">
        <v>0</v>
      </c>
      <c r="AC50" s="136">
        <v>128.02000000000001</v>
      </c>
      <c r="AD50" s="115" t="s">
        <v>220</v>
      </c>
      <c r="AE50" s="162"/>
      <c r="AF50" s="158">
        <f>Table1[[#This Row],[Certified Amount (Cum)]]-Table1[[#This Row],[Certified Amount (Previous)]]</f>
        <v>128.02000000000001</v>
      </c>
      <c r="AG50" s="158">
        <f t="shared" si="0"/>
        <v>128.02000000000001</v>
      </c>
      <c r="AH50" s="172">
        <f>Table1[[#This Row],[Certified Amount (Cum)]]-Table1[[#This Row],[Total Amount]]</f>
        <v>0</v>
      </c>
    </row>
    <row r="51" spans="1:34" ht="30" customHeight="1" x14ac:dyDescent="0.3">
      <c r="A51" s="109" t="s">
        <v>91</v>
      </c>
      <c r="B51" s="91" t="s">
        <v>99</v>
      </c>
      <c r="C51" s="144">
        <v>24</v>
      </c>
      <c r="D51" s="110">
        <v>74699</v>
      </c>
      <c r="E51" s="110"/>
      <c r="F51" s="111" t="s">
        <v>227</v>
      </c>
      <c r="G51" s="17" t="s">
        <v>228</v>
      </c>
      <c r="H51" s="110" t="s">
        <v>222</v>
      </c>
      <c r="I51" s="110">
        <v>1</v>
      </c>
      <c r="J51" s="110">
        <v>2.5</v>
      </c>
      <c r="K51" s="110">
        <v>2.5</v>
      </c>
      <c r="L51" s="110">
        <v>4.5</v>
      </c>
      <c r="M51" s="110">
        <v>1</v>
      </c>
      <c r="N51" s="112" t="s">
        <v>223</v>
      </c>
      <c r="O51" s="112">
        <f t="shared" si="7"/>
        <v>4.5</v>
      </c>
      <c r="P51" s="125">
        <v>44853</v>
      </c>
      <c r="Q51" s="125"/>
      <c r="R51" s="113">
        <v>1</v>
      </c>
      <c r="S51" s="113">
        <v>1</v>
      </c>
      <c r="T51" s="113">
        <v>0</v>
      </c>
      <c r="U51" s="171">
        <f>IF(ISBLANK(Table1[[#This Row],[OHC Date]]),$B$7-Table1[[#This Row],[HOC Date]]+1,Table1[[#This Row],[OHC Date]]-Table1[[#This Row],[HOC Date]]+1)/7</f>
        <v>1</v>
      </c>
      <c r="V51" s="114">
        <v>63.34</v>
      </c>
      <c r="W51" s="114">
        <v>7.28</v>
      </c>
      <c r="X51" s="114">
        <f>ROUND(0.7*Table1[[#This Row],[E&amp;D Rate per unit]]*R51*Table1[[#This Row],[Quantity]],2)</f>
        <v>199.52</v>
      </c>
      <c r="Y51" s="114">
        <f t="shared" si="8"/>
        <v>32.76</v>
      </c>
      <c r="Z51" s="114">
        <f>ROUND(0.3*T51*Table1[[#This Row],[E&amp;D Rate per unit]]*Table1[[#This Row],[Quantity]],2)</f>
        <v>0</v>
      </c>
      <c r="AA51" s="114">
        <v>232.28</v>
      </c>
      <c r="AB51" s="136">
        <v>0</v>
      </c>
      <c r="AC51" s="136">
        <v>232.28</v>
      </c>
      <c r="AD51" s="115" t="s">
        <v>220</v>
      </c>
      <c r="AE51" s="162"/>
      <c r="AF51" s="158">
        <f>Table1[[#This Row],[Certified Amount (Cum)]]-Table1[[#This Row],[Certified Amount (Previous)]]</f>
        <v>232.28</v>
      </c>
      <c r="AG51" s="158">
        <f t="shared" si="0"/>
        <v>232.28</v>
      </c>
      <c r="AH51" s="172">
        <f>Table1[[#This Row],[Certified Amount (Cum)]]-Table1[[#This Row],[Total Amount]]</f>
        <v>0</v>
      </c>
    </row>
    <row r="52" spans="1:34" ht="30" customHeight="1" x14ac:dyDescent="0.3">
      <c r="A52" s="109" t="s">
        <v>91</v>
      </c>
      <c r="B52" s="91" t="s">
        <v>99</v>
      </c>
      <c r="C52" s="144">
        <v>25</v>
      </c>
      <c r="D52" s="110">
        <v>77652</v>
      </c>
      <c r="E52" s="110"/>
      <c r="F52" s="111" t="s">
        <v>227</v>
      </c>
      <c r="G52" s="17" t="s">
        <v>228</v>
      </c>
      <c r="H52" s="110" t="s">
        <v>207</v>
      </c>
      <c r="I52" s="110">
        <v>1</v>
      </c>
      <c r="J52" s="110">
        <v>3.8</v>
      </c>
      <c r="K52" s="110">
        <v>2.5</v>
      </c>
      <c r="L52" s="110">
        <v>4.5</v>
      </c>
      <c r="M52" s="110">
        <v>1</v>
      </c>
      <c r="N52" s="112" t="s">
        <v>208</v>
      </c>
      <c r="O52" s="112">
        <f t="shared" si="7"/>
        <v>17.100000000000001</v>
      </c>
      <c r="P52" s="125">
        <v>44853</v>
      </c>
      <c r="Q52" s="125"/>
      <c r="R52" s="113">
        <v>1</v>
      </c>
      <c r="S52" s="113">
        <v>1</v>
      </c>
      <c r="T52" s="113">
        <v>0</v>
      </c>
      <c r="U52" s="171">
        <f>IF(ISBLANK(Table1[[#This Row],[OHC Date]]),$B$7-Table1[[#This Row],[HOC Date]]+1,Table1[[#This Row],[OHC Date]]-Table1[[#This Row],[HOC Date]]+1)/7</f>
        <v>1</v>
      </c>
      <c r="V52" s="114">
        <v>16.760000000000002</v>
      </c>
      <c r="W52" s="114">
        <v>0.77</v>
      </c>
      <c r="X52" s="114">
        <f>ROUND(0.7*Table1[[#This Row],[E&amp;D Rate per unit]]*R52*Table1[[#This Row],[Quantity]],2)</f>
        <v>200.62</v>
      </c>
      <c r="Y52" s="114">
        <f t="shared" si="8"/>
        <v>13.17</v>
      </c>
      <c r="Z52" s="114">
        <f>ROUND(0.3*T52*Table1[[#This Row],[E&amp;D Rate per unit]]*Table1[[#This Row],[Quantity]],2)</f>
        <v>0</v>
      </c>
      <c r="AA52" s="114">
        <v>213.79</v>
      </c>
      <c r="AB52" s="136">
        <v>0</v>
      </c>
      <c r="AC52" s="136">
        <v>213.79</v>
      </c>
      <c r="AD52" s="115" t="s">
        <v>220</v>
      </c>
      <c r="AE52" s="162"/>
      <c r="AF52" s="158">
        <f>Table1[[#This Row],[Certified Amount (Cum)]]-Table1[[#This Row],[Certified Amount (Previous)]]</f>
        <v>213.79</v>
      </c>
      <c r="AG52" s="158">
        <f t="shared" si="0"/>
        <v>213.79</v>
      </c>
      <c r="AH52" s="172">
        <f>Table1[[#This Row],[Certified Amount (Cum)]]-Table1[[#This Row],[Total Amount]]</f>
        <v>0</v>
      </c>
    </row>
    <row r="53" spans="1:34" ht="30" customHeight="1" x14ac:dyDescent="0.3">
      <c r="A53" s="109" t="s">
        <v>91</v>
      </c>
      <c r="B53" s="91" t="s">
        <v>99</v>
      </c>
      <c r="C53" s="144" t="s">
        <v>235</v>
      </c>
      <c r="D53" s="110">
        <v>77653</v>
      </c>
      <c r="E53" s="110"/>
      <c r="F53" s="111" t="s">
        <v>164</v>
      </c>
      <c r="G53" s="17" t="s">
        <v>192</v>
      </c>
      <c r="H53" s="110" t="s">
        <v>128</v>
      </c>
      <c r="I53" s="110">
        <v>1</v>
      </c>
      <c r="J53" s="110">
        <v>18</v>
      </c>
      <c r="K53" s="110">
        <v>0.5</v>
      </c>
      <c r="L53" s="110">
        <v>1</v>
      </c>
      <c r="M53" s="110">
        <v>1</v>
      </c>
      <c r="N53" s="112" t="s">
        <v>162</v>
      </c>
      <c r="O53" s="112">
        <f t="shared" si="7"/>
        <v>9</v>
      </c>
      <c r="P53" s="125">
        <v>44853</v>
      </c>
      <c r="Q53" s="125"/>
      <c r="R53" s="113">
        <v>1</v>
      </c>
      <c r="S53" s="113">
        <v>1</v>
      </c>
      <c r="T53" s="113">
        <v>0</v>
      </c>
      <c r="U53" s="171">
        <f>IF(ISBLANK(Table1[[#This Row],[OHC Date]]),$B$7-Table1[[#This Row],[HOC Date]]+1,Table1[[#This Row],[OHC Date]]-Table1[[#This Row],[HOC Date]]+1)/7</f>
        <v>1</v>
      </c>
      <c r="V53" s="114">
        <v>32.75</v>
      </c>
      <c r="W53" s="114">
        <v>1.05</v>
      </c>
      <c r="X53" s="114">
        <f>ROUND(0.7*Table1[[#This Row],[E&amp;D Rate per unit]]*R53*Table1[[#This Row],[Quantity]],2)</f>
        <v>206.33</v>
      </c>
      <c r="Y53" s="114">
        <f t="shared" si="8"/>
        <v>9.4499999999999993</v>
      </c>
      <c r="Z53" s="114">
        <f>ROUND(0.3*T53*Table1[[#This Row],[E&amp;D Rate per unit]]*Table1[[#This Row],[Quantity]],2)</f>
        <v>0</v>
      </c>
      <c r="AA53" s="114">
        <v>215.78</v>
      </c>
      <c r="AB53" s="136">
        <v>0</v>
      </c>
      <c r="AC53" s="136">
        <v>215.78</v>
      </c>
      <c r="AD53" s="115"/>
      <c r="AE53" s="162"/>
      <c r="AF53" s="158">
        <f>Table1[[#This Row],[Certified Amount (Cum)]]-Table1[[#This Row],[Certified Amount (Previous)]]</f>
        <v>215.78</v>
      </c>
      <c r="AG53" s="158">
        <f t="shared" si="0"/>
        <v>215.78</v>
      </c>
      <c r="AH53" s="172">
        <f>Table1[[#This Row],[Certified Amount (Cum)]]-Table1[[#This Row],[Total Amount]]</f>
        <v>0</v>
      </c>
    </row>
    <row r="54" spans="1:34" ht="30" customHeight="1" x14ac:dyDescent="0.3">
      <c r="A54" s="109" t="s">
        <v>91</v>
      </c>
      <c r="B54" s="91" t="s">
        <v>99</v>
      </c>
      <c r="C54" s="144">
        <v>26</v>
      </c>
      <c r="D54" s="110">
        <v>77654</v>
      </c>
      <c r="E54" s="110"/>
      <c r="F54" s="111" t="s">
        <v>236</v>
      </c>
      <c r="G54" s="17" t="s">
        <v>237</v>
      </c>
      <c r="H54" s="110" t="s">
        <v>222</v>
      </c>
      <c r="I54" s="110">
        <v>1</v>
      </c>
      <c r="J54" s="110">
        <v>1.8</v>
      </c>
      <c r="K54" s="110">
        <v>1</v>
      </c>
      <c r="L54" s="110">
        <v>2</v>
      </c>
      <c r="M54" s="110">
        <v>1</v>
      </c>
      <c r="N54" s="112" t="s">
        <v>223</v>
      </c>
      <c r="O54" s="112">
        <f t="shared" si="7"/>
        <v>2</v>
      </c>
      <c r="P54" s="125">
        <v>44853</v>
      </c>
      <c r="Q54" s="125"/>
      <c r="R54" s="113">
        <v>1</v>
      </c>
      <c r="S54" s="113">
        <v>1</v>
      </c>
      <c r="T54" s="113">
        <v>0</v>
      </c>
      <c r="U54" s="171">
        <f>IF(ISBLANK(Table1[[#This Row],[OHC Date]]),$B$7-Table1[[#This Row],[HOC Date]]+1,Table1[[#This Row],[OHC Date]]-Table1[[#This Row],[HOC Date]]+1)/7</f>
        <v>1</v>
      </c>
      <c r="V54" s="114">
        <v>63.34</v>
      </c>
      <c r="W54" s="114">
        <v>7.28</v>
      </c>
      <c r="X54" s="114">
        <f>ROUND(0.7*Table1[[#This Row],[E&amp;D Rate per unit]]*R54*Table1[[#This Row],[Quantity]],2)</f>
        <v>88.68</v>
      </c>
      <c r="Y54" s="114">
        <f t="shared" si="8"/>
        <v>14.56</v>
      </c>
      <c r="Z54" s="114">
        <f>ROUND(0.3*T54*Table1[[#This Row],[E&amp;D Rate per unit]]*Table1[[#This Row],[Quantity]],2)</f>
        <v>0</v>
      </c>
      <c r="AA54" s="114">
        <v>103.24</v>
      </c>
      <c r="AB54" s="136">
        <v>0</v>
      </c>
      <c r="AC54" s="136">
        <v>103.24</v>
      </c>
      <c r="AD54" s="115"/>
      <c r="AE54" s="162"/>
      <c r="AF54" s="158">
        <f>Table1[[#This Row],[Certified Amount (Cum)]]-Table1[[#This Row],[Certified Amount (Previous)]]</f>
        <v>103.24000000000001</v>
      </c>
      <c r="AG54" s="158">
        <f t="shared" si="0"/>
        <v>103.24000000000001</v>
      </c>
      <c r="AH54" s="172">
        <f>Table1[[#This Row],[Certified Amount (Cum)]]-Table1[[#This Row],[Total Amount]]</f>
        <v>0</v>
      </c>
    </row>
    <row r="55" spans="1:34" ht="30" customHeight="1" x14ac:dyDescent="0.3">
      <c r="A55" s="109" t="s">
        <v>91</v>
      </c>
      <c r="B55" s="91" t="s">
        <v>99</v>
      </c>
      <c r="C55" s="144">
        <v>27</v>
      </c>
      <c r="D55" s="110">
        <v>77655</v>
      </c>
      <c r="E55" s="110"/>
      <c r="F55" s="111" t="s">
        <v>227</v>
      </c>
      <c r="G55" s="17" t="s">
        <v>228</v>
      </c>
      <c r="H55" s="110" t="s">
        <v>207</v>
      </c>
      <c r="I55" s="110">
        <v>1</v>
      </c>
      <c r="J55" s="110">
        <v>5</v>
      </c>
      <c r="K55" s="110">
        <v>1.3</v>
      </c>
      <c r="L55" s="110">
        <v>4.5</v>
      </c>
      <c r="M55" s="110">
        <v>1</v>
      </c>
      <c r="N55" s="112" t="s">
        <v>208</v>
      </c>
      <c r="O55" s="112">
        <f t="shared" si="7"/>
        <v>22.5</v>
      </c>
      <c r="P55" s="125">
        <v>44853</v>
      </c>
      <c r="Q55" s="125"/>
      <c r="R55" s="113">
        <v>1</v>
      </c>
      <c r="S55" s="113">
        <v>1</v>
      </c>
      <c r="T55" s="113">
        <v>0</v>
      </c>
      <c r="U55" s="171">
        <f>IF(ISBLANK(Table1[[#This Row],[OHC Date]]),$B$7-Table1[[#This Row],[HOC Date]]+1,Table1[[#This Row],[OHC Date]]-Table1[[#This Row],[HOC Date]]+1)/7</f>
        <v>1</v>
      </c>
      <c r="V55" s="114">
        <v>12.01</v>
      </c>
      <c r="W55" s="114">
        <v>0.49</v>
      </c>
      <c r="X55" s="114">
        <f>ROUND(0.7*Table1[[#This Row],[E&amp;D Rate per unit]]*R55*Table1[[#This Row],[Quantity]],2)</f>
        <v>189.16</v>
      </c>
      <c r="Y55" s="114">
        <f t="shared" si="8"/>
        <v>11.03</v>
      </c>
      <c r="Z55" s="114">
        <f>ROUND(0.3*T55*Table1[[#This Row],[E&amp;D Rate per unit]]*Table1[[#This Row],[Quantity]],2)</f>
        <v>0</v>
      </c>
      <c r="AA55" s="114">
        <v>200.19</v>
      </c>
      <c r="AB55" s="136">
        <v>0</v>
      </c>
      <c r="AC55" s="136">
        <v>200.19</v>
      </c>
      <c r="AD55" s="115" t="s">
        <v>220</v>
      </c>
      <c r="AE55" s="162"/>
      <c r="AF55" s="158">
        <f>Table1[[#This Row],[Certified Amount (Cum)]]-Table1[[#This Row],[Certified Amount (Previous)]]</f>
        <v>200.19</v>
      </c>
      <c r="AG55" s="158">
        <f t="shared" si="0"/>
        <v>200.19</v>
      </c>
      <c r="AH55" s="172">
        <f>Table1[[#This Row],[Certified Amount (Cum)]]-Table1[[#This Row],[Total Amount]]</f>
        <v>0</v>
      </c>
    </row>
    <row r="56" spans="1:34" ht="30" customHeight="1" x14ac:dyDescent="0.3">
      <c r="A56" s="109" t="s">
        <v>91</v>
      </c>
      <c r="B56" s="91" t="s">
        <v>99</v>
      </c>
      <c r="C56" s="144">
        <v>28</v>
      </c>
      <c r="D56" s="110">
        <v>77656</v>
      </c>
      <c r="E56" s="110"/>
      <c r="F56" s="111" t="s">
        <v>227</v>
      </c>
      <c r="G56" s="17" t="s">
        <v>228</v>
      </c>
      <c r="H56" s="110" t="s">
        <v>222</v>
      </c>
      <c r="I56" s="110">
        <v>1</v>
      </c>
      <c r="J56" s="110">
        <v>2.5</v>
      </c>
      <c r="K56" s="110">
        <v>1.8</v>
      </c>
      <c r="L56" s="110">
        <v>4.5</v>
      </c>
      <c r="M56" s="110">
        <v>1</v>
      </c>
      <c r="N56" s="112" t="s">
        <v>223</v>
      </c>
      <c r="O56" s="112">
        <f t="shared" si="7"/>
        <v>4.5</v>
      </c>
      <c r="P56" s="125">
        <v>44854</v>
      </c>
      <c r="Q56" s="125"/>
      <c r="R56" s="113">
        <v>1</v>
      </c>
      <c r="S56" s="113">
        <v>1</v>
      </c>
      <c r="T56" s="113">
        <v>0</v>
      </c>
      <c r="U56" s="171">
        <f>IF(ISBLANK(Table1[[#This Row],[OHC Date]]),$B$7-Table1[[#This Row],[HOC Date]]+1,Table1[[#This Row],[OHC Date]]-Table1[[#This Row],[HOC Date]]+1)/7</f>
        <v>0.8571428571428571</v>
      </c>
      <c r="V56" s="114">
        <v>63.34</v>
      </c>
      <c r="W56" s="114">
        <v>7.28</v>
      </c>
      <c r="X56" s="114">
        <f>ROUND(0.7*Table1[[#This Row],[E&amp;D Rate per unit]]*R56*Table1[[#This Row],[Quantity]],2)</f>
        <v>199.52</v>
      </c>
      <c r="Y56" s="114">
        <f t="shared" si="8"/>
        <v>28.08</v>
      </c>
      <c r="Z56" s="114">
        <f>ROUND(0.3*T56*Table1[[#This Row],[E&amp;D Rate per unit]]*Table1[[#This Row],[Quantity]],2)</f>
        <v>0</v>
      </c>
      <c r="AA56" s="114">
        <v>227.6</v>
      </c>
      <c r="AB56" s="136">
        <v>0</v>
      </c>
      <c r="AC56" s="136">
        <v>227.6</v>
      </c>
      <c r="AD56" s="115" t="s">
        <v>220</v>
      </c>
      <c r="AE56" s="162"/>
      <c r="AF56" s="158">
        <f>Table1[[#This Row],[Certified Amount (Cum)]]-Table1[[#This Row],[Certified Amount (Previous)]]</f>
        <v>227.60000000000002</v>
      </c>
      <c r="AG56" s="158">
        <f t="shared" si="0"/>
        <v>227.60000000000002</v>
      </c>
      <c r="AH56" s="172">
        <f>Table1[[#This Row],[Certified Amount (Cum)]]-Table1[[#This Row],[Total Amount]]</f>
        <v>0</v>
      </c>
    </row>
    <row r="57" spans="1:34" ht="30" customHeight="1" x14ac:dyDescent="0.3">
      <c r="A57" s="109" t="s">
        <v>91</v>
      </c>
      <c r="B57" s="91" t="s">
        <v>99</v>
      </c>
      <c r="C57" s="144">
        <v>28</v>
      </c>
      <c r="D57" s="110">
        <v>77656</v>
      </c>
      <c r="E57" s="110"/>
      <c r="F57" s="111" t="s">
        <v>227</v>
      </c>
      <c r="G57" s="17" t="s">
        <v>228</v>
      </c>
      <c r="H57" s="110" t="s">
        <v>178</v>
      </c>
      <c r="I57" s="110">
        <v>1</v>
      </c>
      <c r="J57" s="110">
        <v>2.5</v>
      </c>
      <c r="K57" s="110">
        <v>1.8</v>
      </c>
      <c r="L57" s="110"/>
      <c r="M57" s="110">
        <v>1</v>
      </c>
      <c r="N57" s="112" t="s">
        <v>162</v>
      </c>
      <c r="O57" s="112">
        <f t="shared" si="7"/>
        <v>4.5</v>
      </c>
      <c r="P57" s="125">
        <v>44854</v>
      </c>
      <c r="Q57" s="125"/>
      <c r="R57" s="113">
        <v>1</v>
      </c>
      <c r="S57" s="113">
        <v>1</v>
      </c>
      <c r="T57" s="113">
        <v>0</v>
      </c>
      <c r="U57" s="171">
        <f>IF(ISBLANK(Table1[[#This Row],[OHC Date]]),$B$7-Table1[[#This Row],[HOC Date]]+1,Table1[[#This Row],[OHC Date]]-Table1[[#This Row],[HOC Date]]+1)/7</f>
        <v>0.8571428571428571</v>
      </c>
      <c r="V57" s="114">
        <v>6.63</v>
      </c>
      <c r="W57" s="114">
        <v>0.7</v>
      </c>
      <c r="X57" s="114">
        <f>ROUND(0.7*Table1[[#This Row],[E&amp;D Rate per unit]]*R57*Table1[[#This Row],[Quantity]],2)</f>
        <v>20.88</v>
      </c>
      <c r="Y57" s="114">
        <f t="shared" si="8"/>
        <v>2.7</v>
      </c>
      <c r="Z57" s="114">
        <f>ROUND(0.3*T57*Table1[[#This Row],[E&amp;D Rate per unit]]*Table1[[#This Row],[Quantity]],2)</f>
        <v>0</v>
      </c>
      <c r="AA57" s="114">
        <v>23.58</v>
      </c>
      <c r="AB57" s="136">
        <v>0</v>
      </c>
      <c r="AC57" s="136">
        <v>23.58</v>
      </c>
      <c r="AD57" s="115" t="s">
        <v>220</v>
      </c>
      <c r="AE57" s="162"/>
      <c r="AF57" s="158">
        <f>Table1[[#This Row],[Certified Amount (Cum)]]-Table1[[#This Row],[Certified Amount (Previous)]]</f>
        <v>23.58</v>
      </c>
      <c r="AG57" s="158">
        <f t="shared" si="0"/>
        <v>23.58</v>
      </c>
      <c r="AH57" s="172">
        <f>Table1[[#This Row],[Certified Amount (Cum)]]-Table1[[#This Row],[Total Amount]]</f>
        <v>0</v>
      </c>
    </row>
    <row r="58" spans="1:34" ht="30" customHeight="1" x14ac:dyDescent="0.3">
      <c r="A58" s="109" t="s">
        <v>91</v>
      </c>
      <c r="B58" s="91" t="s">
        <v>99</v>
      </c>
      <c r="C58" s="144">
        <v>29</v>
      </c>
      <c r="D58" s="110">
        <v>77657</v>
      </c>
      <c r="E58" s="110"/>
      <c r="F58" s="111" t="s">
        <v>227</v>
      </c>
      <c r="G58" s="17" t="s">
        <v>228</v>
      </c>
      <c r="H58" s="110" t="s">
        <v>222</v>
      </c>
      <c r="I58" s="110">
        <v>1</v>
      </c>
      <c r="J58" s="110">
        <v>2.5</v>
      </c>
      <c r="K58" s="110">
        <v>1.8</v>
      </c>
      <c r="L58" s="110">
        <v>4.5</v>
      </c>
      <c r="M58" s="110">
        <v>1</v>
      </c>
      <c r="N58" s="112" t="s">
        <v>223</v>
      </c>
      <c r="O58" s="112">
        <f t="shared" si="7"/>
        <v>4.5</v>
      </c>
      <c r="P58" s="125">
        <v>44854</v>
      </c>
      <c r="Q58" s="125"/>
      <c r="R58" s="113">
        <v>1</v>
      </c>
      <c r="S58" s="113">
        <v>1</v>
      </c>
      <c r="T58" s="113">
        <v>0</v>
      </c>
      <c r="U58" s="171">
        <f>IF(ISBLANK(Table1[[#This Row],[OHC Date]]),$B$7-Table1[[#This Row],[HOC Date]]+1,Table1[[#This Row],[OHC Date]]-Table1[[#This Row],[HOC Date]]+1)/7</f>
        <v>0.8571428571428571</v>
      </c>
      <c r="V58" s="114">
        <v>63.34</v>
      </c>
      <c r="W58" s="114">
        <v>7.28</v>
      </c>
      <c r="X58" s="114">
        <f>ROUND(0.7*Table1[[#This Row],[E&amp;D Rate per unit]]*R58*Table1[[#This Row],[Quantity]],2)</f>
        <v>199.52</v>
      </c>
      <c r="Y58" s="114">
        <f t="shared" si="8"/>
        <v>28.08</v>
      </c>
      <c r="Z58" s="114">
        <f>ROUND(0.3*T58*Table1[[#This Row],[E&amp;D Rate per unit]]*Table1[[#This Row],[Quantity]],2)</f>
        <v>0</v>
      </c>
      <c r="AA58" s="114">
        <v>227.6</v>
      </c>
      <c r="AB58" s="136">
        <v>0</v>
      </c>
      <c r="AC58" s="136">
        <v>227.6</v>
      </c>
      <c r="AD58" s="115" t="s">
        <v>220</v>
      </c>
      <c r="AE58" s="162"/>
      <c r="AF58" s="158">
        <f>Table1[[#This Row],[Certified Amount (Cum)]]-Table1[[#This Row],[Certified Amount (Previous)]]</f>
        <v>227.60000000000002</v>
      </c>
      <c r="AG58" s="158">
        <f t="shared" si="0"/>
        <v>227.60000000000002</v>
      </c>
      <c r="AH58" s="172">
        <f>Table1[[#This Row],[Certified Amount (Cum)]]-Table1[[#This Row],[Total Amount]]</f>
        <v>0</v>
      </c>
    </row>
    <row r="59" spans="1:34" ht="30" customHeight="1" x14ac:dyDescent="0.3">
      <c r="A59" s="109" t="s">
        <v>91</v>
      </c>
      <c r="B59" s="91" t="s">
        <v>99</v>
      </c>
      <c r="C59" s="144" t="s">
        <v>238</v>
      </c>
      <c r="D59" s="110">
        <v>77661</v>
      </c>
      <c r="E59" s="110"/>
      <c r="F59" s="111" t="s">
        <v>240</v>
      </c>
      <c r="G59" s="17" t="s">
        <v>161</v>
      </c>
      <c r="H59" s="110" t="s">
        <v>128</v>
      </c>
      <c r="I59" s="110">
        <v>1</v>
      </c>
      <c r="J59" s="110">
        <v>10.8</v>
      </c>
      <c r="K59" s="110">
        <v>0.5</v>
      </c>
      <c r="L59" s="110">
        <v>1</v>
      </c>
      <c r="M59" s="110">
        <v>1</v>
      </c>
      <c r="N59" s="112" t="s">
        <v>162</v>
      </c>
      <c r="O59" s="112">
        <f t="shared" si="7"/>
        <v>5.4</v>
      </c>
      <c r="P59" s="125">
        <v>44855</v>
      </c>
      <c r="Q59" s="125"/>
      <c r="R59" s="113">
        <v>1</v>
      </c>
      <c r="S59" s="113">
        <v>1</v>
      </c>
      <c r="T59" s="113">
        <v>0</v>
      </c>
      <c r="U59" s="171">
        <f>IF(ISBLANK(Table1[[#This Row],[OHC Date]]),$B$7-Table1[[#This Row],[HOC Date]]+1,Table1[[#This Row],[OHC Date]]-Table1[[#This Row],[HOC Date]]+1)/7</f>
        <v>0.7142857142857143</v>
      </c>
      <c r="V59" s="114">
        <v>32.75</v>
      </c>
      <c r="W59" s="114">
        <v>1.05</v>
      </c>
      <c r="X59" s="114">
        <f>ROUND(0.7*Table1[[#This Row],[E&amp;D Rate per unit]]*R59*Table1[[#This Row],[Quantity]],2)</f>
        <v>123.8</v>
      </c>
      <c r="Y59" s="114">
        <f t="shared" si="8"/>
        <v>4.05</v>
      </c>
      <c r="Z59" s="114">
        <f>ROUND(0.3*T59*Table1[[#This Row],[E&amp;D Rate per unit]]*Table1[[#This Row],[Quantity]],2)</f>
        <v>0</v>
      </c>
      <c r="AA59" s="114">
        <v>127.85</v>
      </c>
      <c r="AB59" s="136">
        <v>0</v>
      </c>
      <c r="AC59" s="136">
        <v>127.85</v>
      </c>
      <c r="AD59" s="115"/>
      <c r="AE59" s="162"/>
      <c r="AF59" s="158">
        <f>Table1[[#This Row],[Certified Amount (Cum)]]-Table1[[#This Row],[Certified Amount (Previous)]]</f>
        <v>127.85</v>
      </c>
      <c r="AG59" s="158">
        <f t="shared" si="0"/>
        <v>127.85</v>
      </c>
      <c r="AH59" s="172">
        <f>Table1[[#This Row],[Certified Amount (Cum)]]-Table1[[#This Row],[Total Amount]]</f>
        <v>0</v>
      </c>
    </row>
    <row r="60" spans="1:34" ht="30" customHeight="1" x14ac:dyDescent="0.3">
      <c r="A60" s="109" t="s">
        <v>91</v>
      </c>
      <c r="B60" s="91" t="s">
        <v>99</v>
      </c>
      <c r="C60" s="144" t="s">
        <v>239</v>
      </c>
      <c r="D60" s="110">
        <v>77662</v>
      </c>
      <c r="E60" s="110"/>
      <c r="F60" s="111" t="s">
        <v>240</v>
      </c>
      <c r="G60" s="17" t="s">
        <v>192</v>
      </c>
      <c r="H60" s="110" t="s">
        <v>129</v>
      </c>
      <c r="I60" s="110">
        <v>1</v>
      </c>
      <c r="J60" s="110">
        <v>3.6</v>
      </c>
      <c r="K60" s="110">
        <v>0.75</v>
      </c>
      <c r="L60" s="110">
        <v>1</v>
      </c>
      <c r="M60" s="110">
        <v>1</v>
      </c>
      <c r="N60" s="112" t="s">
        <v>162</v>
      </c>
      <c r="O60" s="112">
        <f t="shared" si="7"/>
        <v>2.7</v>
      </c>
      <c r="P60" s="125">
        <v>44855</v>
      </c>
      <c r="Q60" s="125"/>
      <c r="R60" s="113">
        <v>1</v>
      </c>
      <c r="S60" s="113">
        <v>1</v>
      </c>
      <c r="T60" s="113">
        <v>0</v>
      </c>
      <c r="U60" s="171">
        <f>IF(ISBLANK(Table1[[#This Row],[OHC Date]]),$B$7-Table1[[#This Row],[HOC Date]]+1,Table1[[#This Row],[OHC Date]]-Table1[[#This Row],[HOC Date]]+1)/7</f>
        <v>0.7142857142857143</v>
      </c>
      <c r="V60" s="114">
        <v>36.520000000000003</v>
      </c>
      <c r="W60" s="114">
        <v>2.94</v>
      </c>
      <c r="X60" s="114">
        <f>ROUND(0.7*Table1[[#This Row],[E&amp;D Rate per unit]]*R60*Table1[[#This Row],[Quantity]],2)</f>
        <v>69.02</v>
      </c>
      <c r="Y60" s="114">
        <f t="shared" si="8"/>
        <v>5.67</v>
      </c>
      <c r="Z60" s="114">
        <f>ROUND(0.3*T60*Table1[[#This Row],[E&amp;D Rate per unit]]*Table1[[#This Row],[Quantity]],2)</f>
        <v>0</v>
      </c>
      <c r="AA60" s="114">
        <v>74.69</v>
      </c>
      <c r="AB60" s="136">
        <v>0</v>
      </c>
      <c r="AC60" s="136">
        <v>74.69</v>
      </c>
      <c r="AD60" s="115"/>
      <c r="AE60" s="162"/>
      <c r="AF60" s="158">
        <f>Table1[[#This Row],[Certified Amount (Cum)]]-Table1[[#This Row],[Certified Amount (Previous)]]</f>
        <v>74.69</v>
      </c>
      <c r="AG60" s="158">
        <f t="shared" si="0"/>
        <v>74.69</v>
      </c>
      <c r="AH60" s="172">
        <f>Table1[[#This Row],[Certified Amount (Cum)]]-Table1[[#This Row],[Total Amount]]</f>
        <v>0</v>
      </c>
    </row>
    <row r="61" spans="1:34" ht="30" customHeight="1" x14ac:dyDescent="0.3">
      <c r="A61" s="109" t="s">
        <v>241</v>
      </c>
      <c r="B61" s="91" t="s">
        <v>99</v>
      </c>
      <c r="C61" s="144">
        <v>30</v>
      </c>
      <c r="D61" s="110">
        <v>77667</v>
      </c>
      <c r="E61" s="110"/>
      <c r="F61" s="111" t="s">
        <v>242</v>
      </c>
      <c r="G61" s="17" t="s">
        <v>243</v>
      </c>
      <c r="H61" s="110" t="s">
        <v>207</v>
      </c>
      <c r="I61" s="110">
        <v>1</v>
      </c>
      <c r="J61" s="110">
        <v>4</v>
      </c>
      <c r="K61" s="110">
        <v>1.3</v>
      </c>
      <c r="L61" s="110">
        <v>2</v>
      </c>
      <c r="M61" s="110">
        <v>1</v>
      </c>
      <c r="N61" s="112" t="s">
        <v>56</v>
      </c>
      <c r="O61" s="112">
        <f t="shared" si="7"/>
        <v>1</v>
      </c>
      <c r="P61" s="125">
        <v>44855</v>
      </c>
      <c r="Q61" s="125"/>
      <c r="R61" s="113">
        <v>1</v>
      </c>
      <c r="S61" s="113">
        <v>1</v>
      </c>
      <c r="T61" s="113">
        <v>0</v>
      </c>
      <c r="U61" s="171">
        <f>IF(ISBLANK(Table1[[#This Row],[OHC Date]]),$B$7-Table1[[#This Row],[HOC Date]]+1,Table1[[#This Row],[OHC Date]]-Table1[[#This Row],[HOC Date]]+1)/7</f>
        <v>0.7142857142857143</v>
      </c>
      <c r="V61" s="114">
        <v>916.08</v>
      </c>
      <c r="W61" s="114">
        <v>3.92</v>
      </c>
      <c r="X61" s="114">
        <f>ROUND(0.7*Table1[[#This Row],[E&amp;D Rate per unit]]*R61*Table1[[#This Row],[Quantity]],2)</f>
        <v>641.26</v>
      </c>
      <c r="Y61" s="114">
        <f t="shared" si="8"/>
        <v>2.8</v>
      </c>
      <c r="Z61" s="114">
        <f>ROUND(0.3*T61*Table1[[#This Row],[E&amp;D Rate per unit]]*Table1[[#This Row],[Quantity]],2)</f>
        <v>0</v>
      </c>
      <c r="AA61" s="114">
        <v>644.05999999999995</v>
      </c>
      <c r="AB61" s="136">
        <v>0</v>
      </c>
      <c r="AC61" s="136">
        <v>644.05999999999995</v>
      </c>
      <c r="AD61" s="140" t="s">
        <v>245</v>
      </c>
      <c r="AE61" s="163"/>
      <c r="AF61" s="158">
        <f>Table1[[#This Row],[Certified Amount (Cum)]]-Table1[[#This Row],[Certified Amount (Previous)]]</f>
        <v>644.05999999999995</v>
      </c>
      <c r="AG61" s="158">
        <f t="shared" si="0"/>
        <v>644.05999999999995</v>
      </c>
      <c r="AH61" s="172">
        <f>Table1[[#This Row],[Certified Amount (Cum)]]-Table1[[#This Row],[Total Amount]]</f>
        <v>0</v>
      </c>
    </row>
    <row r="62" spans="1:34" ht="30" customHeight="1" x14ac:dyDescent="0.3">
      <c r="A62" s="109" t="s">
        <v>241</v>
      </c>
      <c r="B62" s="91" t="s">
        <v>99</v>
      </c>
      <c r="C62" s="144" t="s">
        <v>244</v>
      </c>
      <c r="D62" s="110">
        <v>77668</v>
      </c>
      <c r="E62" s="110"/>
      <c r="F62" s="111" t="s">
        <v>242</v>
      </c>
      <c r="G62" s="17" t="s">
        <v>243</v>
      </c>
      <c r="H62" s="110" t="s">
        <v>207</v>
      </c>
      <c r="I62" s="110">
        <v>1</v>
      </c>
      <c r="J62" s="110">
        <v>8</v>
      </c>
      <c r="K62" s="110">
        <v>1.3</v>
      </c>
      <c r="L62" s="110">
        <v>3</v>
      </c>
      <c r="M62" s="110">
        <v>2</v>
      </c>
      <c r="N62" s="112" t="s">
        <v>56</v>
      </c>
      <c r="O62" s="112">
        <f t="shared" si="7"/>
        <v>1</v>
      </c>
      <c r="P62" s="125">
        <v>44855</v>
      </c>
      <c r="Q62" s="125"/>
      <c r="R62" s="113">
        <v>1</v>
      </c>
      <c r="S62" s="113">
        <v>1</v>
      </c>
      <c r="T62" s="113">
        <v>0</v>
      </c>
      <c r="U62" s="171">
        <f>IF(ISBLANK(Table1[[#This Row],[OHC Date]]),$B$7-Table1[[#This Row],[HOC Date]]+1,Table1[[#This Row],[OHC Date]]-Table1[[#This Row],[HOC Date]]+1)/7</f>
        <v>0.7142857142857143</v>
      </c>
      <c r="V62" s="114">
        <v>2093.27</v>
      </c>
      <c r="W62" s="114">
        <v>22.96</v>
      </c>
      <c r="X62" s="114">
        <f>ROUND(0.7*Table1[[#This Row],[E&amp;D Rate per unit]]*R62*Table1[[#This Row],[Quantity]],2)</f>
        <v>1465.29</v>
      </c>
      <c r="Y62" s="114">
        <f t="shared" si="8"/>
        <v>16.399999999999999</v>
      </c>
      <c r="Z62" s="114">
        <f>ROUND(0.3*T62*Table1[[#This Row],[E&amp;D Rate per unit]]*Table1[[#This Row],[Quantity]],2)</f>
        <v>0</v>
      </c>
      <c r="AA62" s="114">
        <v>1481.69</v>
      </c>
      <c r="AB62" s="136">
        <v>0</v>
      </c>
      <c r="AC62" s="136">
        <v>1481.69</v>
      </c>
      <c r="AD62" s="140" t="s">
        <v>246</v>
      </c>
      <c r="AE62" s="163"/>
      <c r="AF62" s="158">
        <f>Table1[[#This Row],[Certified Amount (Cum)]]-Table1[[#This Row],[Certified Amount (Previous)]]</f>
        <v>1481.69</v>
      </c>
      <c r="AG62" s="158">
        <f t="shared" si="0"/>
        <v>1481.69</v>
      </c>
      <c r="AH62" s="172">
        <f>Table1[[#This Row],[Certified Amount (Cum)]]-Table1[[#This Row],[Total Amount]]</f>
        <v>0</v>
      </c>
    </row>
    <row r="63" spans="1:34" ht="30" customHeight="1" x14ac:dyDescent="0.3">
      <c r="A63" s="141" t="s">
        <v>247</v>
      </c>
      <c r="B63" s="91" t="s">
        <v>99</v>
      </c>
      <c r="C63" s="144">
        <v>31</v>
      </c>
      <c r="D63" s="110">
        <v>77669</v>
      </c>
      <c r="E63" s="110"/>
      <c r="F63" s="17" t="s">
        <v>249</v>
      </c>
      <c r="G63" s="17" t="s">
        <v>202</v>
      </c>
      <c r="H63" s="110" t="s">
        <v>250</v>
      </c>
      <c r="I63" s="110">
        <v>1</v>
      </c>
      <c r="J63" s="110">
        <v>22.5</v>
      </c>
      <c r="K63" s="110">
        <v>3.6</v>
      </c>
      <c r="L63" s="110"/>
      <c r="M63" s="110">
        <v>1</v>
      </c>
      <c r="N63" s="112" t="s">
        <v>56</v>
      </c>
      <c r="O63" s="112">
        <f t="shared" si="7"/>
        <v>1</v>
      </c>
      <c r="P63" s="125">
        <v>44855</v>
      </c>
      <c r="Q63" s="125"/>
      <c r="R63" s="113">
        <v>1</v>
      </c>
      <c r="S63" s="113">
        <v>1</v>
      </c>
      <c r="T63" s="113">
        <v>0</v>
      </c>
      <c r="U63" s="171">
        <f>IF(ISBLANK(Table1[[#This Row],[OHC Date]]),$B$7-Table1[[#This Row],[HOC Date]]+1,Table1[[#This Row],[OHC Date]]-Table1[[#This Row],[HOC Date]]+1)/7</f>
        <v>0.7142857142857143</v>
      </c>
      <c r="V63" s="114">
        <v>13343.06</v>
      </c>
      <c r="W63" s="114">
        <v>660.1</v>
      </c>
      <c r="X63" s="114">
        <f>ROUND(0.7*Table1[[#This Row],[E&amp;D Rate per unit]]*R63*Table1[[#This Row],[Quantity]],2)</f>
        <v>9340.14</v>
      </c>
      <c r="Y63" s="114">
        <f t="shared" si="8"/>
        <v>471.5</v>
      </c>
      <c r="Z63" s="114">
        <f>ROUND(0.3*T63*Table1[[#This Row],[E&amp;D Rate per unit]]*Table1[[#This Row],[Quantity]],2)</f>
        <v>0</v>
      </c>
      <c r="AA63" s="114">
        <v>9811.64</v>
      </c>
      <c r="AB63" s="136">
        <v>0</v>
      </c>
      <c r="AC63" s="136">
        <v>9811.64</v>
      </c>
      <c r="AD63" s="137" t="s">
        <v>251</v>
      </c>
      <c r="AE63" s="161"/>
      <c r="AF63" s="158">
        <f>Table1[[#This Row],[Certified Amount (Cum)]]-Table1[[#This Row],[Certified Amount (Previous)]]</f>
        <v>9811.64</v>
      </c>
      <c r="AG63" s="158">
        <f t="shared" si="0"/>
        <v>9811.64</v>
      </c>
      <c r="AH63" s="172">
        <f>Table1[[#This Row],[Certified Amount (Cum)]]-Table1[[#This Row],[Total Amount]]</f>
        <v>0</v>
      </c>
    </row>
    <row r="64" spans="1:34" ht="30" customHeight="1" x14ac:dyDescent="0.3">
      <c r="A64" s="109" t="s">
        <v>91</v>
      </c>
      <c r="B64" s="91" t="s">
        <v>99</v>
      </c>
      <c r="C64" s="144">
        <v>32</v>
      </c>
      <c r="D64" s="110">
        <v>77663</v>
      </c>
      <c r="E64" s="110"/>
      <c r="F64" s="17" t="s">
        <v>252</v>
      </c>
      <c r="G64" s="17" t="s">
        <v>192</v>
      </c>
      <c r="H64" s="110" t="s">
        <v>207</v>
      </c>
      <c r="I64" s="110">
        <v>1</v>
      </c>
      <c r="J64" s="110">
        <v>3.6</v>
      </c>
      <c r="K64" s="110">
        <v>1.3</v>
      </c>
      <c r="L64" s="110">
        <v>4</v>
      </c>
      <c r="M64" s="110">
        <v>1</v>
      </c>
      <c r="N64" s="112" t="s">
        <v>208</v>
      </c>
      <c r="O64" s="112">
        <f t="shared" si="7"/>
        <v>14.4</v>
      </c>
      <c r="P64" s="125">
        <v>44856</v>
      </c>
      <c r="Q64" s="125"/>
      <c r="R64" s="113">
        <v>1</v>
      </c>
      <c r="S64" s="113">
        <v>1</v>
      </c>
      <c r="T64" s="113">
        <v>0</v>
      </c>
      <c r="U64" s="171">
        <f>IF(ISBLANK(Table1[[#This Row],[OHC Date]]),$B$7-Table1[[#This Row],[HOC Date]]+1,Table1[[#This Row],[OHC Date]]-Table1[[#This Row],[HOC Date]]+1)/7</f>
        <v>0.5714285714285714</v>
      </c>
      <c r="V64" s="114">
        <v>12.01</v>
      </c>
      <c r="W64" s="114">
        <v>0.49</v>
      </c>
      <c r="X64" s="114">
        <f>ROUND(0.7*Table1[[#This Row],[E&amp;D Rate per unit]]*R64*Table1[[#This Row],[Quantity]],2)</f>
        <v>121.06</v>
      </c>
      <c r="Y64" s="114">
        <f t="shared" si="8"/>
        <v>4.03</v>
      </c>
      <c r="Z64" s="114">
        <f>ROUND(0.3*T64*Table1[[#This Row],[E&amp;D Rate per unit]]*Table1[[#This Row],[Quantity]],2)</f>
        <v>0</v>
      </c>
      <c r="AA64" s="114">
        <v>125.09</v>
      </c>
      <c r="AB64" s="136">
        <v>0</v>
      </c>
      <c r="AC64" s="136">
        <v>125.09</v>
      </c>
      <c r="AD64" s="115"/>
      <c r="AE64" s="162"/>
      <c r="AF64" s="158">
        <f>Table1[[#This Row],[Certified Amount (Cum)]]-Table1[[#This Row],[Certified Amount (Previous)]]</f>
        <v>125.09</v>
      </c>
      <c r="AG64" s="158">
        <f t="shared" si="0"/>
        <v>125.09</v>
      </c>
      <c r="AH64" s="172">
        <f>Table1[[#This Row],[Certified Amount (Cum)]]-Table1[[#This Row],[Total Amount]]</f>
        <v>0</v>
      </c>
    </row>
    <row r="65" spans="1:34" ht="30" customHeight="1" x14ac:dyDescent="0.3">
      <c r="A65" s="109" t="s">
        <v>91</v>
      </c>
      <c r="B65" s="91" t="s">
        <v>99</v>
      </c>
      <c r="C65" s="144">
        <v>32</v>
      </c>
      <c r="D65" s="110">
        <v>77663</v>
      </c>
      <c r="E65" s="110"/>
      <c r="F65" s="17" t="s">
        <v>252</v>
      </c>
      <c r="G65" s="17" t="s">
        <v>192</v>
      </c>
      <c r="H65" s="110" t="s">
        <v>178</v>
      </c>
      <c r="I65" s="16">
        <v>1</v>
      </c>
      <c r="J65" s="16">
        <v>3.6</v>
      </c>
      <c r="K65" s="16">
        <v>1.3</v>
      </c>
      <c r="L65" s="16">
        <v>1</v>
      </c>
      <c r="M65" s="16">
        <v>1</v>
      </c>
      <c r="N65" s="92" t="s">
        <v>162</v>
      </c>
      <c r="O65" s="92">
        <f t="shared" si="7"/>
        <v>4.68</v>
      </c>
      <c r="P65" s="18">
        <v>44856</v>
      </c>
      <c r="Q65" s="18"/>
      <c r="R65" s="19">
        <v>1</v>
      </c>
      <c r="S65" s="19">
        <v>1</v>
      </c>
      <c r="T65" s="19">
        <v>0</v>
      </c>
      <c r="U65" s="171">
        <f>IF(ISBLANK(Table1[[#This Row],[OHC Date]]),$B$7-Table1[[#This Row],[HOC Date]]+1,Table1[[#This Row],[OHC Date]]-Table1[[#This Row],[HOC Date]]+1)/7</f>
        <v>0.5714285714285714</v>
      </c>
      <c r="V65" s="20">
        <v>6.63</v>
      </c>
      <c r="W65" s="20">
        <v>0.7</v>
      </c>
      <c r="X65" s="20">
        <f>ROUND(0.7*Table1[[#This Row],[E&amp;D Rate per unit]]*R65*Table1[[#This Row],[Quantity]],2)</f>
        <v>21.72</v>
      </c>
      <c r="Y65" s="20">
        <f t="shared" si="8"/>
        <v>1.87</v>
      </c>
      <c r="Z65" s="20">
        <f>ROUND(0.3*T65*Table1[[#This Row],[E&amp;D Rate per unit]]*Table1[[#This Row],[Quantity]],2)</f>
        <v>0</v>
      </c>
      <c r="AA65" s="20">
        <v>23.59</v>
      </c>
      <c r="AB65" s="136">
        <v>0</v>
      </c>
      <c r="AC65" s="139">
        <v>23.59</v>
      </c>
      <c r="AD65" s="137"/>
      <c r="AE65" s="161"/>
      <c r="AF65" s="158">
        <f>Table1[[#This Row],[Certified Amount (Cum)]]-Table1[[#This Row],[Certified Amount (Previous)]]</f>
        <v>23.59</v>
      </c>
      <c r="AG65" s="158">
        <f t="shared" si="0"/>
        <v>23.59</v>
      </c>
      <c r="AH65" s="172">
        <f>Table1[[#This Row],[Certified Amount (Cum)]]-Table1[[#This Row],[Total Amount]]</f>
        <v>0</v>
      </c>
    </row>
    <row r="66" spans="1:34" ht="30" customHeight="1" x14ac:dyDescent="0.3">
      <c r="A66" s="109" t="s">
        <v>91</v>
      </c>
      <c r="B66" s="91" t="s">
        <v>99</v>
      </c>
      <c r="C66" s="145">
        <v>33</v>
      </c>
      <c r="D66" s="16">
        <v>77664</v>
      </c>
      <c r="E66" s="16"/>
      <c r="F66" s="17" t="s">
        <v>254</v>
      </c>
      <c r="G66" s="17" t="s">
        <v>253</v>
      </c>
      <c r="H66" s="110" t="s">
        <v>222</v>
      </c>
      <c r="I66" s="16">
        <v>1</v>
      </c>
      <c r="J66" s="16">
        <v>1.8</v>
      </c>
      <c r="K66" s="16">
        <v>1.3</v>
      </c>
      <c r="L66" s="16">
        <v>1</v>
      </c>
      <c r="M66" s="16">
        <v>1</v>
      </c>
      <c r="N66" s="92" t="s">
        <v>223</v>
      </c>
      <c r="O66" s="92">
        <f t="shared" si="7"/>
        <v>1</v>
      </c>
      <c r="P66" s="18">
        <v>44856</v>
      </c>
      <c r="Q66" s="18"/>
      <c r="R66" s="19">
        <v>1</v>
      </c>
      <c r="S66" s="19">
        <v>1</v>
      </c>
      <c r="T66" s="19">
        <v>0</v>
      </c>
      <c r="U66" s="171">
        <f>IF(ISBLANK(Table1[[#This Row],[OHC Date]]),$B$7-Table1[[#This Row],[HOC Date]]+1,Table1[[#This Row],[OHC Date]]-Table1[[#This Row],[HOC Date]]+1)/7</f>
        <v>0.5714285714285714</v>
      </c>
      <c r="V66" s="20">
        <v>63.34</v>
      </c>
      <c r="W66" s="20">
        <v>7.28</v>
      </c>
      <c r="X66" s="20">
        <f>ROUND(0.7*Table1[[#This Row],[E&amp;D Rate per unit]]*R66*Table1[[#This Row],[Quantity]],2)</f>
        <v>44.34</v>
      </c>
      <c r="Y66" s="20">
        <f t="shared" si="8"/>
        <v>4.16</v>
      </c>
      <c r="Z66" s="20">
        <f>ROUND(0.3*T66*Table1[[#This Row],[E&amp;D Rate per unit]]*Table1[[#This Row],[Quantity]],2)</f>
        <v>0</v>
      </c>
      <c r="AA66" s="20">
        <v>48.5</v>
      </c>
      <c r="AB66" s="136">
        <v>0</v>
      </c>
      <c r="AC66" s="139">
        <v>48.5</v>
      </c>
      <c r="AD66" s="137"/>
      <c r="AE66" s="161"/>
      <c r="AF66" s="158">
        <f>Table1[[#This Row],[Certified Amount (Cum)]]-Table1[[#This Row],[Certified Amount (Previous)]]</f>
        <v>48.5</v>
      </c>
      <c r="AG66" s="158">
        <f t="shared" si="0"/>
        <v>48.5</v>
      </c>
      <c r="AH66" s="172">
        <f>Table1[[#This Row],[Certified Amount (Cum)]]-Table1[[#This Row],[Total Amount]]</f>
        <v>0</v>
      </c>
    </row>
    <row r="67" spans="1:34" ht="30" customHeight="1" x14ac:dyDescent="0.3">
      <c r="A67" s="109" t="s">
        <v>91</v>
      </c>
      <c r="B67" s="91" t="s">
        <v>99</v>
      </c>
      <c r="C67" s="145">
        <v>34</v>
      </c>
      <c r="D67" s="16">
        <v>77665</v>
      </c>
      <c r="E67" s="16"/>
      <c r="F67" s="17" t="s">
        <v>254</v>
      </c>
      <c r="G67" s="17" t="s">
        <v>253</v>
      </c>
      <c r="H67" s="110" t="s">
        <v>222</v>
      </c>
      <c r="I67" s="16">
        <v>1</v>
      </c>
      <c r="J67" s="16">
        <v>1.8</v>
      </c>
      <c r="K67" s="16">
        <v>1.3</v>
      </c>
      <c r="L67" s="16">
        <v>1</v>
      </c>
      <c r="M67" s="16">
        <v>1</v>
      </c>
      <c r="N67" s="92" t="s">
        <v>223</v>
      </c>
      <c r="O67" s="92">
        <f t="shared" si="7"/>
        <v>1</v>
      </c>
      <c r="P67" s="18">
        <v>44856</v>
      </c>
      <c r="Q67" s="18"/>
      <c r="R67" s="19">
        <v>1</v>
      </c>
      <c r="S67" s="19">
        <v>1</v>
      </c>
      <c r="T67" s="19">
        <v>0</v>
      </c>
      <c r="U67" s="171">
        <f>IF(ISBLANK(Table1[[#This Row],[OHC Date]]),$B$7-Table1[[#This Row],[HOC Date]]+1,Table1[[#This Row],[OHC Date]]-Table1[[#This Row],[HOC Date]]+1)/7</f>
        <v>0.5714285714285714</v>
      </c>
      <c r="V67" s="20">
        <v>63.34</v>
      </c>
      <c r="W67" s="20">
        <v>7.28</v>
      </c>
      <c r="X67" s="20">
        <f>ROUND(0.7*Table1[[#This Row],[E&amp;D Rate per unit]]*R67*Table1[[#This Row],[Quantity]],2)</f>
        <v>44.34</v>
      </c>
      <c r="Y67" s="20">
        <f t="shared" si="8"/>
        <v>4.16</v>
      </c>
      <c r="Z67" s="20">
        <f>ROUND(0.3*T67*Table1[[#This Row],[E&amp;D Rate per unit]]*Table1[[#This Row],[Quantity]],2)</f>
        <v>0</v>
      </c>
      <c r="AA67" s="20">
        <v>48.5</v>
      </c>
      <c r="AB67" s="136">
        <v>0</v>
      </c>
      <c r="AC67" s="139">
        <v>48.5</v>
      </c>
      <c r="AD67" s="137"/>
      <c r="AE67" s="161"/>
      <c r="AF67" s="158">
        <f>Table1[[#This Row],[Certified Amount (Cum)]]-Table1[[#This Row],[Certified Amount (Previous)]]</f>
        <v>48.5</v>
      </c>
      <c r="AG67" s="158">
        <f t="shared" si="0"/>
        <v>48.5</v>
      </c>
      <c r="AH67" s="172">
        <f>Table1[[#This Row],[Certified Amount (Cum)]]-Table1[[#This Row],[Total Amount]]</f>
        <v>0</v>
      </c>
    </row>
    <row r="68" spans="1:34" ht="30" customHeight="1" x14ac:dyDescent="0.3">
      <c r="A68" s="109" t="s">
        <v>91</v>
      </c>
      <c r="B68" s="91" t="s">
        <v>99</v>
      </c>
      <c r="C68" s="145" t="s">
        <v>295</v>
      </c>
      <c r="D68" s="16">
        <v>77670</v>
      </c>
      <c r="E68" s="16"/>
      <c r="F68" s="17" t="s">
        <v>296</v>
      </c>
      <c r="G68" s="17" t="s">
        <v>297</v>
      </c>
      <c r="H68" s="110" t="s">
        <v>178</v>
      </c>
      <c r="I68" s="16">
        <v>3</v>
      </c>
      <c r="J68" s="16">
        <v>1.8</v>
      </c>
      <c r="K68" s="16">
        <v>1.8</v>
      </c>
      <c r="L68" s="16">
        <v>1</v>
      </c>
      <c r="M68" s="16">
        <v>3</v>
      </c>
      <c r="N68" s="92" t="s">
        <v>162</v>
      </c>
      <c r="O68" s="92">
        <f>ROUND(IF(N68="m3",I68*J68*K68*L68,IF(N68="m2-LxH",I68*J68*L68,IF(N68="m2-LxW",I68*J68*K68,IF(N68="rm",I68*L68,IF(N68="lm",I68*J68,IF(N68="unit",I68,"NA")))))),2)</f>
        <v>9.7200000000000006</v>
      </c>
      <c r="P68" s="18">
        <v>44859</v>
      </c>
      <c r="Q68" s="18"/>
      <c r="R68" s="19">
        <v>1</v>
      </c>
      <c r="S68" s="19">
        <v>1</v>
      </c>
      <c r="T68" s="19">
        <v>0</v>
      </c>
      <c r="U68" s="171">
        <f>IF(ISBLANK(Table1[[#This Row],[OHC Date]]),$B$7-Table1[[#This Row],[HOC Date]]+1,Table1[[#This Row],[OHC Date]]-Table1[[#This Row],[HOC Date]]+1)/7</f>
        <v>0.14285714285714285</v>
      </c>
      <c r="V68" s="20">
        <v>6.63</v>
      </c>
      <c r="W68" s="20">
        <v>0.7</v>
      </c>
      <c r="X68" s="20">
        <f>ROUND(0.7*Table1[[#This Row],[E&amp;D Rate per unit]]*R68*Table1[[#This Row],[Quantity]],2)</f>
        <v>45.11</v>
      </c>
      <c r="Y68" s="20">
        <f>ROUND(O68*U68*W68*S68,2)</f>
        <v>0.97</v>
      </c>
      <c r="Z68" s="20">
        <f>ROUND(0.3*T68*Table1[[#This Row],[E&amp;D Rate per unit]]*Table1[[#This Row],[Quantity]],2)</f>
        <v>0</v>
      </c>
      <c r="AA68" s="20">
        <v>46.08</v>
      </c>
      <c r="AB68" s="136">
        <v>0</v>
      </c>
      <c r="AC68" s="139">
        <v>46.08</v>
      </c>
      <c r="AD68" s="137"/>
      <c r="AE68" s="161"/>
      <c r="AF68" s="158">
        <f>Table1[[#This Row],[Certified Amount (Cum)]]-Table1[[#This Row],[Certified Amount (Previous)]]</f>
        <v>46.08</v>
      </c>
      <c r="AG68" s="158">
        <f t="shared" si="0"/>
        <v>46.08</v>
      </c>
      <c r="AH68" s="172">
        <f>Table1[[#This Row],[Certified Amount (Cum)]]-Table1[[#This Row],[Total Amount]]</f>
        <v>0</v>
      </c>
    </row>
    <row r="69" spans="1:34" ht="30" customHeight="1" x14ac:dyDescent="0.3">
      <c r="A69" s="109" t="s">
        <v>91</v>
      </c>
      <c r="B69" s="91" t="s">
        <v>98</v>
      </c>
      <c r="C69" s="145">
        <v>2</v>
      </c>
      <c r="D69" s="16">
        <v>74603</v>
      </c>
      <c r="E69" s="16"/>
      <c r="F69" s="17" t="s">
        <v>255</v>
      </c>
      <c r="G69" s="17" t="s">
        <v>256</v>
      </c>
      <c r="H69" s="110" t="s">
        <v>207</v>
      </c>
      <c r="I69" s="16">
        <v>1</v>
      </c>
      <c r="J69" s="16">
        <v>4.9000000000000004</v>
      </c>
      <c r="K69" s="16">
        <v>1.8</v>
      </c>
      <c r="L69" s="16">
        <v>4.2</v>
      </c>
      <c r="M69" s="16">
        <v>1</v>
      </c>
      <c r="N69" s="92" t="s">
        <v>208</v>
      </c>
      <c r="O69" s="92">
        <f t="shared" si="7"/>
        <v>20.58</v>
      </c>
      <c r="P69" s="18">
        <v>44838</v>
      </c>
      <c r="Q69" s="18"/>
      <c r="R69" s="19">
        <v>1</v>
      </c>
      <c r="S69" s="19">
        <v>1</v>
      </c>
      <c r="T69" s="19">
        <v>0</v>
      </c>
      <c r="U69" s="171">
        <f>IF(ISBLANK(Table1[[#This Row],[OHC Date]]),$B$7-Table1[[#This Row],[HOC Date]]+1,Table1[[#This Row],[OHC Date]]-Table1[[#This Row],[HOC Date]]+1)/7</f>
        <v>3.1428571428571428</v>
      </c>
      <c r="V69" s="20">
        <v>16.760000000000002</v>
      </c>
      <c r="W69" s="20">
        <v>0.77</v>
      </c>
      <c r="X69" s="20">
        <f>ROUND(0.7*Table1[[#This Row],[E&amp;D Rate per unit]]*R69*Table1[[#This Row],[Quantity]],2)</f>
        <v>241.44</v>
      </c>
      <c r="Y69" s="20">
        <f t="shared" si="8"/>
        <v>49.8</v>
      </c>
      <c r="Z69" s="20">
        <f>ROUND(0.3*T69*Table1[[#This Row],[E&amp;D Rate per unit]]*Table1[[#This Row],[Quantity]],2)</f>
        <v>0</v>
      </c>
      <c r="AA69" s="20">
        <v>291.24</v>
      </c>
      <c r="AB69" s="136">
        <v>0</v>
      </c>
      <c r="AC69" s="139">
        <v>291.24</v>
      </c>
      <c r="AD69" s="137"/>
      <c r="AE69" s="161"/>
      <c r="AF69" s="158">
        <f>Table1[[#This Row],[Certified Amount (Cum)]]-Table1[[#This Row],[Certified Amount (Previous)]]</f>
        <v>291.24</v>
      </c>
      <c r="AG69" s="158">
        <f t="shared" si="0"/>
        <v>291.24</v>
      </c>
      <c r="AH69" s="172">
        <f>Table1[[#This Row],[Certified Amount (Cum)]]-Table1[[#This Row],[Total Amount]]</f>
        <v>0</v>
      </c>
    </row>
    <row r="70" spans="1:34" ht="30" customHeight="1" x14ac:dyDescent="0.3">
      <c r="A70" s="109" t="s">
        <v>91</v>
      </c>
      <c r="B70" s="91" t="s">
        <v>98</v>
      </c>
      <c r="C70" s="145" t="s">
        <v>177</v>
      </c>
      <c r="D70" s="16">
        <v>74604</v>
      </c>
      <c r="E70" s="16"/>
      <c r="F70" s="17" t="s">
        <v>255</v>
      </c>
      <c r="G70" s="17" t="s">
        <v>256</v>
      </c>
      <c r="H70" s="110" t="s">
        <v>207</v>
      </c>
      <c r="I70" s="16">
        <v>1</v>
      </c>
      <c r="J70" s="16">
        <v>15.1</v>
      </c>
      <c r="K70" s="16">
        <v>1.8</v>
      </c>
      <c r="L70" s="16">
        <v>4.2</v>
      </c>
      <c r="M70" s="16">
        <v>1</v>
      </c>
      <c r="N70" s="92" t="s">
        <v>208</v>
      </c>
      <c r="O70" s="92">
        <f t="shared" si="7"/>
        <v>63.42</v>
      </c>
      <c r="P70" s="18">
        <v>44839</v>
      </c>
      <c r="Q70" s="18"/>
      <c r="R70" s="19">
        <v>1</v>
      </c>
      <c r="S70" s="19">
        <v>1</v>
      </c>
      <c r="T70" s="19">
        <v>0</v>
      </c>
      <c r="U70" s="171">
        <f>IF(ISBLANK(Table1[[#This Row],[OHC Date]]),$B$7-Table1[[#This Row],[HOC Date]]+1,Table1[[#This Row],[OHC Date]]-Table1[[#This Row],[HOC Date]]+1)/7</f>
        <v>3</v>
      </c>
      <c r="V70" s="20">
        <v>16.760000000000002</v>
      </c>
      <c r="W70" s="20">
        <v>0.77</v>
      </c>
      <c r="X70" s="20">
        <f>ROUND(0.7*Table1[[#This Row],[E&amp;D Rate per unit]]*R70*Table1[[#This Row],[Quantity]],2)</f>
        <v>744.04</v>
      </c>
      <c r="Y70" s="20">
        <f t="shared" si="8"/>
        <v>146.5</v>
      </c>
      <c r="Z70" s="20">
        <f>ROUND(0.3*T70*Table1[[#This Row],[E&amp;D Rate per unit]]*Table1[[#This Row],[Quantity]],2)</f>
        <v>0</v>
      </c>
      <c r="AA70" s="20">
        <v>890.54</v>
      </c>
      <c r="AB70" s="136">
        <v>0</v>
      </c>
      <c r="AC70" s="139">
        <v>890.54</v>
      </c>
      <c r="AD70" s="137"/>
      <c r="AE70" s="161"/>
      <c r="AF70" s="158">
        <f>Table1[[#This Row],[Certified Amount (Cum)]]-Table1[[#This Row],[Certified Amount (Previous)]]</f>
        <v>890.54</v>
      </c>
      <c r="AG70" s="158">
        <f t="shared" si="0"/>
        <v>890.54</v>
      </c>
      <c r="AH70" s="172">
        <f>Table1[[#This Row],[Certified Amount (Cum)]]-Table1[[#This Row],[Total Amount]]</f>
        <v>0</v>
      </c>
    </row>
    <row r="71" spans="1:34" ht="30" customHeight="1" x14ac:dyDescent="0.3">
      <c r="A71" s="109" t="s">
        <v>91</v>
      </c>
      <c r="B71" s="91" t="s">
        <v>98</v>
      </c>
      <c r="C71" s="145" t="s">
        <v>179</v>
      </c>
      <c r="D71" s="16">
        <v>74605</v>
      </c>
      <c r="E71" s="16"/>
      <c r="F71" s="17" t="s">
        <v>257</v>
      </c>
      <c r="G71" s="17" t="s">
        <v>256</v>
      </c>
      <c r="H71" s="110" t="s">
        <v>178</v>
      </c>
      <c r="I71" s="16">
        <v>1</v>
      </c>
      <c r="J71" s="16">
        <v>6.8</v>
      </c>
      <c r="K71" s="16">
        <v>1.8</v>
      </c>
      <c r="L71" s="16">
        <v>1</v>
      </c>
      <c r="M71" s="16">
        <v>1</v>
      </c>
      <c r="N71" s="92" t="s">
        <v>162</v>
      </c>
      <c r="O71" s="92">
        <f t="shared" si="7"/>
        <v>12.24</v>
      </c>
      <c r="P71" s="18">
        <v>44839</v>
      </c>
      <c r="Q71" s="18"/>
      <c r="R71" s="19">
        <v>1</v>
      </c>
      <c r="S71" s="19">
        <v>1</v>
      </c>
      <c r="T71" s="19">
        <v>0</v>
      </c>
      <c r="U71" s="171">
        <f>IF(ISBLANK(Table1[[#This Row],[OHC Date]]),$B$7-Table1[[#This Row],[HOC Date]]+1,Table1[[#This Row],[OHC Date]]-Table1[[#This Row],[HOC Date]]+1)/7</f>
        <v>3</v>
      </c>
      <c r="V71" s="20">
        <v>6.63</v>
      </c>
      <c r="W71" s="20">
        <v>0.7</v>
      </c>
      <c r="X71" s="20">
        <f>ROUND(0.7*Table1[[#This Row],[E&amp;D Rate per unit]]*R71*Table1[[#This Row],[Quantity]],2)</f>
        <v>56.81</v>
      </c>
      <c r="Y71" s="20">
        <f t="shared" si="8"/>
        <v>25.7</v>
      </c>
      <c r="Z71" s="20">
        <f>ROUND(0.3*T71*Table1[[#This Row],[E&amp;D Rate per unit]]*Table1[[#This Row],[Quantity]],2)</f>
        <v>0</v>
      </c>
      <c r="AA71" s="20">
        <v>82.51</v>
      </c>
      <c r="AB71" s="136">
        <v>0</v>
      </c>
      <c r="AC71" s="139">
        <v>82.51</v>
      </c>
      <c r="AD71" s="137"/>
      <c r="AE71" s="161"/>
      <c r="AF71" s="158">
        <f>Table1[[#This Row],[Certified Amount (Cum)]]-Table1[[#This Row],[Certified Amount (Previous)]]</f>
        <v>82.51</v>
      </c>
      <c r="AG71" s="158">
        <f t="shared" si="0"/>
        <v>82.51</v>
      </c>
      <c r="AH71" s="172">
        <f>Table1[[#This Row],[Certified Amount (Cum)]]-Table1[[#This Row],[Total Amount]]</f>
        <v>0</v>
      </c>
    </row>
    <row r="72" spans="1:34" ht="30" customHeight="1" x14ac:dyDescent="0.3">
      <c r="A72" s="109" t="s">
        <v>91</v>
      </c>
      <c r="B72" s="91" t="s">
        <v>98</v>
      </c>
      <c r="C72" s="145" t="s">
        <v>181</v>
      </c>
      <c r="D72" s="16">
        <v>74606</v>
      </c>
      <c r="E72" s="16"/>
      <c r="F72" s="17" t="s">
        <v>255</v>
      </c>
      <c r="G72" s="17" t="s">
        <v>256</v>
      </c>
      <c r="H72" s="110" t="s">
        <v>129</v>
      </c>
      <c r="I72" s="16">
        <v>1</v>
      </c>
      <c r="J72" s="16">
        <v>1</v>
      </c>
      <c r="K72" s="16">
        <v>0.75</v>
      </c>
      <c r="L72" s="16">
        <v>1</v>
      </c>
      <c r="M72" s="16">
        <v>1</v>
      </c>
      <c r="N72" s="92" t="s">
        <v>162</v>
      </c>
      <c r="O72" s="92">
        <f t="shared" si="7"/>
        <v>0.75</v>
      </c>
      <c r="P72" s="18">
        <v>44839</v>
      </c>
      <c r="Q72" s="18"/>
      <c r="R72" s="19">
        <v>1</v>
      </c>
      <c r="S72" s="19">
        <v>1</v>
      </c>
      <c r="T72" s="19">
        <v>0</v>
      </c>
      <c r="U72" s="171">
        <f>IF(ISBLANK(Table1[[#This Row],[OHC Date]]),$B$7-Table1[[#This Row],[HOC Date]]+1,Table1[[#This Row],[OHC Date]]-Table1[[#This Row],[HOC Date]]+1)/7</f>
        <v>3</v>
      </c>
      <c r="V72" s="20">
        <v>36.520000000000003</v>
      </c>
      <c r="W72" s="20">
        <v>2.94</v>
      </c>
      <c r="X72" s="20">
        <f>ROUND(0.7*Table1[[#This Row],[E&amp;D Rate per unit]]*R72*Table1[[#This Row],[Quantity]],2)</f>
        <v>19.170000000000002</v>
      </c>
      <c r="Y72" s="20">
        <f t="shared" si="8"/>
        <v>6.62</v>
      </c>
      <c r="Z72" s="20">
        <f>ROUND(0.3*T72*Table1[[#This Row],[E&amp;D Rate per unit]]*Table1[[#This Row],[Quantity]],2)</f>
        <v>0</v>
      </c>
      <c r="AA72" s="20">
        <v>25.79</v>
      </c>
      <c r="AB72" s="136">
        <v>0</v>
      </c>
      <c r="AC72" s="139">
        <v>25.79</v>
      </c>
      <c r="AD72" s="137"/>
      <c r="AE72" s="161"/>
      <c r="AF72" s="158">
        <f>Table1[[#This Row],[Certified Amount (Cum)]]-Table1[[#This Row],[Certified Amount (Previous)]]</f>
        <v>25.790000000000003</v>
      </c>
      <c r="AG72" s="158">
        <f t="shared" si="0"/>
        <v>25.790000000000003</v>
      </c>
      <c r="AH72" s="172">
        <f>Table1[[#This Row],[Certified Amount (Cum)]]-Table1[[#This Row],[Total Amount]]</f>
        <v>0</v>
      </c>
    </row>
    <row r="73" spans="1:34" ht="30" customHeight="1" x14ac:dyDescent="0.3">
      <c r="A73" s="109" t="s">
        <v>91</v>
      </c>
      <c r="B73" s="91" t="s">
        <v>98</v>
      </c>
      <c r="C73" s="145">
        <v>3</v>
      </c>
      <c r="D73" s="16">
        <v>74607</v>
      </c>
      <c r="E73" s="16"/>
      <c r="F73" s="17" t="s">
        <v>255</v>
      </c>
      <c r="G73" s="17" t="s">
        <v>256</v>
      </c>
      <c r="H73" s="110" t="s">
        <v>207</v>
      </c>
      <c r="I73" s="16">
        <v>1</v>
      </c>
      <c r="J73" s="16">
        <v>7.5</v>
      </c>
      <c r="K73" s="16">
        <v>1.8</v>
      </c>
      <c r="L73" s="16">
        <v>4.2</v>
      </c>
      <c r="M73" s="16">
        <v>1</v>
      </c>
      <c r="N73" s="92" t="s">
        <v>208</v>
      </c>
      <c r="O73" s="92">
        <f t="shared" si="7"/>
        <v>31.5</v>
      </c>
      <c r="P73" s="18">
        <v>44839</v>
      </c>
      <c r="Q73" s="18"/>
      <c r="R73" s="19">
        <v>1</v>
      </c>
      <c r="S73" s="19">
        <v>1</v>
      </c>
      <c r="T73" s="19">
        <v>0</v>
      </c>
      <c r="U73" s="171">
        <f>IF(ISBLANK(Table1[[#This Row],[OHC Date]]),$B$7-Table1[[#This Row],[HOC Date]]+1,Table1[[#This Row],[OHC Date]]-Table1[[#This Row],[HOC Date]]+1)/7</f>
        <v>3</v>
      </c>
      <c r="V73" s="20">
        <v>16.760000000000002</v>
      </c>
      <c r="W73" s="20">
        <v>0.77</v>
      </c>
      <c r="X73" s="20">
        <f>ROUND(0.7*Table1[[#This Row],[E&amp;D Rate per unit]]*R73*Table1[[#This Row],[Quantity]],2)</f>
        <v>369.56</v>
      </c>
      <c r="Y73" s="20">
        <f t="shared" si="8"/>
        <v>72.77</v>
      </c>
      <c r="Z73" s="20">
        <f>ROUND(0.3*T73*Table1[[#This Row],[E&amp;D Rate per unit]]*Table1[[#This Row],[Quantity]],2)</f>
        <v>0</v>
      </c>
      <c r="AA73" s="20">
        <v>442.33</v>
      </c>
      <c r="AB73" s="136">
        <v>0</v>
      </c>
      <c r="AC73" s="139">
        <v>442.33</v>
      </c>
      <c r="AD73" s="137"/>
      <c r="AE73" s="161"/>
      <c r="AF73" s="158">
        <f>Table1[[#This Row],[Certified Amount (Cum)]]-Table1[[#This Row],[Certified Amount (Previous)]]</f>
        <v>442.33</v>
      </c>
      <c r="AG73" s="158">
        <f t="shared" si="0"/>
        <v>442.33</v>
      </c>
      <c r="AH73" s="172">
        <f>Table1[[#This Row],[Certified Amount (Cum)]]-Table1[[#This Row],[Total Amount]]</f>
        <v>0</v>
      </c>
    </row>
    <row r="74" spans="1:34" ht="30" customHeight="1" x14ac:dyDescent="0.3">
      <c r="A74" s="109" t="s">
        <v>91</v>
      </c>
      <c r="B74" s="91" t="s">
        <v>98</v>
      </c>
      <c r="C74" s="145" t="s">
        <v>185</v>
      </c>
      <c r="D74" s="16">
        <v>74608</v>
      </c>
      <c r="E74" s="16"/>
      <c r="F74" s="17" t="s">
        <v>255</v>
      </c>
      <c r="G74" s="17" t="s">
        <v>256</v>
      </c>
      <c r="H74" s="110" t="s">
        <v>128</v>
      </c>
      <c r="I74" s="16">
        <v>1</v>
      </c>
      <c r="J74" s="16">
        <v>5</v>
      </c>
      <c r="K74" s="16">
        <v>0.25</v>
      </c>
      <c r="L74" s="16">
        <v>1</v>
      </c>
      <c r="M74" s="16">
        <v>1</v>
      </c>
      <c r="N74" s="92" t="s">
        <v>162</v>
      </c>
      <c r="O74" s="92">
        <f t="shared" si="7"/>
        <v>1.25</v>
      </c>
      <c r="P74" s="18">
        <v>44839</v>
      </c>
      <c r="Q74" s="18"/>
      <c r="R74" s="19">
        <v>1</v>
      </c>
      <c r="S74" s="19">
        <v>1</v>
      </c>
      <c r="T74" s="19">
        <v>0</v>
      </c>
      <c r="U74" s="171">
        <f>IF(ISBLANK(Table1[[#This Row],[OHC Date]]),$B$7-Table1[[#This Row],[HOC Date]]+1,Table1[[#This Row],[OHC Date]]-Table1[[#This Row],[HOC Date]]+1)/7</f>
        <v>3</v>
      </c>
      <c r="V74" s="20">
        <v>32.75</v>
      </c>
      <c r="W74" s="20">
        <v>1.05</v>
      </c>
      <c r="X74" s="20">
        <f>ROUND(0.7*Table1[[#This Row],[E&amp;D Rate per unit]]*R74*Table1[[#This Row],[Quantity]],2)</f>
        <v>28.66</v>
      </c>
      <c r="Y74" s="20">
        <f t="shared" si="8"/>
        <v>3.94</v>
      </c>
      <c r="Z74" s="20">
        <f>ROUND(0.3*T74*Table1[[#This Row],[E&amp;D Rate per unit]]*Table1[[#This Row],[Quantity]],2)</f>
        <v>0</v>
      </c>
      <c r="AA74" s="20">
        <v>32.6</v>
      </c>
      <c r="AB74" s="136">
        <v>0</v>
      </c>
      <c r="AC74" s="139">
        <v>32.6</v>
      </c>
      <c r="AD74" s="137"/>
      <c r="AE74" s="161"/>
      <c r="AF74" s="158">
        <f>Table1[[#This Row],[Certified Amount (Cum)]]-Table1[[#This Row],[Certified Amount (Previous)]]</f>
        <v>32.6</v>
      </c>
      <c r="AG74" s="158">
        <f t="shared" ref="AG74:AG104" si="9">SUM(X74,Y74,Z74)</f>
        <v>32.6</v>
      </c>
      <c r="AH74" s="172">
        <f>Table1[[#This Row],[Certified Amount (Cum)]]-Table1[[#This Row],[Total Amount]]</f>
        <v>0</v>
      </c>
    </row>
    <row r="75" spans="1:34" ht="30" customHeight="1" x14ac:dyDescent="0.3">
      <c r="A75" s="109" t="s">
        <v>91</v>
      </c>
      <c r="B75" s="91" t="s">
        <v>98</v>
      </c>
      <c r="C75" s="145">
        <v>4</v>
      </c>
      <c r="D75" s="16">
        <v>74609</v>
      </c>
      <c r="E75" s="145">
        <v>76802</v>
      </c>
      <c r="F75" s="17" t="s">
        <v>258</v>
      </c>
      <c r="G75" s="17" t="s">
        <v>228</v>
      </c>
      <c r="H75" s="110" t="s">
        <v>207</v>
      </c>
      <c r="I75" s="16">
        <v>1</v>
      </c>
      <c r="J75" s="16">
        <v>9.3000000000000007</v>
      </c>
      <c r="K75" s="16">
        <v>1.3</v>
      </c>
      <c r="L75" s="16">
        <v>5.9</v>
      </c>
      <c r="M75" s="16">
        <v>1</v>
      </c>
      <c r="N75" s="92" t="s">
        <v>208</v>
      </c>
      <c r="O75" s="92">
        <f t="shared" ref="O75:O93" si="10">ROUND(IF(N75="m3",I75*J75*K75*L75,IF(N75="m2-LxH",I75*J75*L75,IF(N75="m2-LxW",I75*J75*K75,IF(N75="rm",I75*L75,IF(N75="lm",I75*J75,IF(N75="unit",I75,"NA")))))),2)</f>
        <v>54.87</v>
      </c>
      <c r="P75" s="18">
        <v>44841</v>
      </c>
      <c r="Q75" s="18">
        <v>44846</v>
      </c>
      <c r="R75" s="19">
        <v>1</v>
      </c>
      <c r="S75" s="19">
        <v>1</v>
      </c>
      <c r="T75" s="19">
        <v>1</v>
      </c>
      <c r="U75" s="171">
        <f>IF(ISBLANK(Table1[[#This Row],[OHC Date]]),$B$7-Table1[[#This Row],[HOC Date]]+1,Table1[[#This Row],[OHC Date]]-Table1[[#This Row],[HOC Date]]+1)/7</f>
        <v>0.8571428571428571</v>
      </c>
      <c r="V75" s="20">
        <v>12.01</v>
      </c>
      <c r="W75" s="20">
        <v>0.49</v>
      </c>
      <c r="X75" s="20">
        <f>ROUND(0.7*Table1[[#This Row],[E&amp;D Rate per unit]]*R75*Table1[[#This Row],[Quantity]],2)</f>
        <v>461.29</v>
      </c>
      <c r="Y75" s="20">
        <f t="shared" ref="Y75:Y93" si="11">ROUND(O75*U75*W75*S75,2)</f>
        <v>23.05</v>
      </c>
      <c r="Z75" s="20">
        <f>ROUND(0.3*T75*Table1[[#This Row],[E&amp;D Rate per unit]]*Table1[[#This Row],[Quantity]],2)</f>
        <v>197.7</v>
      </c>
      <c r="AA75" s="20">
        <v>682.04</v>
      </c>
      <c r="AB75" s="136">
        <v>0</v>
      </c>
      <c r="AC75" s="139">
        <v>682.04</v>
      </c>
      <c r="AD75" s="137"/>
      <c r="AE75" s="161"/>
      <c r="AF75" s="158">
        <f>Table1[[#This Row],[Certified Amount (Cum)]]-Table1[[#This Row],[Certified Amount (Previous)]]</f>
        <v>682.04</v>
      </c>
      <c r="AG75" s="158">
        <f t="shared" si="9"/>
        <v>682.04</v>
      </c>
      <c r="AH75" s="172">
        <f>Table1[[#This Row],[Certified Amount (Cum)]]-Table1[[#This Row],[Total Amount]]</f>
        <v>0</v>
      </c>
    </row>
    <row r="76" spans="1:34" ht="30" customHeight="1" x14ac:dyDescent="0.3">
      <c r="A76" s="109" t="s">
        <v>91</v>
      </c>
      <c r="B76" s="91" t="s">
        <v>98</v>
      </c>
      <c r="C76" s="145" t="s">
        <v>259</v>
      </c>
      <c r="D76" s="16">
        <v>74610</v>
      </c>
      <c r="E76" s="145">
        <v>76803</v>
      </c>
      <c r="F76" s="17" t="s">
        <v>258</v>
      </c>
      <c r="G76" s="17" t="s">
        <v>228</v>
      </c>
      <c r="H76" s="110" t="s">
        <v>128</v>
      </c>
      <c r="I76" s="16">
        <v>1</v>
      </c>
      <c r="J76" s="16">
        <v>9.8000000000000007</v>
      </c>
      <c r="K76" s="16">
        <v>0.5</v>
      </c>
      <c r="L76" s="16">
        <v>1</v>
      </c>
      <c r="M76" s="16">
        <v>1</v>
      </c>
      <c r="N76" s="92" t="s">
        <v>162</v>
      </c>
      <c r="O76" s="92">
        <f t="shared" si="10"/>
        <v>4.9000000000000004</v>
      </c>
      <c r="P76" s="18">
        <v>44841</v>
      </c>
      <c r="Q76" s="18">
        <v>44846</v>
      </c>
      <c r="R76" s="19">
        <v>1</v>
      </c>
      <c r="S76" s="19">
        <v>1</v>
      </c>
      <c r="T76" s="19">
        <v>1</v>
      </c>
      <c r="U76" s="171">
        <f>IF(ISBLANK(Table1[[#This Row],[OHC Date]]),$B$7-Table1[[#This Row],[HOC Date]]+1,Table1[[#This Row],[OHC Date]]-Table1[[#This Row],[HOC Date]]+1)/7</f>
        <v>0.8571428571428571</v>
      </c>
      <c r="V76" s="20">
        <v>32.75</v>
      </c>
      <c r="W76" s="20">
        <v>1.05</v>
      </c>
      <c r="X76" s="20">
        <f>ROUND(0.7*Table1[[#This Row],[E&amp;D Rate per unit]]*R76*Table1[[#This Row],[Quantity]],2)</f>
        <v>112.33</v>
      </c>
      <c r="Y76" s="20">
        <f t="shared" si="11"/>
        <v>4.41</v>
      </c>
      <c r="Z76" s="20">
        <f>ROUND(0.3*T76*Table1[[#This Row],[E&amp;D Rate per unit]]*Table1[[#This Row],[Quantity]],2)</f>
        <v>48.14</v>
      </c>
      <c r="AA76" s="20">
        <v>164.88</v>
      </c>
      <c r="AB76" s="136">
        <v>0</v>
      </c>
      <c r="AC76" s="139">
        <v>164.88</v>
      </c>
      <c r="AD76" s="137"/>
      <c r="AE76" s="161"/>
      <c r="AF76" s="158">
        <f>Table1[[#This Row],[Certified Amount (Cum)]]-Table1[[#This Row],[Certified Amount (Previous)]]</f>
        <v>164.88</v>
      </c>
      <c r="AG76" s="158">
        <f t="shared" si="9"/>
        <v>164.88</v>
      </c>
      <c r="AH76" s="172">
        <f>Table1[[#This Row],[Certified Amount (Cum)]]-Table1[[#This Row],[Total Amount]]</f>
        <v>0</v>
      </c>
    </row>
    <row r="77" spans="1:34" ht="30" customHeight="1" x14ac:dyDescent="0.3">
      <c r="A77" s="141" t="s">
        <v>260</v>
      </c>
      <c r="B77" s="91" t="s">
        <v>98</v>
      </c>
      <c r="C77" s="145">
        <v>5</v>
      </c>
      <c r="D77" s="16">
        <v>74611</v>
      </c>
      <c r="E77" s="145">
        <v>76801</v>
      </c>
      <c r="F77" s="17" t="s">
        <v>262</v>
      </c>
      <c r="G77" s="17" t="s">
        <v>263</v>
      </c>
      <c r="H77" s="110" t="s">
        <v>264</v>
      </c>
      <c r="I77" s="16">
        <v>1</v>
      </c>
      <c r="J77" s="16">
        <v>4</v>
      </c>
      <c r="K77" s="16">
        <v>2.5</v>
      </c>
      <c r="L77" s="16">
        <v>2</v>
      </c>
      <c r="M77" s="16">
        <v>1</v>
      </c>
      <c r="N77" s="92" t="s">
        <v>56</v>
      </c>
      <c r="O77" s="92">
        <f t="shared" si="10"/>
        <v>1</v>
      </c>
      <c r="P77" s="18">
        <v>44841</v>
      </c>
      <c r="Q77" s="18">
        <v>44844</v>
      </c>
      <c r="R77" s="19">
        <v>1</v>
      </c>
      <c r="S77" s="19">
        <v>1</v>
      </c>
      <c r="T77" s="19">
        <v>1</v>
      </c>
      <c r="U77" s="171">
        <f>IF(ISBLANK(Table1[[#This Row],[OHC Date]]),$B$7-Table1[[#This Row],[HOC Date]]+1,Table1[[#This Row],[OHC Date]]-Table1[[#This Row],[HOC Date]]+1)/7</f>
        <v>0.5714285714285714</v>
      </c>
      <c r="V77" s="20">
        <v>4033.1</v>
      </c>
      <c r="W77" s="20">
        <v>49.28</v>
      </c>
      <c r="X77" s="20">
        <f>ROUND(0.7*Table1[[#This Row],[E&amp;D Rate per unit]]*R77*Table1[[#This Row],[Quantity]],2)</f>
        <v>2823.17</v>
      </c>
      <c r="Y77" s="20">
        <f t="shared" si="11"/>
        <v>28.16</v>
      </c>
      <c r="Z77" s="20">
        <f>ROUND(0.3*T77*Table1[[#This Row],[E&amp;D Rate per unit]]*Table1[[#This Row],[Quantity]],2)</f>
        <v>1209.93</v>
      </c>
      <c r="AA77" s="20">
        <v>4061.26</v>
      </c>
      <c r="AB77" s="139">
        <v>0</v>
      </c>
      <c r="AC77" s="139">
        <v>4061.26</v>
      </c>
      <c r="AD77" s="137" t="s">
        <v>265</v>
      </c>
      <c r="AE77" s="161"/>
      <c r="AF77" s="158">
        <f>Table1[[#This Row],[Certified Amount (Cum)]]-Table1[[#This Row],[Certified Amount (Previous)]]</f>
        <v>4061.26</v>
      </c>
      <c r="AG77" s="158">
        <f t="shared" si="9"/>
        <v>4061.26</v>
      </c>
      <c r="AH77" s="172">
        <f>Table1[[#This Row],[Certified Amount (Cum)]]-Table1[[#This Row],[Total Amount]]</f>
        <v>0</v>
      </c>
    </row>
    <row r="78" spans="1:34" ht="30" customHeight="1" x14ac:dyDescent="0.3">
      <c r="A78" s="141" t="s">
        <v>260</v>
      </c>
      <c r="B78" s="91" t="s">
        <v>98</v>
      </c>
      <c r="C78" s="145">
        <v>6</v>
      </c>
      <c r="D78" s="16">
        <v>74612</v>
      </c>
      <c r="E78" s="16"/>
      <c r="F78" s="17" t="s">
        <v>266</v>
      </c>
      <c r="G78" s="17" t="s">
        <v>263</v>
      </c>
      <c r="H78" s="110" t="s">
        <v>264</v>
      </c>
      <c r="I78" s="16">
        <v>1</v>
      </c>
      <c r="J78" s="16">
        <v>4</v>
      </c>
      <c r="K78" s="16">
        <v>2.5</v>
      </c>
      <c r="L78" s="16">
        <v>2</v>
      </c>
      <c r="M78" s="16">
        <v>1</v>
      </c>
      <c r="N78" s="92" t="s">
        <v>56</v>
      </c>
      <c r="O78" s="92">
        <f t="shared" si="10"/>
        <v>1</v>
      </c>
      <c r="P78" s="18">
        <v>44844</v>
      </c>
      <c r="Q78" s="18"/>
      <c r="R78" s="19">
        <v>1</v>
      </c>
      <c r="S78" s="19">
        <v>1</v>
      </c>
      <c r="T78" s="19">
        <v>0</v>
      </c>
      <c r="U78" s="171">
        <f>IF(ISBLANK(Table1[[#This Row],[OHC Date]]),$B$7-Table1[[#This Row],[HOC Date]]+1,Table1[[#This Row],[OHC Date]]-Table1[[#This Row],[HOC Date]]+1)/7</f>
        <v>2.2857142857142856</v>
      </c>
      <c r="V78" s="20">
        <v>4033.1</v>
      </c>
      <c r="W78" s="20">
        <v>49.28</v>
      </c>
      <c r="X78" s="20">
        <f>ROUND(0.7*Table1[[#This Row],[E&amp;D Rate per unit]]*R78*Table1[[#This Row],[Quantity]],2)</f>
        <v>2823.17</v>
      </c>
      <c r="Y78" s="20">
        <f t="shared" si="11"/>
        <v>112.64</v>
      </c>
      <c r="Z78" s="20">
        <f>ROUND(0.3*T78*Table1[[#This Row],[E&amp;D Rate per unit]]*Table1[[#This Row],[Quantity]],2)</f>
        <v>0</v>
      </c>
      <c r="AA78" s="20">
        <v>2935.81</v>
      </c>
      <c r="AB78" s="139">
        <v>0</v>
      </c>
      <c r="AC78" s="139">
        <v>2935.81</v>
      </c>
      <c r="AD78" s="137" t="s">
        <v>265</v>
      </c>
      <c r="AE78" s="161"/>
      <c r="AF78" s="158">
        <f>Table1[[#This Row],[Certified Amount (Cum)]]-Table1[[#This Row],[Certified Amount (Previous)]]</f>
        <v>2935.81</v>
      </c>
      <c r="AG78" s="158">
        <f t="shared" si="9"/>
        <v>2935.81</v>
      </c>
      <c r="AH78" s="172">
        <f>Table1[[#This Row],[Certified Amount (Cum)]]-Table1[[#This Row],[Total Amount]]</f>
        <v>0</v>
      </c>
    </row>
    <row r="79" spans="1:34" ht="30" customHeight="1" x14ac:dyDescent="0.3">
      <c r="A79" s="109" t="s">
        <v>91</v>
      </c>
      <c r="B79" s="91" t="s">
        <v>98</v>
      </c>
      <c r="C79" s="145">
        <v>7</v>
      </c>
      <c r="D79" s="16">
        <v>74613</v>
      </c>
      <c r="E79" s="16"/>
      <c r="F79" s="17" t="s">
        <v>267</v>
      </c>
      <c r="G79" s="17" t="s">
        <v>228</v>
      </c>
      <c r="H79" s="110" t="s">
        <v>222</v>
      </c>
      <c r="I79" s="16">
        <v>1</v>
      </c>
      <c r="J79" s="16">
        <v>1.8</v>
      </c>
      <c r="K79" s="16">
        <v>1.3</v>
      </c>
      <c r="L79" s="16">
        <v>2.5</v>
      </c>
      <c r="M79" s="16">
        <v>1</v>
      </c>
      <c r="N79" s="92" t="s">
        <v>223</v>
      </c>
      <c r="O79" s="92">
        <f t="shared" si="10"/>
        <v>2.5</v>
      </c>
      <c r="P79" s="18">
        <v>44846</v>
      </c>
      <c r="Q79" s="18"/>
      <c r="R79" s="19">
        <v>1</v>
      </c>
      <c r="S79" s="19">
        <v>1</v>
      </c>
      <c r="T79" s="19">
        <v>0</v>
      </c>
      <c r="U79" s="171">
        <f>IF(ISBLANK(Table1[[#This Row],[OHC Date]]),$B$7-Table1[[#This Row],[HOC Date]]+1,Table1[[#This Row],[OHC Date]]-Table1[[#This Row],[HOC Date]]+1)/7</f>
        <v>2</v>
      </c>
      <c r="V79" s="20">
        <v>63.34</v>
      </c>
      <c r="W79" s="20">
        <v>7.28</v>
      </c>
      <c r="X79" s="20">
        <f>ROUND(0.7*Table1[[#This Row],[E&amp;D Rate per unit]]*R79*Table1[[#This Row],[Quantity]],2)</f>
        <v>110.85</v>
      </c>
      <c r="Y79" s="20">
        <f t="shared" si="11"/>
        <v>36.4</v>
      </c>
      <c r="Z79" s="20">
        <f>ROUND(0.3*T79*Table1[[#This Row],[E&amp;D Rate per unit]]*Table1[[#This Row],[Quantity]],2)</f>
        <v>0</v>
      </c>
      <c r="AA79" s="20">
        <v>147.25</v>
      </c>
      <c r="AB79" s="139">
        <v>0</v>
      </c>
      <c r="AC79" s="139">
        <v>147.25</v>
      </c>
      <c r="AD79" s="137"/>
      <c r="AE79" s="161"/>
      <c r="AF79" s="158">
        <f>Table1[[#This Row],[Certified Amount (Cum)]]-Table1[[#This Row],[Certified Amount (Previous)]]</f>
        <v>147.25</v>
      </c>
      <c r="AG79" s="158">
        <f t="shared" si="9"/>
        <v>147.25</v>
      </c>
      <c r="AH79" s="172">
        <f>Table1[[#This Row],[Certified Amount (Cum)]]-Table1[[#This Row],[Total Amount]]</f>
        <v>0</v>
      </c>
    </row>
    <row r="80" spans="1:34" ht="30" customHeight="1" x14ac:dyDescent="0.3">
      <c r="A80" s="109" t="s">
        <v>91</v>
      </c>
      <c r="B80" s="91" t="s">
        <v>98</v>
      </c>
      <c r="C80" s="145" t="s">
        <v>183</v>
      </c>
      <c r="D80" s="16">
        <v>74614</v>
      </c>
      <c r="E80" s="16"/>
      <c r="F80" s="17" t="s">
        <v>268</v>
      </c>
      <c r="G80" s="17" t="s">
        <v>256</v>
      </c>
      <c r="H80" s="110" t="s">
        <v>178</v>
      </c>
      <c r="I80" s="16">
        <v>1</v>
      </c>
      <c r="J80" s="16">
        <v>4.3</v>
      </c>
      <c r="K80" s="16">
        <v>1.5</v>
      </c>
      <c r="L80" s="16">
        <v>1</v>
      </c>
      <c r="M80" s="16">
        <v>1</v>
      </c>
      <c r="N80" s="92" t="s">
        <v>162</v>
      </c>
      <c r="O80" s="92">
        <f t="shared" si="10"/>
        <v>6.45</v>
      </c>
      <c r="P80" s="18">
        <v>44846</v>
      </c>
      <c r="Q80" s="18"/>
      <c r="R80" s="19">
        <v>1</v>
      </c>
      <c r="S80" s="19">
        <v>1</v>
      </c>
      <c r="T80" s="19">
        <v>0</v>
      </c>
      <c r="U80" s="171">
        <f>IF(ISBLANK(Table1[[#This Row],[OHC Date]]),$B$7-Table1[[#This Row],[HOC Date]]+1,Table1[[#This Row],[OHC Date]]-Table1[[#This Row],[HOC Date]]+1)/7</f>
        <v>2</v>
      </c>
      <c r="V80" s="20">
        <v>6.63</v>
      </c>
      <c r="W80" s="20">
        <v>0.7</v>
      </c>
      <c r="X80" s="20">
        <f>ROUND(0.7*Table1[[#This Row],[E&amp;D Rate per unit]]*R80*Table1[[#This Row],[Quantity]],2)</f>
        <v>29.93</v>
      </c>
      <c r="Y80" s="20">
        <f t="shared" si="11"/>
        <v>9.0299999999999994</v>
      </c>
      <c r="Z80" s="20">
        <f>ROUND(0.3*T80*Table1[[#This Row],[E&amp;D Rate per unit]]*Table1[[#This Row],[Quantity]],2)</f>
        <v>0</v>
      </c>
      <c r="AA80" s="20">
        <v>38.96</v>
      </c>
      <c r="AB80" s="139">
        <v>0</v>
      </c>
      <c r="AC80" s="139">
        <v>38.96</v>
      </c>
      <c r="AD80" s="137"/>
      <c r="AE80" s="161"/>
      <c r="AF80" s="158">
        <f>Table1[[#This Row],[Certified Amount (Cum)]]-Table1[[#This Row],[Certified Amount (Previous)]]</f>
        <v>38.96</v>
      </c>
      <c r="AG80" s="158">
        <f t="shared" si="9"/>
        <v>38.96</v>
      </c>
      <c r="AH80" s="172">
        <f>Table1[[#This Row],[Certified Amount (Cum)]]-Table1[[#This Row],[Total Amount]]</f>
        <v>0</v>
      </c>
    </row>
    <row r="81" spans="1:34" ht="30" customHeight="1" x14ac:dyDescent="0.3">
      <c r="A81" s="109" t="s">
        <v>91</v>
      </c>
      <c r="B81" s="91" t="s">
        <v>98</v>
      </c>
      <c r="C81" s="145" t="s">
        <v>187</v>
      </c>
      <c r="D81" s="16">
        <v>74615</v>
      </c>
      <c r="E81" s="16"/>
      <c r="F81" s="17" t="s">
        <v>268</v>
      </c>
      <c r="G81" s="17" t="s">
        <v>256</v>
      </c>
      <c r="H81" s="110" t="s">
        <v>207</v>
      </c>
      <c r="I81" s="16">
        <v>1</v>
      </c>
      <c r="J81" s="16">
        <v>3</v>
      </c>
      <c r="K81" s="16">
        <v>1.8</v>
      </c>
      <c r="L81" s="16">
        <v>4.2</v>
      </c>
      <c r="M81" s="16">
        <v>1</v>
      </c>
      <c r="N81" s="92" t="s">
        <v>208</v>
      </c>
      <c r="O81" s="92">
        <f t="shared" si="10"/>
        <v>12.6</v>
      </c>
      <c r="P81" s="18">
        <v>44846</v>
      </c>
      <c r="Q81" s="18"/>
      <c r="R81" s="19">
        <v>1</v>
      </c>
      <c r="S81" s="19">
        <v>1</v>
      </c>
      <c r="T81" s="19">
        <v>0</v>
      </c>
      <c r="U81" s="171">
        <f>IF(ISBLANK(Table1[[#This Row],[OHC Date]]),$B$7-Table1[[#This Row],[HOC Date]]+1,Table1[[#This Row],[OHC Date]]-Table1[[#This Row],[HOC Date]]+1)/7</f>
        <v>2</v>
      </c>
      <c r="V81" s="20">
        <v>16.760000000000002</v>
      </c>
      <c r="W81" s="20">
        <v>0.77</v>
      </c>
      <c r="X81" s="20">
        <f>ROUND(0.7*Table1[[#This Row],[E&amp;D Rate per unit]]*R81*Table1[[#This Row],[Quantity]],2)</f>
        <v>147.82</v>
      </c>
      <c r="Y81" s="20">
        <f t="shared" si="11"/>
        <v>19.399999999999999</v>
      </c>
      <c r="Z81" s="20">
        <f>ROUND(0.3*T81*Table1[[#This Row],[E&amp;D Rate per unit]]*Table1[[#This Row],[Quantity]],2)</f>
        <v>0</v>
      </c>
      <c r="AA81" s="20">
        <v>167.22</v>
      </c>
      <c r="AB81" s="139">
        <v>0</v>
      </c>
      <c r="AC81" s="139">
        <v>167.22</v>
      </c>
      <c r="AD81" s="137"/>
      <c r="AE81" s="161"/>
      <c r="AF81" s="158">
        <f>Table1[[#This Row],[Certified Amount (Cum)]]-Table1[[#This Row],[Certified Amount (Previous)]]</f>
        <v>167.22</v>
      </c>
      <c r="AG81" s="158">
        <f t="shared" si="9"/>
        <v>167.22</v>
      </c>
      <c r="AH81" s="172">
        <f>Table1[[#This Row],[Certified Amount (Cum)]]-Table1[[#This Row],[Total Amount]]</f>
        <v>0</v>
      </c>
    </row>
    <row r="82" spans="1:34" ht="30" customHeight="1" x14ac:dyDescent="0.3">
      <c r="A82" s="109" t="s">
        <v>91</v>
      </c>
      <c r="B82" s="91" t="s">
        <v>98</v>
      </c>
      <c r="C82" s="145" t="s">
        <v>269</v>
      </c>
      <c r="D82" s="16">
        <v>74616</v>
      </c>
      <c r="E82" s="16"/>
      <c r="F82" s="17" t="s">
        <v>268</v>
      </c>
      <c r="G82" s="17" t="s">
        <v>256</v>
      </c>
      <c r="H82" s="110" t="s">
        <v>207</v>
      </c>
      <c r="I82" s="16">
        <v>1</v>
      </c>
      <c r="J82" s="16">
        <v>5</v>
      </c>
      <c r="K82" s="16">
        <v>1.3</v>
      </c>
      <c r="L82" s="16">
        <v>4.2</v>
      </c>
      <c r="M82" s="16">
        <v>1</v>
      </c>
      <c r="N82" s="92" t="s">
        <v>208</v>
      </c>
      <c r="O82" s="92">
        <f t="shared" si="10"/>
        <v>21</v>
      </c>
      <c r="P82" s="18">
        <v>44846</v>
      </c>
      <c r="Q82" s="18"/>
      <c r="R82" s="19">
        <v>1</v>
      </c>
      <c r="S82" s="19">
        <v>1</v>
      </c>
      <c r="T82" s="19">
        <v>0</v>
      </c>
      <c r="U82" s="171">
        <f>IF(ISBLANK(Table1[[#This Row],[OHC Date]]),$B$7-Table1[[#This Row],[HOC Date]]+1,Table1[[#This Row],[OHC Date]]-Table1[[#This Row],[HOC Date]]+1)/7</f>
        <v>2</v>
      </c>
      <c r="V82" s="20">
        <v>12.01</v>
      </c>
      <c r="W82" s="20">
        <v>0.49</v>
      </c>
      <c r="X82" s="20">
        <f>ROUND(0.7*Table1[[#This Row],[E&amp;D Rate per unit]]*R82*Table1[[#This Row],[Quantity]],2)</f>
        <v>176.55</v>
      </c>
      <c r="Y82" s="20">
        <f t="shared" si="11"/>
        <v>20.58</v>
      </c>
      <c r="Z82" s="20">
        <f>ROUND(0.3*T82*Table1[[#This Row],[E&amp;D Rate per unit]]*Table1[[#This Row],[Quantity]],2)</f>
        <v>0</v>
      </c>
      <c r="AA82" s="20">
        <v>197.13</v>
      </c>
      <c r="AB82" s="139">
        <v>0</v>
      </c>
      <c r="AC82" s="139">
        <v>197.13</v>
      </c>
      <c r="AD82" s="137"/>
      <c r="AE82" s="161"/>
      <c r="AF82" s="158">
        <f>Table1[[#This Row],[Certified Amount (Cum)]]-Table1[[#This Row],[Certified Amount (Previous)]]</f>
        <v>197.13</v>
      </c>
      <c r="AG82" s="158">
        <f t="shared" si="9"/>
        <v>197.13</v>
      </c>
      <c r="AH82" s="172">
        <f>Table1[[#This Row],[Certified Amount (Cum)]]-Table1[[#This Row],[Total Amount]]</f>
        <v>0</v>
      </c>
    </row>
    <row r="83" spans="1:34" ht="30" customHeight="1" x14ac:dyDescent="0.3">
      <c r="A83" s="109" t="s">
        <v>91</v>
      </c>
      <c r="B83" s="91" t="s">
        <v>98</v>
      </c>
      <c r="C83" s="145">
        <v>8</v>
      </c>
      <c r="D83" s="16">
        <v>74617</v>
      </c>
      <c r="E83" s="16"/>
      <c r="F83" s="17" t="s">
        <v>268</v>
      </c>
      <c r="G83" s="17" t="s">
        <v>256</v>
      </c>
      <c r="H83" s="110" t="s">
        <v>207</v>
      </c>
      <c r="I83" s="16">
        <v>1</v>
      </c>
      <c r="J83" s="16">
        <v>10.8</v>
      </c>
      <c r="K83" s="16">
        <v>1.8</v>
      </c>
      <c r="L83" s="16">
        <v>3.8</v>
      </c>
      <c r="M83" s="16">
        <v>1</v>
      </c>
      <c r="N83" s="92" t="s">
        <v>208</v>
      </c>
      <c r="O83" s="92">
        <f t="shared" si="10"/>
        <v>41.04</v>
      </c>
      <c r="P83" s="146">
        <v>44847</v>
      </c>
      <c r="Q83" s="18"/>
      <c r="R83" s="19">
        <v>1</v>
      </c>
      <c r="S83" s="19">
        <v>1</v>
      </c>
      <c r="T83" s="19">
        <v>0</v>
      </c>
      <c r="U83" s="157">
        <f>IF(ISBLANK(Table1[[#This Row],[OHC Date]]),$B$7-Table1[[#This Row],[HOC Date]]+1,Table1[[#This Row],[OHC Date]]-Table1[[#This Row],[HOC Date]]+1)/7</f>
        <v>1.8571428571428572</v>
      </c>
      <c r="V83" s="20">
        <v>16.760000000000002</v>
      </c>
      <c r="W83" s="20">
        <v>0.77</v>
      </c>
      <c r="X83" s="20">
        <f>ROUND(0.7*Table1[[#This Row],[E&amp;D Rate per unit]]*R83*Table1[[#This Row],[Quantity]],2)</f>
        <v>481.48</v>
      </c>
      <c r="Y83" s="20">
        <f t="shared" si="11"/>
        <v>58.69</v>
      </c>
      <c r="Z83" s="20">
        <f>ROUND(0.3*T83*Table1[[#This Row],[E&amp;D Rate per unit]]*Table1[[#This Row],[Quantity]],2)</f>
        <v>0</v>
      </c>
      <c r="AA83" s="20">
        <v>544.67999999999995</v>
      </c>
      <c r="AB83" s="139">
        <v>0</v>
      </c>
      <c r="AC83" s="139">
        <v>544.67999999999995</v>
      </c>
      <c r="AD83" s="137"/>
      <c r="AE83" s="161"/>
      <c r="AF83" s="158">
        <f>Table1[[#This Row],[Certified Amount (Cum)]]-Table1[[#This Row],[Certified Amount (Previous)]]</f>
        <v>540.17000000000007</v>
      </c>
      <c r="AG83" s="158">
        <f t="shared" si="9"/>
        <v>540.17000000000007</v>
      </c>
      <c r="AH83" s="172">
        <f>Table1[[#This Row],[Certified Amount (Cum)]]-Table1[[#This Row],[Total Amount]]</f>
        <v>-4.5099999999998772</v>
      </c>
    </row>
    <row r="84" spans="1:34" ht="30" customHeight="1" x14ac:dyDescent="0.3">
      <c r="A84" s="109" t="s">
        <v>91</v>
      </c>
      <c r="B84" s="91" t="s">
        <v>98</v>
      </c>
      <c r="C84" s="145" t="s">
        <v>270</v>
      </c>
      <c r="D84" s="16">
        <v>74618</v>
      </c>
      <c r="E84" s="16"/>
      <c r="F84" s="17" t="s">
        <v>268</v>
      </c>
      <c r="G84" s="17" t="s">
        <v>256</v>
      </c>
      <c r="H84" s="110" t="s">
        <v>128</v>
      </c>
      <c r="I84" s="16">
        <v>1</v>
      </c>
      <c r="J84" s="16">
        <v>10.8</v>
      </c>
      <c r="K84" s="16">
        <v>0.5</v>
      </c>
      <c r="L84" s="16">
        <v>1</v>
      </c>
      <c r="M84" s="16">
        <v>1</v>
      </c>
      <c r="N84" s="92" t="s">
        <v>162</v>
      </c>
      <c r="O84" s="92">
        <f t="shared" si="10"/>
        <v>5.4</v>
      </c>
      <c r="P84" s="146">
        <v>44847</v>
      </c>
      <c r="Q84" s="18"/>
      <c r="R84" s="19">
        <v>1</v>
      </c>
      <c r="S84" s="19">
        <v>1</v>
      </c>
      <c r="T84" s="19">
        <v>0</v>
      </c>
      <c r="U84" s="157">
        <f>IF(ISBLANK(Table1[[#This Row],[OHC Date]]),$B$7-Table1[[#This Row],[HOC Date]]+1,Table1[[#This Row],[OHC Date]]-Table1[[#This Row],[HOC Date]]+1)/7</f>
        <v>1.8571428571428572</v>
      </c>
      <c r="V84" s="20">
        <v>32.75</v>
      </c>
      <c r="W84" s="20">
        <v>1.05</v>
      </c>
      <c r="X84" s="20">
        <f>ROUND(0.7*Table1[[#This Row],[E&amp;D Rate per unit]]*R84*Table1[[#This Row],[Quantity]],2)</f>
        <v>123.8</v>
      </c>
      <c r="Y84" s="20">
        <f t="shared" si="11"/>
        <v>10.53</v>
      </c>
      <c r="Z84" s="20">
        <f>ROUND(0.3*T84*Table1[[#This Row],[E&amp;D Rate per unit]]*Table1[[#This Row],[Quantity]],2)</f>
        <v>0</v>
      </c>
      <c r="AA84" s="20">
        <v>135.13999999999999</v>
      </c>
      <c r="AB84" s="139">
        <v>0</v>
      </c>
      <c r="AC84" s="139">
        <v>135.13999999999999</v>
      </c>
      <c r="AD84" s="137"/>
      <c r="AE84" s="161"/>
      <c r="AF84" s="158">
        <f>Table1[[#This Row],[Certified Amount (Cum)]]-Table1[[#This Row],[Certified Amount (Previous)]]</f>
        <v>134.32999999999998</v>
      </c>
      <c r="AG84" s="158">
        <f t="shared" si="9"/>
        <v>134.32999999999998</v>
      </c>
      <c r="AH84" s="172">
        <f>Table1[[#This Row],[Certified Amount (Cum)]]-Table1[[#This Row],[Total Amount]]</f>
        <v>-0.81000000000000227</v>
      </c>
    </row>
    <row r="85" spans="1:34" ht="30" customHeight="1" x14ac:dyDescent="0.3">
      <c r="A85" s="109" t="s">
        <v>91</v>
      </c>
      <c r="B85" s="91" t="s">
        <v>98</v>
      </c>
      <c r="C85" s="145" t="s">
        <v>271</v>
      </c>
      <c r="D85" s="16">
        <v>74619</v>
      </c>
      <c r="E85" s="16"/>
      <c r="F85" s="17" t="s">
        <v>272</v>
      </c>
      <c r="G85" s="17" t="s">
        <v>256</v>
      </c>
      <c r="H85" s="110" t="s">
        <v>129</v>
      </c>
      <c r="I85" s="16">
        <v>1</v>
      </c>
      <c r="J85" s="16">
        <v>1.5</v>
      </c>
      <c r="K85" s="16">
        <v>1</v>
      </c>
      <c r="L85" s="16">
        <v>1</v>
      </c>
      <c r="M85" s="16">
        <v>1</v>
      </c>
      <c r="N85" s="92" t="s">
        <v>162</v>
      </c>
      <c r="O85" s="92">
        <f t="shared" si="10"/>
        <v>1.5</v>
      </c>
      <c r="P85" s="18">
        <v>44849</v>
      </c>
      <c r="Q85" s="18"/>
      <c r="R85" s="19">
        <v>1</v>
      </c>
      <c r="S85" s="19">
        <v>1</v>
      </c>
      <c r="T85" s="19">
        <v>0</v>
      </c>
      <c r="U85" s="171">
        <f>IF(ISBLANK(Table1[[#This Row],[OHC Date]]),$B$7-Table1[[#This Row],[HOC Date]]+1,Table1[[#This Row],[OHC Date]]-Table1[[#This Row],[HOC Date]]+1)/7</f>
        <v>1.5714285714285714</v>
      </c>
      <c r="V85" s="20">
        <v>36.520000000000003</v>
      </c>
      <c r="W85" s="20">
        <v>2.94</v>
      </c>
      <c r="X85" s="20">
        <f>ROUND(0.7*Table1[[#This Row],[E&amp;D Rate per unit]]*R85*Table1[[#This Row],[Quantity]],2)</f>
        <v>38.35</v>
      </c>
      <c r="Y85" s="20">
        <f t="shared" si="11"/>
        <v>6.93</v>
      </c>
      <c r="Z85" s="20">
        <f>ROUND(0.3*T85*Table1[[#This Row],[E&amp;D Rate per unit]]*Table1[[#This Row],[Quantity]],2)</f>
        <v>0</v>
      </c>
      <c r="AA85" s="20">
        <v>45.28</v>
      </c>
      <c r="AB85" s="139">
        <v>0</v>
      </c>
      <c r="AC85" s="139">
        <v>45.28</v>
      </c>
      <c r="AD85" s="137" t="s">
        <v>220</v>
      </c>
      <c r="AE85" s="161"/>
      <c r="AF85" s="158">
        <f>Table1[[#This Row],[Certified Amount (Cum)]]-Table1[[#This Row],[Certified Amount (Previous)]]</f>
        <v>45.28</v>
      </c>
      <c r="AG85" s="158">
        <f t="shared" si="9"/>
        <v>45.28</v>
      </c>
      <c r="AH85" s="172">
        <f>Table1[[#This Row],[Certified Amount (Cum)]]-Table1[[#This Row],[Total Amount]]</f>
        <v>0</v>
      </c>
    </row>
    <row r="86" spans="1:34" ht="30" customHeight="1" x14ac:dyDescent="0.3">
      <c r="A86" s="109" t="s">
        <v>91</v>
      </c>
      <c r="B86" s="91" t="s">
        <v>98</v>
      </c>
      <c r="C86" s="145" t="s">
        <v>273</v>
      </c>
      <c r="D86" s="16">
        <v>74620</v>
      </c>
      <c r="E86" s="16"/>
      <c r="F86" s="17" t="s">
        <v>272</v>
      </c>
      <c r="G86" s="17" t="s">
        <v>256</v>
      </c>
      <c r="H86" s="110" t="s">
        <v>222</v>
      </c>
      <c r="I86" s="16">
        <v>1</v>
      </c>
      <c r="J86" s="16">
        <v>2.5</v>
      </c>
      <c r="K86" s="16">
        <v>1.8</v>
      </c>
      <c r="L86" s="16">
        <v>3.5</v>
      </c>
      <c r="M86" s="16">
        <v>1</v>
      </c>
      <c r="N86" s="92" t="s">
        <v>223</v>
      </c>
      <c r="O86" s="92">
        <f t="shared" si="10"/>
        <v>3.5</v>
      </c>
      <c r="P86" s="18">
        <v>44849</v>
      </c>
      <c r="Q86" s="18"/>
      <c r="R86" s="19">
        <v>1</v>
      </c>
      <c r="S86" s="19">
        <v>1</v>
      </c>
      <c r="T86" s="19">
        <v>0</v>
      </c>
      <c r="U86" s="171">
        <f>IF(ISBLANK(Table1[[#This Row],[OHC Date]]),$B$7-Table1[[#This Row],[HOC Date]]+1,Table1[[#This Row],[OHC Date]]-Table1[[#This Row],[HOC Date]]+1)/7</f>
        <v>1.5714285714285714</v>
      </c>
      <c r="V86" s="20">
        <v>63.34</v>
      </c>
      <c r="W86" s="20">
        <v>7.28</v>
      </c>
      <c r="X86" s="20">
        <f>ROUND(0.7*Table1[[#This Row],[E&amp;D Rate per unit]]*R86*Table1[[#This Row],[Quantity]],2)</f>
        <v>155.18</v>
      </c>
      <c r="Y86" s="20">
        <f t="shared" si="11"/>
        <v>40.04</v>
      </c>
      <c r="Z86" s="20">
        <f>ROUND(0.3*T86*Table1[[#This Row],[E&amp;D Rate per unit]]*Table1[[#This Row],[Quantity]],2)</f>
        <v>0</v>
      </c>
      <c r="AA86" s="20">
        <v>195.22</v>
      </c>
      <c r="AB86" s="139">
        <v>0</v>
      </c>
      <c r="AC86" s="139">
        <v>195.22</v>
      </c>
      <c r="AD86" s="137" t="s">
        <v>220</v>
      </c>
      <c r="AE86" s="161"/>
      <c r="AF86" s="158">
        <f>Table1[[#This Row],[Certified Amount (Cum)]]-Table1[[#This Row],[Certified Amount (Previous)]]</f>
        <v>195.22</v>
      </c>
      <c r="AG86" s="158">
        <f t="shared" si="9"/>
        <v>195.22</v>
      </c>
      <c r="AH86" s="172">
        <f>Table1[[#This Row],[Certified Amount (Cum)]]-Table1[[#This Row],[Total Amount]]</f>
        <v>0</v>
      </c>
    </row>
    <row r="87" spans="1:34" ht="30" customHeight="1" x14ac:dyDescent="0.3">
      <c r="A87" s="109" t="s">
        <v>91</v>
      </c>
      <c r="B87" s="91" t="s">
        <v>98</v>
      </c>
      <c r="C87" s="145" t="s">
        <v>274</v>
      </c>
      <c r="D87" s="16">
        <v>74621</v>
      </c>
      <c r="E87" s="16"/>
      <c r="F87" s="17" t="s">
        <v>272</v>
      </c>
      <c r="G87" s="17" t="s">
        <v>256</v>
      </c>
      <c r="H87" s="110" t="s">
        <v>128</v>
      </c>
      <c r="I87" s="16">
        <v>1</v>
      </c>
      <c r="J87" s="16">
        <v>4.8</v>
      </c>
      <c r="K87" s="16">
        <v>0.5</v>
      </c>
      <c r="L87" s="16">
        <v>1</v>
      </c>
      <c r="M87" s="16">
        <v>1</v>
      </c>
      <c r="N87" s="92" t="s">
        <v>162</v>
      </c>
      <c r="O87" s="92">
        <f t="shared" si="10"/>
        <v>2.4</v>
      </c>
      <c r="P87" s="18">
        <v>44849</v>
      </c>
      <c r="Q87" s="18"/>
      <c r="R87" s="19">
        <v>1</v>
      </c>
      <c r="S87" s="19">
        <v>1</v>
      </c>
      <c r="T87" s="19">
        <v>0</v>
      </c>
      <c r="U87" s="171">
        <f>IF(ISBLANK(Table1[[#This Row],[OHC Date]]),$B$7-Table1[[#This Row],[HOC Date]]+1,Table1[[#This Row],[OHC Date]]-Table1[[#This Row],[HOC Date]]+1)/7</f>
        <v>1.5714285714285714</v>
      </c>
      <c r="V87" s="20">
        <v>32.75</v>
      </c>
      <c r="W87" s="20">
        <v>1.05</v>
      </c>
      <c r="X87" s="20">
        <f>ROUND(0.7*Table1[[#This Row],[E&amp;D Rate per unit]]*R87*Table1[[#This Row],[Quantity]],2)</f>
        <v>55.02</v>
      </c>
      <c r="Y87" s="20">
        <f t="shared" si="11"/>
        <v>3.96</v>
      </c>
      <c r="Z87" s="20">
        <f>ROUND(0.3*T87*Table1[[#This Row],[E&amp;D Rate per unit]]*Table1[[#This Row],[Quantity]],2)</f>
        <v>0</v>
      </c>
      <c r="AA87" s="20">
        <v>58.98</v>
      </c>
      <c r="AB87" s="139">
        <v>0</v>
      </c>
      <c r="AC87" s="139">
        <v>58.98</v>
      </c>
      <c r="AD87" s="137" t="s">
        <v>220</v>
      </c>
      <c r="AE87" s="161"/>
      <c r="AF87" s="158">
        <f>Table1[[#This Row],[Certified Amount (Cum)]]-Table1[[#This Row],[Certified Amount (Previous)]]</f>
        <v>58.980000000000004</v>
      </c>
      <c r="AG87" s="158">
        <f t="shared" si="9"/>
        <v>58.980000000000004</v>
      </c>
      <c r="AH87" s="172">
        <f>Table1[[#This Row],[Certified Amount (Cum)]]-Table1[[#This Row],[Total Amount]]</f>
        <v>0</v>
      </c>
    </row>
    <row r="88" spans="1:34" ht="30" customHeight="1" x14ac:dyDescent="0.3">
      <c r="A88" s="109" t="s">
        <v>91</v>
      </c>
      <c r="B88" s="91" t="s">
        <v>98</v>
      </c>
      <c r="C88" s="145">
        <v>9</v>
      </c>
      <c r="D88" s="16">
        <v>74622</v>
      </c>
      <c r="E88" s="16"/>
      <c r="F88" s="17" t="s">
        <v>272</v>
      </c>
      <c r="G88" s="17" t="s">
        <v>256</v>
      </c>
      <c r="H88" s="110" t="s">
        <v>207</v>
      </c>
      <c r="I88" s="16">
        <v>1</v>
      </c>
      <c r="J88" s="16">
        <v>4.5</v>
      </c>
      <c r="K88" s="16">
        <v>1.5</v>
      </c>
      <c r="L88" s="16">
        <v>2.2999999999999998</v>
      </c>
      <c r="M88" s="16">
        <v>1</v>
      </c>
      <c r="N88" s="92" t="s">
        <v>208</v>
      </c>
      <c r="O88" s="92">
        <f t="shared" si="10"/>
        <v>10.35</v>
      </c>
      <c r="P88" s="18">
        <v>44849</v>
      </c>
      <c r="Q88" s="18"/>
      <c r="R88" s="19">
        <v>1</v>
      </c>
      <c r="S88" s="19">
        <v>1</v>
      </c>
      <c r="T88" s="19">
        <v>0</v>
      </c>
      <c r="U88" s="171">
        <f>IF(ISBLANK(Table1[[#This Row],[OHC Date]]),$B$7-Table1[[#This Row],[HOC Date]]+1,Table1[[#This Row],[OHC Date]]-Table1[[#This Row],[HOC Date]]+1)/7</f>
        <v>1.5714285714285714</v>
      </c>
      <c r="V88" s="20">
        <v>12.01</v>
      </c>
      <c r="W88" s="20">
        <v>0.49</v>
      </c>
      <c r="X88" s="20">
        <f>ROUND(0.7*Table1[[#This Row],[E&amp;D Rate per unit]]*R88*Table1[[#This Row],[Quantity]],2)</f>
        <v>87.01</v>
      </c>
      <c r="Y88" s="20">
        <f t="shared" si="11"/>
        <v>7.97</v>
      </c>
      <c r="Z88" s="20">
        <f>ROUND(0.3*T88*Table1[[#This Row],[E&amp;D Rate per unit]]*Table1[[#This Row],[Quantity]],2)</f>
        <v>0</v>
      </c>
      <c r="AA88" s="20">
        <v>94.98</v>
      </c>
      <c r="AB88" s="139">
        <v>0</v>
      </c>
      <c r="AC88" s="139">
        <v>94.98</v>
      </c>
      <c r="AD88" s="137" t="s">
        <v>220</v>
      </c>
      <c r="AE88" s="161"/>
      <c r="AF88" s="158">
        <f>Table1[[#This Row],[Certified Amount (Cum)]]-Table1[[#This Row],[Certified Amount (Previous)]]</f>
        <v>94.98</v>
      </c>
      <c r="AG88" s="158">
        <f t="shared" si="9"/>
        <v>94.98</v>
      </c>
      <c r="AH88" s="172">
        <f>Table1[[#This Row],[Certified Amount (Cum)]]-Table1[[#This Row],[Total Amount]]</f>
        <v>0</v>
      </c>
    </row>
    <row r="89" spans="1:34" ht="30" customHeight="1" x14ac:dyDescent="0.3">
      <c r="A89" s="109" t="s">
        <v>97</v>
      </c>
      <c r="B89" s="91" t="s">
        <v>98</v>
      </c>
      <c r="C89" s="144">
        <v>10</v>
      </c>
      <c r="D89" s="110">
        <v>74633</v>
      </c>
      <c r="E89" s="110"/>
      <c r="F89" s="111" t="s">
        <v>283</v>
      </c>
      <c r="G89" s="17" t="s">
        <v>165</v>
      </c>
      <c r="H89" s="110" t="s">
        <v>301</v>
      </c>
      <c r="I89" s="110">
        <v>1</v>
      </c>
      <c r="J89" s="110">
        <v>50</v>
      </c>
      <c r="K89" s="110">
        <v>1.8</v>
      </c>
      <c r="L89" s="110">
        <v>4</v>
      </c>
      <c r="M89" s="110">
        <v>1</v>
      </c>
      <c r="N89" s="112" t="s">
        <v>285</v>
      </c>
      <c r="O89" s="112">
        <f>ROUND(IF(N89="m3",I89*J89*K89*L89,IF(N89="m2-LxH",I89*J89*L89,IF(N89="m2-LxW",I89*J89*K89,IF(N89="rm",I89*L89,IF(N89="lm",I89*J89,IF(N89="unit",I89,"NA")))))),2)</f>
        <v>50</v>
      </c>
      <c r="P89" s="125">
        <v>44854</v>
      </c>
      <c r="Q89" s="125"/>
      <c r="R89" s="113">
        <v>1</v>
      </c>
      <c r="S89" s="113">
        <v>1</v>
      </c>
      <c r="T89" s="113">
        <v>0</v>
      </c>
      <c r="U89" s="171">
        <f>IF(ISBLANK(Table1[[#This Row],[OHC Date]]),$B$7-Table1[[#This Row],[HOC Date]]+1,Table1[[#This Row],[OHC Date]]-Table1[[#This Row],[HOC Date]]+1)/7</f>
        <v>0.8571428571428571</v>
      </c>
      <c r="V89" s="170">
        <v>1002.22</v>
      </c>
      <c r="W89" s="114">
        <v>98.11</v>
      </c>
      <c r="X89" s="114">
        <f>ROUND(0.7*Table1[[#This Row],[E&amp;D Rate per unit]]*R89*Table1[[#This Row],[Quantity]],2)</f>
        <v>35077.699999999997</v>
      </c>
      <c r="Y89" s="114">
        <f>ROUND(O89*U89*W89*S89,2)</f>
        <v>4204.71</v>
      </c>
      <c r="Z89" s="114">
        <f>ROUND(0.3*T89*Table1[[#This Row],[E&amp;D Rate per unit]]*Table1[[#This Row],[Quantity]],2)</f>
        <v>0</v>
      </c>
      <c r="AA89" s="114">
        <v>42716.65</v>
      </c>
      <c r="AB89" s="139">
        <v>0</v>
      </c>
      <c r="AC89" s="136">
        <v>42716.65</v>
      </c>
      <c r="AD89" s="115" t="s">
        <v>284</v>
      </c>
      <c r="AE89" s="162"/>
      <c r="AF89" s="158">
        <f>Table1[[#This Row],[Certified Amount (Cum)]]-Table1[[#This Row],[Certified Amount (Previous)]]</f>
        <v>39282.409999999996</v>
      </c>
      <c r="AG89" s="158">
        <f t="shared" si="9"/>
        <v>39282.409999999996</v>
      </c>
      <c r="AH89" s="172">
        <f>Table1[[#This Row],[Certified Amount (Cum)]]-Table1[[#This Row],[Total Amount]]</f>
        <v>-3434.2400000000052</v>
      </c>
    </row>
    <row r="90" spans="1:34" ht="30" customHeight="1" x14ac:dyDescent="0.3">
      <c r="A90" s="141" t="s">
        <v>275</v>
      </c>
      <c r="B90" s="91" t="s">
        <v>98</v>
      </c>
      <c r="C90" s="145">
        <v>11</v>
      </c>
      <c r="D90" s="16">
        <v>74623</v>
      </c>
      <c r="E90" s="16"/>
      <c r="F90" s="17" t="s">
        <v>277</v>
      </c>
      <c r="G90" s="17" t="s">
        <v>276</v>
      </c>
      <c r="H90" s="110" t="s">
        <v>207</v>
      </c>
      <c r="I90" s="16">
        <v>1</v>
      </c>
      <c r="J90" s="16">
        <v>5.7</v>
      </c>
      <c r="K90" s="16">
        <v>1.3</v>
      </c>
      <c r="L90" s="16">
        <v>1.5</v>
      </c>
      <c r="M90" s="16">
        <v>1</v>
      </c>
      <c r="N90" s="92" t="s">
        <v>56</v>
      </c>
      <c r="O90" s="92">
        <f t="shared" si="10"/>
        <v>1</v>
      </c>
      <c r="P90" s="18">
        <v>44854</v>
      </c>
      <c r="Q90" s="18"/>
      <c r="R90" s="19">
        <v>1</v>
      </c>
      <c r="S90" s="19">
        <v>1</v>
      </c>
      <c r="T90" s="19">
        <v>0</v>
      </c>
      <c r="U90" s="171">
        <f>IF(ISBLANK(Table1[[#This Row],[OHC Date]]),$B$7-Table1[[#This Row],[HOC Date]]+1,Table1[[#This Row],[OHC Date]]-Table1[[#This Row],[HOC Date]]+1)/7</f>
        <v>0.8571428571428571</v>
      </c>
      <c r="V90" s="20">
        <v>1368.99</v>
      </c>
      <c r="W90" s="20">
        <v>6.17</v>
      </c>
      <c r="X90" s="20">
        <f>ROUND(0.7*Table1[[#This Row],[E&amp;D Rate per unit]]*R90*Table1[[#This Row],[Quantity]],2)</f>
        <v>958.29</v>
      </c>
      <c r="Y90" s="20">
        <f t="shared" si="11"/>
        <v>5.29</v>
      </c>
      <c r="Z90" s="20">
        <f>ROUND(0.3*T90*Table1[[#This Row],[E&amp;D Rate per unit]]*Table1[[#This Row],[Quantity]],2)</f>
        <v>0</v>
      </c>
      <c r="AA90" s="20">
        <v>963.58</v>
      </c>
      <c r="AB90" s="139">
        <v>0</v>
      </c>
      <c r="AC90" s="139">
        <v>963.58</v>
      </c>
      <c r="AD90" s="142" t="s">
        <v>279</v>
      </c>
      <c r="AE90" s="164"/>
      <c r="AF90" s="158">
        <f>Table1[[#This Row],[Certified Amount (Cum)]]-Table1[[#This Row],[Certified Amount (Previous)]]</f>
        <v>963.57999999999993</v>
      </c>
      <c r="AG90" s="158">
        <f t="shared" si="9"/>
        <v>963.57999999999993</v>
      </c>
      <c r="AH90" s="172">
        <f>Table1[[#This Row],[Certified Amount (Cum)]]-Table1[[#This Row],[Total Amount]]</f>
        <v>0</v>
      </c>
    </row>
    <row r="91" spans="1:34" ht="30" customHeight="1" x14ac:dyDescent="0.3">
      <c r="A91" s="141" t="s">
        <v>275</v>
      </c>
      <c r="B91" s="91" t="s">
        <v>98</v>
      </c>
      <c r="C91" s="145">
        <v>12</v>
      </c>
      <c r="D91" s="16">
        <v>74625</v>
      </c>
      <c r="E91" s="16"/>
      <c r="F91" s="17" t="s">
        <v>277</v>
      </c>
      <c r="G91" s="17" t="s">
        <v>278</v>
      </c>
      <c r="H91" s="110" t="s">
        <v>207</v>
      </c>
      <c r="I91" s="16">
        <v>1</v>
      </c>
      <c r="J91" s="16">
        <v>5.7</v>
      </c>
      <c r="K91" s="16">
        <v>1.3</v>
      </c>
      <c r="L91" s="16">
        <v>1.5</v>
      </c>
      <c r="M91" s="16">
        <v>1</v>
      </c>
      <c r="N91" s="92" t="s">
        <v>56</v>
      </c>
      <c r="O91" s="92">
        <f t="shared" si="10"/>
        <v>1</v>
      </c>
      <c r="P91" s="18">
        <v>44854</v>
      </c>
      <c r="Q91" s="18"/>
      <c r="R91" s="19">
        <v>1</v>
      </c>
      <c r="S91" s="19">
        <v>1</v>
      </c>
      <c r="T91" s="19">
        <v>0</v>
      </c>
      <c r="U91" s="171">
        <f>IF(ISBLANK(Table1[[#This Row],[OHC Date]]),$B$7-Table1[[#This Row],[HOC Date]]+1,Table1[[#This Row],[OHC Date]]-Table1[[#This Row],[HOC Date]]+1)/7</f>
        <v>0.8571428571428571</v>
      </c>
      <c r="V91" s="20">
        <v>1368.99</v>
      </c>
      <c r="W91" s="20">
        <v>6.17</v>
      </c>
      <c r="X91" s="20">
        <f>ROUND(0.7*Table1[[#This Row],[E&amp;D Rate per unit]]*R91*Table1[[#This Row],[Quantity]],2)</f>
        <v>958.29</v>
      </c>
      <c r="Y91" s="20">
        <f t="shared" si="11"/>
        <v>5.29</v>
      </c>
      <c r="Z91" s="20">
        <f>ROUND(0.3*T91*Table1[[#This Row],[E&amp;D Rate per unit]]*Table1[[#This Row],[Quantity]],2)</f>
        <v>0</v>
      </c>
      <c r="AA91" s="20">
        <v>963.58</v>
      </c>
      <c r="AB91" s="139">
        <v>0</v>
      </c>
      <c r="AC91" s="139">
        <v>963.58</v>
      </c>
      <c r="AD91" s="142" t="s">
        <v>279</v>
      </c>
      <c r="AE91" s="164"/>
      <c r="AF91" s="158">
        <f>Table1[[#This Row],[Certified Amount (Cum)]]-Table1[[#This Row],[Certified Amount (Previous)]]</f>
        <v>963.57999999999993</v>
      </c>
      <c r="AG91" s="158">
        <f t="shared" si="9"/>
        <v>963.57999999999993</v>
      </c>
      <c r="AH91" s="172">
        <f>Table1[[#This Row],[Certified Amount (Cum)]]-Table1[[#This Row],[Total Amount]]</f>
        <v>0</v>
      </c>
    </row>
    <row r="92" spans="1:34" ht="30" customHeight="1" x14ac:dyDescent="0.3">
      <c r="A92" s="141" t="s">
        <v>275</v>
      </c>
      <c r="B92" s="91" t="s">
        <v>98</v>
      </c>
      <c r="C92" s="145">
        <v>13</v>
      </c>
      <c r="D92" s="16">
        <v>74624</v>
      </c>
      <c r="E92" s="16"/>
      <c r="F92" s="17" t="s">
        <v>277</v>
      </c>
      <c r="G92" s="17" t="s">
        <v>253</v>
      </c>
      <c r="H92" s="110" t="s">
        <v>207</v>
      </c>
      <c r="I92" s="16">
        <v>1</v>
      </c>
      <c r="J92" s="16">
        <v>5.7</v>
      </c>
      <c r="K92" s="16">
        <v>1.3</v>
      </c>
      <c r="L92" s="16">
        <v>1.5</v>
      </c>
      <c r="M92" s="16">
        <v>1</v>
      </c>
      <c r="N92" s="92" t="s">
        <v>56</v>
      </c>
      <c r="O92" s="92">
        <f t="shared" si="10"/>
        <v>1</v>
      </c>
      <c r="P92" s="18">
        <v>44855</v>
      </c>
      <c r="Q92" s="18"/>
      <c r="R92" s="19">
        <v>1</v>
      </c>
      <c r="S92" s="19">
        <v>1</v>
      </c>
      <c r="T92" s="19">
        <v>0</v>
      </c>
      <c r="U92" s="171">
        <f>IF(ISBLANK(Table1[[#This Row],[OHC Date]]),$B$7-Table1[[#This Row],[HOC Date]]+1,Table1[[#This Row],[OHC Date]]-Table1[[#This Row],[HOC Date]]+1)/7</f>
        <v>0.7142857142857143</v>
      </c>
      <c r="V92" s="20">
        <v>1368.99</v>
      </c>
      <c r="W92" s="20">
        <v>6.17</v>
      </c>
      <c r="X92" s="20">
        <f>ROUND(0.7*Table1[[#This Row],[E&amp;D Rate per unit]]*R92*Table1[[#This Row],[Quantity]],2)</f>
        <v>958.29</v>
      </c>
      <c r="Y92" s="20">
        <f t="shared" si="11"/>
        <v>4.41</v>
      </c>
      <c r="Z92" s="20">
        <f>ROUND(0.3*T92*Table1[[#This Row],[E&amp;D Rate per unit]]*Table1[[#This Row],[Quantity]],2)</f>
        <v>0</v>
      </c>
      <c r="AA92" s="20">
        <v>962.7</v>
      </c>
      <c r="AB92" s="139">
        <v>0</v>
      </c>
      <c r="AC92" s="139">
        <v>962.7</v>
      </c>
      <c r="AD92" s="142" t="s">
        <v>279</v>
      </c>
      <c r="AE92" s="164"/>
      <c r="AF92" s="158">
        <f>Table1[[#This Row],[Certified Amount (Cum)]]-Table1[[#This Row],[Certified Amount (Previous)]]</f>
        <v>962.69999999999993</v>
      </c>
      <c r="AG92" s="158">
        <f t="shared" si="9"/>
        <v>962.69999999999993</v>
      </c>
      <c r="AH92" s="172">
        <f>Table1[[#This Row],[Certified Amount (Cum)]]-Table1[[#This Row],[Total Amount]]</f>
        <v>0</v>
      </c>
    </row>
    <row r="93" spans="1:34" ht="30" customHeight="1" x14ac:dyDescent="0.3">
      <c r="A93" s="141" t="s">
        <v>275</v>
      </c>
      <c r="B93" s="91" t="s">
        <v>98</v>
      </c>
      <c r="C93" s="145">
        <v>14</v>
      </c>
      <c r="D93" s="16">
        <v>74626</v>
      </c>
      <c r="E93" s="16"/>
      <c r="F93" s="17" t="s">
        <v>277</v>
      </c>
      <c r="G93" s="17" t="s">
        <v>280</v>
      </c>
      <c r="H93" s="110" t="s">
        <v>207</v>
      </c>
      <c r="I93" s="16">
        <v>1</v>
      </c>
      <c r="J93" s="16">
        <v>5.7</v>
      </c>
      <c r="K93" s="16">
        <v>1.3</v>
      </c>
      <c r="L93" s="16">
        <v>1.5</v>
      </c>
      <c r="M93" s="16">
        <v>1</v>
      </c>
      <c r="N93" s="92" t="s">
        <v>56</v>
      </c>
      <c r="O93" s="92">
        <f t="shared" si="10"/>
        <v>1</v>
      </c>
      <c r="P93" s="18">
        <v>44855</v>
      </c>
      <c r="Q93" s="18"/>
      <c r="R93" s="19">
        <v>1</v>
      </c>
      <c r="S93" s="19">
        <v>1</v>
      </c>
      <c r="T93" s="19">
        <v>0</v>
      </c>
      <c r="U93" s="171">
        <f>IF(ISBLANK(Table1[[#This Row],[OHC Date]]),$B$7-Table1[[#This Row],[HOC Date]]+1,Table1[[#This Row],[OHC Date]]-Table1[[#This Row],[HOC Date]]+1)/7</f>
        <v>0.7142857142857143</v>
      </c>
      <c r="V93" s="20">
        <v>1368.99</v>
      </c>
      <c r="W93" s="20">
        <v>6.17</v>
      </c>
      <c r="X93" s="20">
        <f>ROUND(0.7*Table1[[#This Row],[E&amp;D Rate per unit]]*R93*Table1[[#This Row],[Quantity]],2)</f>
        <v>958.29</v>
      </c>
      <c r="Y93" s="20">
        <f t="shared" si="11"/>
        <v>4.41</v>
      </c>
      <c r="Z93" s="20">
        <f>ROUND(0.3*T93*Table1[[#This Row],[E&amp;D Rate per unit]]*Table1[[#This Row],[Quantity]],2)</f>
        <v>0</v>
      </c>
      <c r="AA93" s="20">
        <v>962.7</v>
      </c>
      <c r="AB93" s="139">
        <v>0</v>
      </c>
      <c r="AC93" s="139">
        <v>962.7</v>
      </c>
      <c r="AD93" s="142" t="s">
        <v>279</v>
      </c>
      <c r="AE93" s="164"/>
      <c r="AF93" s="158">
        <f>Table1[[#This Row],[Certified Amount (Cum)]]-Table1[[#This Row],[Certified Amount (Previous)]]</f>
        <v>962.69999999999993</v>
      </c>
      <c r="AG93" s="158">
        <f t="shared" si="9"/>
        <v>962.69999999999993</v>
      </c>
      <c r="AH93" s="172">
        <f>Table1[[#This Row],[Certified Amount (Cum)]]-Table1[[#This Row],[Total Amount]]</f>
        <v>0</v>
      </c>
    </row>
    <row r="94" spans="1:34" ht="30" customHeight="1" x14ac:dyDescent="0.3">
      <c r="A94" s="109" t="s">
        <v>91</v>
      </c>
      <c r="B94" s="91" t="s">
        <v>98</v>
      </c>
      <c r="C94" s="144" t="s">
        <v>281</v>
      </c>
      <c r="D94" s="110">
        <v>74635</v>
      </c>
      <c r="E94" s="110"/>
      <c r="F94" s="111" t="s">
        <v>282</v>
      </c>
      <c r="G94" s="17" t="s">
        <v>165</v>
      </c>
      <c r="H94" s="110" t="s">
        <v>178</v>
      </c>
      <c r="I94" s="110">
        <v>1</v>
      </c>
      <c r="J94" s="110">
        <v>50</v>
      </c>
      <c r="K94" s="110">
        <v>1</v>
      </c>
      <c r="L94" s="110">
        <v>1</v>
      </c>
      <c r="M94" s="110">
        <v>1</v>
      </c>
      <c r="N94" s="112" t="s">
        <v>162</v>
      </c>
      <c r="O94" s="112">
        <f t="shared" ref="O94:O100" si="12">ROUND(IF(N94="m3",I94*J94*K94*L94,IF(N94="m2-LxH",I94*J94*L94,IF(N94="m2-LxW",I94*J94*K94,IF(N94="rm",I94*L94,IF(N94="lm",I94*J94,IF(N94="unit",I94,"NA")))))),2)</f>
        <v>50</v>
      </c>
      <c r="P94" s="125">
        <v>44854</v>
      </c>
      <c r="Q94" s="125"/>
      <c r="R94" s="113">
        <v>1</v>
      </c>
      <c r="S94" s="113">
        <v>1</v>
      </c>
      <c r="T94" s="113">
        <v>0</v>
      </c>
      <c r="U94" s="171">
        <f>IF(ISBLANK(Table1[[#This Row],[OHC Date]]),$B$7-Table1[[#This Row],[HOC Date]]+1,Table1[[#This Row],[OHC Date]]-Table1[[#This Row],[HOC Date]]+1)/7</f>
        <v>0.8571428571428571</v>
      </c>
      <c r="V94" s="114">
        <v>6.63</v>
      </c>
      <c r="W94" s="114">
        <v>0.7</v>
      </c>
      <c r="X94" s="114">
        <f>ROUND(0.7*Table1[[#This Row],[E&amp;D Rate per unit]]*R94*Table1[[#This Row],[Quantity]],2)</f>
        <v>232.05</v>
      </c>
      <c r="Y94" s="114">
        <f t="shared" ref="Y94:Y100" si="13">ROUND(O94*U94*W94*S94,2)</f>
        <v>30</v>
      </c>
      <c r="Z94" s="114">
        <f>ROUND(0.3*T94*Table1[[#This Row],[E&amp;D Rate per unit]]*Table1[[#This Row],[Quantity]],2)</f>
        <v>0</v>
      </c>
      <c r="AA94" s="114">
        <v>262.05</v>
      </c>
      <c r="AB94" s="139">
        <v>0</v>
      </c>
      <c r="AC94" s="136">
        <v>262.05</v>
      </c>
      <c r="AD94" s="115"/>
      <c r="AE94" s="162"/>
      <c r="AF94" s="158">
        <f>Table1[[#This Row],[Certified Amount (Cum)]]-Table1[[#This Row],[Certified Amount (Previous)]]</f>
        <v>262.05</v>
      </c>
      <c r="AG94" s="158">
        <f t="shared" si="9"/>
        <v>262.05</v>
      </c>
      <c r="AH94" s="172">
        <f>Table1[[#This Row],[Certified Amount (Cum)]]-Table1[[#This Row],[Total Amount]]</f>
        <v>0</v>
      </c>
    </row>
    <row r="95" spans="1:34" ht="30" customHeight="1" x14ac:dyDescent="0.3">
      <c r="A95" s="109" t="s">
        <v>97</v>
      </c>
      <c r="B95" s="91" t="s">
        <v>98</v>
      </c>
      <c r="C95" s="144">
        <v>15</v>
      </c>
      <c r="D95" s="110">
        <v>74634</v>
      </c>
      <c r="E95" s="110"/>
      <c r="F95" s="111" t="s">
        <v>283</v>
      </c>
      <c r="G95" s="17" t="s">
        <v>165</v>
      </c>
      <c r="H95" s="110" t="s">
        <v>301</v>
      </c>
      <c r="I95" s="110">
        <v>1</v>
      </c>
      <c r="J95" s="110">
        <v>33</v>
      </c>
      <c r="K95" s="110">
        <v>1.8</v>
      </c>
      <c r="L95" s="110">
        <v>4</v>
      </c>
      <c r="M95" s="110">
        <v>1</v>
      </c>
      <c r="N95" s="112" t="s">
        <v>285</v>
      </c>
      <c r="O95" s="112">
        <f t="shared" si="12"/>
        <v>33</v>
      </c>
      <c r="P95" s="125">
        <v>44856</v>
      </c>
      <c r="Q95" s="125"/>
      <c r="R95" s="113">
        <v>1</v>
      </c>
      <c r="S95" s="113">
        <v>1</v>
      </c>
      <c r="T95" s="113">
        <v>0</v>
      </c>
      <c r="U95" s="171">
        <f>IF(ISBLANK(Table1[[#This Row],[OHC Date]]),$B$7-Table1[[#This Row],[HOC Date]]+1,Table1[[#This Row],[OHC Date]]-Table1[[#This Row],[HOC Date]]+1)/7</f>
        <v>0.5714285714285714</v>
      </c>
      <c r="V95" s="114">
        <v>1002.22</v>
      </c>
      <c r="W95" s="114">
        <v>98.12</v>
      </c>
      <c r="X95" s="114">
        <f>ROUND(0.7*Table1[[#This Row],[E&amp;D Rate per unit]]*R95*Table1[[#This Row],[Quantity]],2)</f>
        <v>23151.279999999999</v>
      </c>
      <c r="Y95" s="114">
        <f>ROUND(O95*U95*W95*S95,2)</f>
        <v>1850.26</v>
      </c>
      <c r="Z95" s="114">
        <f>ROUND(0.3*T95*Table1[[#This Row],[E&amp;D Rate per unit]]*Table1[[#This Row],[Quantity]],2)</f>
        <v>0</v>
      </c>
      <c r="AA95" s="114">
        <v>25001.54</v>
      </c>
      <c r="AB95" s="139">
        <v>0</v>
      </c>
      <c r="AC95" s="136">
        <v>25001.54</v>
      </c>
      <c r="AD95" s="115" t="s">
        <v>284</v>
      </c>
      <c r="AE95" s="162"/>
      <c r="AF95" s="158">
        <f>Table1[[#This Row],[Certified Amount (Cum)]]-Table1[[#This Row],[Certified Amount (Previous)]]</f>
        <v>25001.539999999997</v>
      </c>
      <c r="AG95" s="158">
        <f t="shared" si="9"/>
        <v>25001.539999999997</v>
      </c>
      <c r="AH95" s="172">
        <f>Table1[[#This Row],[Certified Amount (Cum)]]-Table1[[#This Row],[Total Amount]]</f>
        <v>0</v>
      </c>
    </row>
    <row r="96" spans="1:34" ht="30" customHeight="1" x14ac:dyDescent="0.3">
      <c r="A96" s="109" t="s">
        <v>97</v>
      </c>
      <c r="B96" s="91" t="s">
        <v>98</v>
      </c>
      <c r="C96" s="110">
        <v>15</v>
      </c>
      <c r="D96" s="110">
        <v>74634</v>
      </c>
      <c r="E96" s="110"/>
      <c r="F96" s="111" t="s">
        <v>283</v>
      </c>
      <c r="G96" s="17" t="s">
        <v>165</v>
      </c>
      <c r="H96" s="110" t="s">
        <v>300</v>
      </c>
      <c r="I96" s="110">
        <v>1</v>
      </c>
      <c r="J96" s="110"/>
      <c r="K96" s="110"/>
      <c r="L96" s="110"/>
      <c r="M96" s="110"/>
      <c r="N96" s="112" t="s">
        <v>56</v>
      </c>
      <c r="O96" s="112">
        <f>ROUND(IF(N96="m3",I96*J96*K96*L96,IF(N96="m2-LxH",I96*J96*L96,IF(N96="m2-LxW",I96*J96*K96,IF(N96="rm",I96*L96,IF(N96="lm",I96*J96,IF(N96="unit",I96,"NA")))))),2)</f>
        <v>1</v>
      </c>
      <c r="P96" s="125">
        <v>44856</v>
      </c>
      <c r="Q96" s="125"/>
      <c r="R96" s="113">
        <v>1</v>
      </c>
      <c r="S96" s="113">
        <v>1</v>
      </c>
      <c r="T96" s="113">
        <v>1</v>
      </c>
      <c r="U96" s="171">
        <f>IF(ISBLANK(Table1[[#This Row],[OHC Date]]),$B$7-Table1[[#This Row],[HOC Date]]+1,Table1[[#This Row],[OHC Date]]-Table1[[#This Row],[HOC Date]]+1)/7</f>
        <v>0.5714285714285714</v>
      </c>
      <c r="V96" s="114">
        <v>1230</v>
      </c>
      <c r="W96" s="114">
        <v>0</v>
      </c>
      <c r="X96" s="114">
        <v>1230</v>
      </c>
      <c r="Y96" s="114">
        <f>ROUND(O96*U96*W96*S96,2)</f>
        <v>0</v>
      </c>
      <c r="Z96" s="114">
        <v>0</v>
      </c>
      <c r="AA96" s="114">
        <v>1230</v>
      </c>
      <c r="AB96" s="136">
        <v>0</v>
      </c>
      <c r="AC96" s="136">
        <v>1230</v>
      </c>
      <c r="AD96" s="115" t="s">
        <v>299</v>
      </c>
      <c r="AE96" s="162"/>
      <c r="AF96" s="158">
        <f>Table1[[#This Row],[Certified Amount (Cum)]]-Table1[[#This Row],[Certified Amount (Previous)]]</f>
        <v>1230</v>
      </c>
      <c r="AG96" s="158">
        <f t="shared" si="9"/>
        <v>1230</v>
      </c>
      <c r="AH96" s="172">
        <f>Table1[[#This Row],[Certified Amount (Cum)]]-Table1[[#This Row],[Total Amount]]</f>
        <v>0</v>
      </c>
    </row>
    <row r="97" spans="1:34" ht="30" customHeight="1" x14ac:dyDescent="0.3">
      <c r="A97" s="109" t="s">
        <v>91</v>
      </c>
      <c r="B97" s="91" t="s">
        <v>98</v>
      </c>
      <c r="C97" s="144" t="s">
        <v>286</v>
      </c>
      <c r="D97" s="110">
        <v>74636</v>
      </c>
      <c r="E97" s="110"/>
      <c r="F97" s="111" t="s">
        <v>282</v>
      </c>
      <c r="G97" s="17" t="s">
        <v>165</v>
      </c>
      <c r="H97" s="110" t="s">
        <v>178</v>
      </c>
      <c r="I97" s="110">
        <v>1</v>
      </c>
      <c r="J97" s="110">
        <v>33</v>
      </c>
      <c r="K97" s="110">
        <v>1</v>
      </c>
      <c r="L97" s="110">
        <v>1</v>
      </c>
      <c r="M97" s="110">
        <v>1</v>
      </c>
      <c r="N97" s="112" t="s">
        <v>162</v>
      </c>
      <c r="O97" s="112">
        <f t="shared" si="12"/>
        <v>33</v>
      </c>
      <c r="P97" s="125">
        <v>44856</v>
      </c>
      <c r="Q97" s="125"/>
      <c r="R97" s="113">
        <v>1</v>
      </c>
      <c r="S97" s="113">
        <v>1</v>
      </c>
      <c r="T97" s="113">
        <v>0</v>
      </c>
      <c r="U97" s="171">
        <f>IF(ISBLANK(Table1[[#This Row],[OHC Date]]),$B$7-Table1[[#This Row],[HOC Date]]+1,Table1[[#This Row],[OHC Date]]-Table1[[#This Row],[HOC Date]]+1)/7</f>
        <v>0.5714285714285714</v>
      </c>
      <c r="V97" s="114">
        <v>6.63</v>
      </c>
      <c r="W97" s="114">
        <v>0.7</v>
      </c>
      <c r="X97" s="114">
        <f>ROUND(0.7*Table1[[#This Row],[E&amp;D Rate per unit]]*R97*Table1[[#This Row],[Quantity]],2)</f>
        <v>153.15</v>
      </c>
      <c r="Y97" s="114">
        <f t="shared" si="13"/>
        <v>13.2</v>
      </c>
      <c r="Z97" s="114">
        <f>ROUND(0.3*T97*Table1[[#This Row],[E&amp;D Rate per unit]]*Table1[[#This Row],[Quantity]],2)</f>
        <v>0</v>
      </c>
      <c r="AA97" s="114">
        <v>166.35</v>
      </c>
      <c r="AB97" s="139">
        <v>0</v>
      </c>
      <c r="AC97" s="136">
        <v>166.35</v>
      </c>
      <c r="AD97" s="115"/>
      <c r="AE97" s="162"/>
      <c r="AF97" s="158">
        <f>Table1[[#This Row],[Certified Amount (Cum)]]-Table1[[#This Row],[Certified Amount (Previous)]]</f>
        <v>166.35</v>
      </c>
      <c r="AG97" s="158">
        <f t="shared" si="9"/>
        <v>166.35</v>
      </c>
      <c r="AH97" s="172">
        <f>Table1[[#This Row],[Certified Amount (Cum)]]-Table1[[#This Row],[Total Amount]]</f>
        <v>0</v>
      </c>
    </row>
    <row r="98" spans="1:34" ht="30" customHeight="1" x14ac:dyDescent="0.3">
      <c r="A98" s="109" t="s">
        <v>91</v>
      </c>
      <c r="B98" s="91" t="s">
        <v>98</v>
      </c>
      <c r="C98" s="144">
        <v>16</v>
      </c>
      <c r="D98" s="110">
        <v>74627</v>
      </c>
      <c r="E98" s="110"/>
      <c r="F98" s="111" t="s">
        <v>287</v>
      </c>
      <c r="G98" s="17" t="s">
        <v>288</v>
      </c>
      <c r="H98" s="110" t="s">
        <v>207</v>
      </c>
      <c r="I98" s="110">
        <v>1</v>
      </c>
      <c r="J98" s="110">
        <v>6.8</v>
      </c>
      <c r="K98" s="110">
        <v>1.8</v>
      </c>
      <c r="L98" s="110">
        <v>8</v>
      </c>
      <c r="M98" s="110">
        <v>1</v>
      </c>
      <c r="N98" s="112" t="s">
        <v>208</v>
      </c>
      <c r="O98" s="112">
        <f t="shared" si="12"/>
        <v>54.4</v>
      </c>
      <c r="P98" s="125">
        <v>44858</v>
      </c>
      <c r="Q98" s="125"/>
      <c r="R98" s="113">
        <v>1</v>
      </c>
      <c r="S98" s="113">
        <v>1</v>
      </c>
      <c r="T98" s="113">
        <v>0</v>
      </c>
      <c r="U98" s="171">
        <f>IF(ISBLANK(Table1[[#This Row],[OHC Date]]),$B$7-Table1[[#This Row],[HOC Date]]+1,Table1[[#This Row],[OHC Date]]-Table1[[#This Row],[HOC Date]]+1)/7</f>
        <v>0.2857142857142857</v>
      </c>
      <c r="V98" s="114">
        <v>16.760000000000002</v>
      </c>
      <c r="W98" s="114">
        <v>0.77</v>
      </c>
      <c r="X98" s="114">
        <f>ROUND(0.7*Table1[[#This Row],[E&amp;D Rate per unit]]*R98*Table1[[#This Row],[Quantity]],2)</f>
        <v>638.22</v>
      </c>
      <c r="Y98" s="114">
        <f t="shared" si="13"/>
        <v>11.97</v>
      </c>
      <c r="Z98" s="114">
        <f>ROUND(0.3*T98*Table1[[#This Row],[E&amp;D Rate per unit]]*Table1[[#This Row],[Quantity]],2)</f>
        <v>0</v>
      </c>
      <c r="AA98" s="114">
        <v>650.19000000000005</v>
      </c>
      <c r="AB98" s="136">
        <v>0</v>
      </c>
      <c r="AC98" s="136">
        <v>650.19000000000005</v>
      </c>
      <c r="AD98" s="115"/>
      <c r="AE98" s="162"/>
      <c r="AF98" s="158">
        <f>Table1[[#This Row],[Certified Amount (Cum)]]-Table1[[#This Row],[Certified Amount (Previous)]]</f>
        <v>650.19000000000005</v>
      </c>
      <c r="AG98" s="158">
        <f t="shared" si="9"/>
        <v>650.19000000000005</v>
      </c>
      <c r="AH98" s="172">
        <f>Table1[[#This Row],[Certified Amount (Cum)]]-Table1[[#This Row],[Total Amount]]</f>
        <v>0</v>
      </c>
    </row>
    <row r="99" spans="1:34" ht="30" customHeight="1" x14ac:dyDescent="0.3">
      <c r="A99" s="109" t="s">
        <v>91</v>
      </c>
      <c r="B99" s="91" t="s">
        <v>98</v>
      </c>
      <c r="C99" s="144" t="s">
        <v>231</v>
      </c>
      <c r="D99" s="110">
        <v>74628</v>
      </c>
      <c r="E99" s="110"/>
      <c r="F99" s="111" t="s">
        <v>287</v>
      </c>
      <c r="G99" s="17" t="s">
        <v>206</v>
      </c>
      <c r="H99" s="110" t="s">
        <v>129</v>
      </c>
      <c r="I99" s="110">
        <v>1</v>
      </c>
      <c r="J99" s="110">
        <v>6.8</v>
      </c>
      <c r="K99" s="110">
        <v>1</v>
      </c>
      <c r="L99" s="110">
        <v>1</v>
      </c>
      <c r="M99" s="110">
        <v>1</v>
      </c>
      <c r="N99" s="112" t="s">
        <v>162</v>
      </c>
      <c r="O99" s="112">
        <f t="shared" si="12"/>
        <v>6.8</v>
      </c>
      <c r="P99" s="125">
        <v>44858</v>
      </c>
      <c r="Q99" s="125"/>
      <c r="R99" s="113">
        <v>1</v>
      </c>
      <c r="S99" s="113">
        <v>1</v>
      </c>
      <c r="T99" s="113">
        <v>0</v>
      </c>
      <c r="U99" s="171">
        <f>IF(ISBLANK(Table1[[#This Row],[OHC Date]]),$B$7-Table1[[#This Row],[HOC Date]]+1,Table1[[#This Row],[OHC Date]]-Table1[[#This Row],[HOC Date]]+1)/7</f>
        <v>0.2857142857142857</v>
      </c>
      <c r="V99" s="114">
        <v>36.520000000000003</v>
      </c>
      <c r="W99" s="114">
        <v>2.94</v>
      </c>
      <c r="X99" s="114">
        <f>ROUND(0.7*Table1[[#This Row],[E&amp;D Rate per unit]]*R99*Table1[[#This Row],[Quantity]],2)</f>
        <v>173.84</v>
      </c>
      <c r="Y99" s="114">
        <f t="shared" si="13"/>
        <v>5.71</v>
      </c>
      <c r="Z99" s="114">
        <f>ROUND(0.3*T99*Table1[[#This Row],[E&amp;D Rate per unit]]*Table1[[#This Row],[Quantity]],2)</f>
        <v>0</v>
      </c>
      <c r="AA99" s="114">
        <v>179.55</v>
      </c>
      <c r="AB99" s="136">
        <v>0</v>
      </c>
      <c r="AC99" s="136">
        <v>179.55</v>
      </c>
      <c r="AD99" s="115"/>
      <c r="AE99" s="162"/>
      <c r="AF99" s="158">
        <f>Table1[[#This Row],[Certified Amount (Cum)]]-Table1[[#This Row],[Certified Amount (Previous)]]</f>
        <v>179.55</v>
      </c>
      <c r="AG99" s="158">
        <f t="shared" si="9"/>
        <v>179.55</v>
      </c>
      <c r="AH99" s="172">
        <f>Table1[[#This Row],[Certified Amount (Cum)]]-Table1[[#This Row],[Total Amount]]</f>
        <v>0</v>
      </c>
    </row>
    <row r="100" spans="1:34" ht="30" customHeight="1" x14ac:dyDescent="0.3">
      <c r="A100" s="109" t="s">
        <v>91</v>
      </c>
      <c r="B100" s="91" t="s">
        <v>98</v>
      </c>
      <c r="C100" s="144" t="s">
        <v>289</v>
      </c>
      <c r="D100" s="110">
        <v>74629</v>
      </c>
      <c r="E100" s="110"/>
      <c r="F100" s="111" t="s">
        <v>287</v>
      </c>
      <c r="G100" s="17" t="s">
        <v>225</v>
      </c>
      <c r="H100" s="110" t="s">
        <v>290</v>
      </c>
      <c r="I100" s="110">
        <v>1</v>
      </c>
      <c r="J100" s="110">
        <v>2.5</v>
      </c>
      <c r="K100" s="110">
        <v>1.8</v>
      </c>
      <c r="L100" s="110">
        <v>5</v>
      </c>
      <c r="M100" s="110"/>
      <c r="N100" s="112" t="s">
        <v>226</v>
      </c>
      <c r="O100" s="112">
        <f t="shared" si="12"/>
        <v>22.5</v>
      </c>
      <c r="P100" s="125">
        <v>44858</v>
      </c>
      <c r="Q100" s="125"/>
      <c r="R100" s="113">
        <v>1</v>
      </c>
      <c r="S100" s="113">
        <v>1</v>
      </c>
      <c r="T100" s="113">
        <v>0</v>
      </c>
      <c r="U100" s="171">
        <f>IF(ISBLANK(Table1[[#This Row],[OHC Date]]),$B$7-Table1[[#This Row],[HOC Date]]+1,Table1[[#This Row],[OHC Date]]-Table1[[#This Row],[HOC Date]]+1)/7</f>
        <v>0.2857142857142857</v>
      </c>
      <c r="V100" s="114">
        <v>5.29</v>
      </c>
      <c r="W100" s="114">
        <v>0.05</v>
      </c>
      <c r="X100" s="114">
        <f>ROUND(0.7*Table1[[#This Row],[E&amp;D Rate per unit]]*R100*Table1[[#This Row],[Quantity]],2)</f>
        <v>83.32</v>
      </c>
      <c r="Y100" s="114">
        <f t="shared" si="13"/>
        <v>0.32</v>
      </c>
      <c r="Z100" s="114">
        <f>ROUND(0.3*T100*Table1[[#This Row],[E&amp;D Rate per unit]]*Table1[[#This Row],[Quantity]],2)</f>
        <v>0</v>
      </c>
      <c r="AA100" s="114">
        <v>83.64</v>
      </c>
      <c r="AB100" s="136">
        <v>0</v>
      </c>
      <c r="AC100" s="136">
        <v>83.64</v>
      </c>
      <c r="AD100" s="115"/>
      <c r="AE100" s="162"/>
      <c r="AF100" s="158">
        <f>Table1[[#This Row],[Certified Amount (Cum)]]-Table1[[#This Row],[Certified Amount (Previous)]]</f>
        <v>83.639999999999986</v>
      </c>
      <c r="AG100" s="158">
        <f t="shared" si="9"/>
        <v>83.639999999999986</v>
      </c>
      <c r="AH100" s="172">
        <f>Table1[[#This Row],[Certified Amount (Cum)]]-Table1[[#This Row],[Total Amount]]</f>
        <v>0</v>
      </c>
    </row>
    <row r="101" spans="1:34" ht="30" customHeight="1" x14ac:dyDescent="0.3">
      <c r="A101" s="109" t="s">
        <v>91</v>
      </c>
      <c r="B101" s="91" t="s">
        <v>98</v>
      </c>
      <c r="C101" s="144" t="s">
        <v>291</v>
      </c>
      <c r="D101" s="110">
        <v>74630</v>
      </c>
      <c r="E101" s="110"/>
      <c r="F101" s="111" t="s">
        <v>292</v>
      </c>
      <c r="G101" s="17" t="s">
        <v>256</v>
      </c>
      <c r="H101" s="110" t="s">
        <v>178</v>
      </c>
      <c r="I101" s="110">
        <v>1</v>
      </c>
      <c r="J101" s="110">
        <v>4.5</v>
      </c>
      <c r="K101" s="110">
        <v>1</v>
      </c>
      <c r="L101" s="110">
        <v>1</v>
      </c>
      <c r="M101" s="110">
        <v>1</v>
      </c>
      <c r="N101" s="112" t="s">
        <v>162</v>
      </c>
      <c r="O101" s="112">
        <f>ROUND(IF(N101="m3",I101*J101*K101*L101,IF(N101="m2-LxH",I101*J101*L101,IF(N101="m2-LxW",I101*J101*K101,IF(N101="rm",I101*L101,IF(N101="lm",I101*J101,IF(N101="unit",I101,"NA")))))),2)</f>
        <v>4.5</v>
      </c>
      <c r="P101" s="125">
        <v>44858</v>
      </c>
      <c r="Q101" s="125"/>
      <c r="R101" s="113">
        <v>1</v>
      </c>
      <c r="S101" s="113">
        <v>1</v>
      </c>
      <c r="T101" s="113">
        <v>0</v>
      </c>
      <c r="U101" s="171">
        <f>IF(ISBLANK(Table1[[#This Row],[OHC Date]]),$B$7-Table1[[#This Row],[HOC Date]]+1,Table1[[#This Row],[OHC Date]]-Table1[[#This Row],[HOC Date]]+1)/7</f>
        <v>0.2857142857142857</v>
      </c>
      <c r="V101" s="114">
        <v>6.63</v>
      </c>
      <c r="W101" s="114">
        <v>0.7</v>
      </c>
      <c r="X101" s="114">
        <f>ROUND(0.7*Table1[[#This Row],[E&amp;D Rate per unit]]*R101*Table1[[#This Row],[Quantity]],2)</f>
        <v>20.88</v>
      </c>
      <c r="Y101" s="114">
        <f>ROUND(O101*U101*W101*S101,2)</f>
        <v>0.9</v>
      </c>
      <c r="Z101" s="114">
        <f>ROUND(0.3*T101*Table1[[#This Row],[E&amp;D Rate per unit]]*Table1[[#This Row],[Quantity]],2)</f>
        <v>0</v>
      </c>
      <c r="AA101" s="114">
        <v>21.78</v>
      </c>
      <c r="AB101" s="136">
        <v>0</v>
      </c>
      <c r="AC101" s="136">
        <v>21.78</v>
      </c>
      <c r="AD101" s="115" t="s">
        <v>220</v>
      </c>
      <c r="AE101" s="162"/>
      <c r="AF101" s="158">
        <f>Table1[[#This Row],[Certified Amount (Cum)]]-Table1[[#This Row],[Certified Amount (Previous)]]</f>
        <v>21.779999999999998</v>
      </c>
      <c r="AG101" s="158">
        <f t="shared" si="9"/>
        <v>21.779999999999998</v>
      </c>
      <c r="AH101" s="172">
        <f>Table1[[#This Row],[Certified Amount (Cum)]]-Table1[[#This Row],[Total Amount]]</f>
        <v>0</v>
      </c>
    </row>
    <row r="102" spans="1:34" ht="30" customHeight="1" x14ac:dyDescent="0.3">
      <c r="A102" s="109" t="s">
        <v>91</v>
      </c>
      <c r="B102" s="91" t="s">
        <v>98</v>
      </c>
      <c r="C102" s="144" t="s">
        <v>293</v>
      </c>
      <c r="D102" s="110">
        <v>74632</v>
      </c>
      <c r="E102" s="110"/>
      <c r="F102" s="111" t="s">
        <v>292</v>
      </c>
      <c r="G102" s="17" t="s">
        <v>256</v>
      </c>
      <c r="H102" s="110" t="s">
        <v>178</v>
      </c>
      <c r="I102" s="110">
        <v>1</v>
      </c>
      <c r="J102" s="110">
        <v>2.5</v>
      </c>
      <c r="K102" s="110">
        <v>0.75</v>
      </c>
      <c r="L102" s="110">
        <v>1</v>
      </c>
      <c r="M102" s="110">
        <v>1</v>
      </c>
      <c r="N102" s="112" t="s">
        <v>162</v>
      </c>
      <c r="O102" s="112">
        <f>ROUND(IF(N102="m3",I102*J102*K102*L102,IF(N102="m2-LxH",I102*J102*L102,IF(N102="m2-LxW",I102*J102*K102,IF(N102="rm",I102*L102,IF(N102="lm",I102*J102,IF(N102="unit",I102,"NA")))))),2)</f>
        <v>1.88</v>
      </c>
      <c r="P102" s="125">
        <v>44858</v>
      </c>
      <c r="Q102" s="125"/>
      <c r="R102" s="113">
        <v>1</v>
      </c>
      <c r="S102" s="113">
        <v>1</v>
      </c>
      <c r="T102" s="113">
        <v>0</v>
      </c>
      <c r="U102" s="171">
        <f>IF(ISBLANK(Table1[[#This Row],[OHC Date]]),$B$7-Table1[[#This Row],[HOC Date]]+1,Table1[[#This Row],[OHC Date]]-Table1[[#This Row],[HOC Date]]+1)/7</f>
        <v>0.2857142857142857</v>
      </c>
      <c r="V102" s="114">
        <v>6.63</v>
      </c>
      <c r="W102" s="114">
        <v>0.7</v>
      </c>
      <c r="X102" s="114">
        <f>ROUND(0.7*Table1[[#This Row],[E&amp;D Rate per unit]]*R102*Table1[[#This Row],[Quantity]],2)</f>
        <v>8.73</v>
      </c>
      <c r="Y102" s="114">
        <f>ROUND(O102*U102*W102*S102,2)</f>
        <v>0.38</v>
      </c>
      <c r="Z102" s="114">
        <f>ROUND(0.3*T102*Table1[[#This Row],[E&amp;D Rate per unit]]*Table1[[#This Row],[Quantity]],2)</f>
        <v>0</v>
      </c>
      <c r="AA102" s="114">
        <v>9.11</v>
      </c>
      <c r="AB102" s="136">
        <v>0</v>
      </c>
      <c r="AC102" s="136">
        <v>9.11</v>
      </c>
      <c r="AD102" s="115" t="s">
        <v>220</v>
      </c>
      <c r="AE102" s="162"/>
      <c r="AF102" s="158">
        <f>Table1[[#This Row],[Certified Amount (Cum)]]-Table1[[#This Row],[Certified Amount (Previous)]]</f>
        <v>9.1100000000000012</v>
      </c>
      <c r="AG102" s="158">
        <f t="shared" si="9"/>
        <v>9.1100000000000012</v>
      </c>
      <c r="AH102" s="172">
        <f>Table1[[#This Row],[Certified Amount (Cum)]]-Table1[[#This Row],[Total Amount]]</f>
        <v>0</v>
      </c>
    </row>
    <row r="103" spans="1:34" ht="30" customHeight="1" x14ac:dyDescent="0.3">
      <c r="A103" s="109" t="s">
        <v>91</v>
      </c>
      <c r="B103" s="91" t="s">
        <v>98</v>
      </c>
      <c r="C103" s="144">
        <v>17</v>
      </c>
      <c r="D103" s="110">
        <v>74637</v>
      </c>
      <c r="E103" s="110"/>
      <c r="F103" s="111" t="s">
        <v>292</v>
      </c>
      <c r="G103" s="17" t="s">
        <v>256</v>
      </c>
      <c r="H103" s="110" t="s">
        <v>222</v>
      </c>
      <c r="I103" s="110">
        <v>1</v>
      </c>
      <c r="J103" s="110">
        <v>2.5</v>
      </c>
      <c r="K103" s="110">
        <v>1.3</v>
      </c>
      <c r="L103" s="110">
        <v>2.5</v>
      </c>
      <c r="M103" s="110">
        <v>1</v>
      </c>
      <c r="N103" s="112" t="s">
        <v>223</v>
      </c>
      <c r="O103" s="112">
        <f>ROUND(IF(N103="m3",I103*J103*K103*L103,IF(N103="m2-LxH",I103*J103*L103,IF(N103="m2-LxW",I103*J103*K103,IF(N103="rm",I103*L103,IF(N103="lm",I103*J103,IF(N103="unit",I103,"NA")))))),2)</f>
        <v>2.5</v>
      </c>
      <c r="P103" s="125">
        <v>44859</v>
      </c>
      <c r="Q103" s="125"/>
      <c r="R103" s="113">
        <v>1</v>
      </c>
      <c r="S103" s="113">
        <v>1</v>
      </c>
      <c r="T103" s="113">
        <v>0</v>
      </c>
      <c r="U103" s="171">
        <f>IF(ISBLANK(Table1[[#This Row],[OHC Date]]),$B$7-Table1[[#This Row],[HOC Date]]+1,Table1[[#This Row],[OHC Date]]-Table1[[#This Row],[HOC Date]]+1)/7</f>
        <v>0.14285714285714285</v>
      </c>
      <c r="V103" s="114">
        <v>63.34</v>
      </c>
      <c r="W103" s="114">
        <v>7.28</v>
      </c>
      <c r="X103" s="114">
        <f>ROUND(0.7*Table1[[#This Row],[E&amp;D Rate per unit]]*R103*Table1[[#This Row],[Quantity]],2)</f>
        <v>110.85</v>
      </c>
      <c r="Y103" s="114">
        <f>ROUND(O103*U103*W103*S103,2)</f>
        <v>2.6</v>
      </c>
      <c r="Z103" s="114">
        <f>ROUND(0.3*T103*Table1[[#This Row],[E&amp;D Rate per unit]]*Table1[[#This Row],[Quantity]],2)</f>
        <v>0</v>
      </c>
      <c r="AA103" s="114">
        <v>113.45</v>
      </c>
      <c r="AB103" s="136">
        <v>0</v>
      </c>
      <c r="AC103" s="136">
        <v>113.45</v>
      </c>
      <c r="AD103" s="115" t="s">
        <v>220</v>
      </c>
      <c r="AE103" s="162"/>
      <c r="AF103" s="158">
        <f>Table1[[#This Row],[Certified Amount (Cum)]]-Table1[[#This Row],[Certified Amount (Previous)]]</f>
        <v>113.44999999999999</v>
      </c>
      <c r="AG103" s="158">
        <f t="shared" si="9"/>
        <v>113.44999999999999</v>
      </c>
      <c r="AH103" s="172">
        <f>Table1[[#This Row],[Certified Amount (Cum)]]-Table1[[#This Row],[Total Amount]]</f>
        <v>0</v>
      </c>
    </row>
    <row r="104" spans="1:34" ht="30" customHeight="1" x14ac:dyDescent="0.3">
      <c r="A104" s="109" t="s">
        <v>91</v>
      </c>
      <c r="B104" s="91" t="s">
        <v>98</v>
      </c>
      <c r="C104" s="144" t="s">
        <v>294</v>
      </c>
      <c r="D104" s="110">
        <v>74638</v>
      </c>
      <c r="E104" s="110"/>
      <c r="F104" s="111" t="s">
        <v>292</v>
      </c>
      <c r="G104" s="17" t="s">
        <v>256</v>
      </c>
      <c r="H104" s="110" t="s">
        <v>128</v>
      </c>
      <c r="I104" s="110">
        <v>1</v>
      </c>
      <c r="J104" s="110">
        <v>1.5</v>
      </c>
      <c r="K104" s="110">
        <v>0.5</v>
      </c>
      <c r="L104" s="110">
        <v>1</v>
      </c>
      <c r="M104" s="110">
        <v>1</v>
      </c>
      <c r="N104" s="112" t="s">
        <v>162</v>
      </c>
      <c r="O104" s="112">
        <f>ROUND(IF(N104="m3",I104*J104*K104*L104,IF(N104="m2-LxH",I104*J104*L104,IF(N104="m2-LxW",I104*J104*K104,IF(N104="rm",I104*L104,IF(N104="lm",I104*J104,IF(N104="unit",I104,"NA")))))),2)</f>
        <v>0.75</v>
      </c>
      <c r="P104" s="125">
        <v>44859</v>
      </c>
      <c r="Q104" s="125"/>
      <c r="R104" s="113">
        <v>1</v>
      </c>
      <c r="S104" s="113">
        <v>1</v>
      </c>
      <c r="T104" s="113">
        <v>0</v>
      </c>
      <c r="U104" s="171">
        <f>IF(ISBLANK(Table1[[#This Row],[OHC Date]]),$B$7-Table1[[#This Row],[HOC Date]]+1,Table1[[#This Row],[OHC Date]]-Table1[[#This Row],[HOC Date]]+1)/7</f>
        <v>0.14285714285714285</v>
      </c>
      <c r="V104" s="114">
        <v>32.75</v>
      </c>
      <c r="W104" s="114">
        <v>1.05</v>
      </c>
      <c r="X104" s="114">
        <f>ROUND(0.7*Table1[[#This Row],[E&amp;D Rate per unit]]*R104*Table1[[#This Row],[Quantity]],2)</f>
        <v>17.190000000000001</v>
      </c>
      <c r="Y104" s="114">
        <f>ROUND(O104*U104*W104*S104,2)</f>
        <v>0.11</v>
      </c>
      <c r="Z104" s="114">
        <f>ROUND(0.3*T104*Table1[[#This Row],[E&amp;D Rate per unit]]*Table1[[#This Row],[Quantity]],2)</f>
        <v>0</v>
      </c>
      <c r="AA104" s="114">
        <v>17.3</v>
      </c>
      <c r="AB104" s="136">
        <v>0</v>
      </c>
      <c r="AC104" s="136">
        <v>17.3</v>
      </c>
      <c r="AD104" s="115" t="s">
        <v>220</v>
      </c>
      <c r="AE104" s="162"/>
      <c r="AF104" s="158">
        <f>Table1[[#This Row],[Certified Amount (Cum)]]-Table1[[#This Row],[Certified Amount (Previous)]]</f>
        <v>17.3</v>
      </c>
      <c r="AG104" s="158">
        <f t="shared" si="9"/>
        <v>17.3</v>
      </c>
      <c r="AH104" s="172">
        <f>Table1[[#This Row],[Certified Amount (Cum)]]-Table1[[#This Row],[Total Amount]]</f>
        <v>0</v>
      </c>
    </row>
    <row r="105" spans="1:34" ht="26.25" customHeight="1" x14ac:dyDescent="0.3">
      <c r="A105" s="21" t="s">
        <v>34</v>
      </c>
      <c r="B105" s="21"/>
      <c r="C105" s="22"/>
      <c r="D105" s="22">
        <f>SUBTOTAL(103,Table1[HOC])</f>
        <v>94</v>
      </c>
      <c r="E105" s="22">
        <f>SUBTOTAL(103,Table1[OHC])</f>
        <v>21</v>
      </c>
      <c r="F105" s="23"/>
      <c r="G105" s="23"/>
      <c r="H105" s="22"/>
      <c r="I105" s="22"/>
      <c r="J105" s="22"/>
      <c r="K105" s="22"/>
      <c r="L105" s="22"/>
      <c r="M105" s="22"/>
      <c r="N105" s="22"/>
      <c r="O105" s="22"/>
      <c r="P105" s="126"/>
      <c r="Q105" s="126"/>
      <c r="R105" s="22"/>
      <c r="S105" s="22"/>
      <c r="T105" s="22"/>
      <c r="U105" s="22"/>
      <c r="V105" s="22"/>
      <c r="W105" s="22"/>
      <c r="X105" s="24">
        <f>SUBTOTAL(109,Table1[Erect Charges])</f>
        <v>283371.3</v>
      </c>
      <c r="Y105" s="24">
        <f>SUBTOTAL(109,Table1[Hire Charges])</f>
        <v>58673.570000000014</v>
      </c>
      <c r="Z105" s="24">
        <f>SUBTOTAL(109,Table1[Dismantle Charges])</f>
        <v>4898.8399999999992</v>
      </c>
      <c r="AA105" s="24">
        <f>SUBTOTAL(109,Table1[Total Amount])</f>
        <v>350383.26999999996</v>
      </c>
      <c r="AB105" s="24">
        <f>SUBTOTAL(109,Table1[Previous Amount])</f>
        <v>125287.34999999999</v>
      </c>
      <c r="AC105" s="24">
        <f>SUBTOTAL(109,Table1[Net Amount])</f>
        <v>225095.91999999998</v>
      </c>
      <c r="AD105" s="25"/>
      <c r="AE105" s="169">
        <f>SUBTOTAL(109,Table1[Certified Amount (Previous)])</f>
        <v>124830.20999999999</v>
      </c>
      <c r="AF105" s="169">
        <f>SUBTOTAL(109,Table1[Certified Amount (This Month)])</f>
        <v>222113.5</v>
      </c>
      <c r="AG105" s="169">
        <f>SUBTOTAL(109,Table1[Certified Amount (Cum)])</f>
        <v>346943.7099999999</v>
      </c>
    </row>
    <row r="106" spans="1:34" x14ac:dyDescent="0.35">
      <c r="F106" s="26"/>
      <c r="G106" s="26"/>
      <c r="P106" s="123"/>
      <c r="Y106" s="11"/>
      <c r="Z106" s="11"/>
      <c r="AA106" s="27"/>
      <c r="AB106" s="27"/>
      <c r="AC106" s="27"/>
      <c r="AD106" s="27"/>
      <c r="AE106" s="165"/>
    </row>
    <row r="107" spans="1:34" x14ac:dyDescent="0.35">
      <c r="P107" s="123"/>
      <c r="Y107" s="11"/>
      <c r="Z107" s="11"/>
      <c r="AA107" s="27"/>
      <c r="AB107" s="27"/>
      <c r="AC107" s="27"/>
      <c r="AD107" s="27"/>
      <c r="AE107" s="165"/>
    </row>
    <row r="108" spans="1:34" x14ac:dyDescent="0.35">
      <c r="P108" s="123"/>
      <c r="Y108" s="11"/>
      <c r="Z108" s="11"/>
      <c r="AA108" s="27"/>
      <c r="AB108" s="27"/>
      <c r="AC108" s="27"/>
      <c r="AD108" s="27"/>
      <c r="AE108" s="165"/>
    </row>
    <row r="109" spans="1:34" x14ac:dyDescent="0.35">
      <c r="P109" s="123"/>
    </row>
    <row r="110" spans="1:34" x14ac:dyDescent="0.35">
      <c r="P110" s="123"/>
    </row>
    <row r="111" spans="1:34" x14ac:dyDescent="0.35">
      <c r="P111" s="123"/>
    </row>
    <row r="112" spans="1:34" x14ac:dyDescent="0.35">
      <c r="P112" s="123"/>
    </row>
    <row r="113" spans="16:16" x14ac:dyDescent="0.35">
      <c r="P113" s="123"/>
    </row>
    <row r="114" spans="16:16" x14ac:dyDescent="0.35">
      <c r="P114" s="123"/>
    </row>
    <row r="115" spans="16:16" x14ac:dyDescent="0.35">
      <c r="P115" s="123"/>
    </row>
    <row r="116" spans="16:16" x14ac:dyDescent="0.35">
      <c r="P116" s="123"/>
    </row>
    <row r="117" spans="16:16" x14ac:dyDescent="0.35">
      <c r="P117" s="123"/>
    </row>
    <row r="118" spans="16:16" x14ac:dyDescent="0.35">
      <c r="P118" s="123"/>
    </row>
    <row r="119" spans="16:16" x14ac:dyDescent="0.35">
      <c r="P119" s="123"/>
    </row>
  </sheetData>
  <mergeCells count="2">
    <mergeCell ref="A2:E2"/>
    <mergeCell ref="A3:E3"/>
  </mergeCells>
  <phoneticPr fontId="17" type="noConversion"/>
  <conditionalFormatting sqref="D106:D1048576 D1:D2 D9:D104">
    <cfRule type="duplicateValues" dxfId="124" priority="3"/>
  </conditionalFormatting>
  <dataValidations disablePrompts="1" count="1">
    <dataValidation type="list" allowBlank="1" showInputMessage="1" showErrorMessage="1" sqref="N10:N104" xr:uid="{00000000-0002-0000-0000-000000000000}">
      <formula1>"m3,m2-LxH,m2-LxW,rm,lm,unit"</formula1>
    </dataValidation>
  </dataValidations>
  <pageMargins left="0.7" right="0.7" top="0.75" bottom="0.75" header="0.3" footer="0.3"/>
  <pageSetup paperSize="8" scale="36" fitToHeight="0" orientation="landscape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A2640DE-5D9B-486C-AD03-5F3B770FF146}">
          <x14:formula1>
            <xm:f>'Order References'!$D$3:$D$44</xm:f>
          </x14:formula1>
          <xm:sqref>H13:H19 H32:H33 H53 H59:H60 H72 H74 H76 H84:H85 H87 H99 H104</xm:sqref>
        </x14:dataValidation>
        <x14:dataValidation type="list" allowBlank="1" showInputMessage="1" showErrorMessage="1" xr:uid="{8794D2FA-C92D-40A7-A257-54B502282F86}">
          <x14:formula1>
            <xm:f>'PA Front Sheet'!$M$3:$M$4</xm:f>
          </x14:formula1>
          <xm:sqref>B10:B104</xm:sqref>
        </x14:dataValidation>
        <x14:dataValidation type="list" allowBlank="1" showInputMessage="1" showErrorMessage="1" xr:uid="{A31C595E-9176-4B7A-A5E9-5C4781E7A121}">
          <x14:formula1>
            <xm:f>'Order References'!$C$3:$C$176</xm:f>
          </x14:formula1>
          <xm:sqref>A10:A104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D0E0-4AAD-48B0-B15A-3A46E7422E84}">
  <dimension ref="B1:I176"/>
  <sheetViews>
    <sheetView workbookViewId="0">
      <selection activeCell="H22" sqref="H22"/>
    </sheetView>
  </sheetViews>
  <sheetFormatPr defaultRowHeight="14.5" x14ac:dyDescent="0.35"/>
  <cols>
    <col min="1" max="1" width="2" customWidth="1"/>
    <col min="2" max="2" width="8.54296875" bestFit="1" customWidth="1"/>
    <col min="3" max="3" width="20.90625" bestFit="1" customWidth="1"/>
    <col min="4" max="4" width="24.453125" bestFit="1" customWidth="1"/>
    <col min="5" max="5" width="7.54296875" hidden="1" customWidth="1"/>
    <col min="6" max="6" width="17.453125" hidden="1" customWidth="1"/>
    <col min="7" max="7" width="12.6328125" customWidth="1"/>
    <col min="8" max="8" width="9.6328125" customWidth="1"/>
  </cols>
  <sheetData>
    <row r="1" spans="2:9" ht="15" thickBot="1" x14ac:dyDescent="0.4"/>
    <row r="2" spans="2:9" ht="21" x14ac:dyDescent="0.35">
      <c r="B2" s="116" t="s">
        <v>105</v>
      </c>
      <c r="C2" s="117" t="s">
        <v>106</v>
      </c>
      <c r="D2" s="117" t="s">
        <v>107</v>
      </c>
      <c r="E2" s="117" t="s">
        <v>108</v>
      </c>
      <c r="F2" s="117" t="s">
        <v>109</v>
      </c>
      <c r="G2" s="117" t="s">
        <v>110</v>
      </c>
      <c r="H2" s="118" t="s">
        <v>111</v>
      </c>
    </row>
    <row r="3" spans="2:9" x14ac:dyDescent="0.35">
      <c r="B3" s="119">
        <v>1</v>
      </c>
      <c r="C3" s="108" t="s">
        <v>91</v>
      </c>
      <c r="D3" s="108" t="s">
        <v>112</v>
      </c>
      <c r="E3" s="108">
        <v>0</v>
      </c>
      <c r="F3" s="108" t="s">
        <v>113</v>
      </c>
      <c r="G3" s="108" t="s">
        <v>114</v>
      </c>
      <c r="H3" s="150">
        <v>63.34</v>
      </c>
    </row>
    <row r="4" spans="2:9" x14ac:dyDescent="0.35">
      <c r="B4" s="119">
        <v>2</v>
      </c>
      <c r="C4" s="108" t="s">
        <v>91</v>
      </c>
      <c r="D4" s="108" t="s">
        <v>112</v>
      </c>
      <c r="E4" s="108">
        <v>0</v>
      </c>
      <c r="F4" s="108" t="s">
        <v>214</v>
      </c>
      <c r="G4" s="108" t="s">
        <v>114</v>
      </c>
      <c r="H4" s="150">
        <v>7.28</v>
      </c>
      <c r="I4">
        <f>H4/7</f>
        <v>1.04</v>
      </c>
    </row>
    <row r="5" spans="2:9" x14ac:dyDescent="0.35">
      <c r="B5" s="119">
        <v>3</v>
      </c>
      <c r="C5" s="108" t="s">
        <v>91</v>
      </c>
      <c r="D5" s="108" t="s">
        <v>115</v>
      </c>
      <c r="E5" s="108">
        <v>0</v>
      </c>
      <c r="F5" s="108" t="s">
        <v>113</v>
      </c>
      <c r="G5" s="108" t="s">
        <v>114</v>
      </c>
      <c r="H5" s="150">
        <v>103.33</v>
      </c>
    </row>
    <row r="6" spans="2:9" x14ac:dyDescent="0.35">
      <c r="B6" s="119">
        <v>4</v>
      </c>
      <c r="C6" s="108" t="s">
        <v>91</v>
      </c>
      <c r="D6" s="108" t="s">
        <v>115</v>
      </c>
      <c r="E6" s="108">
        <v>0</v>
      </c>
      <c r="F6" s="108" t="s">
        <v>214</v>
      </c>
      <c r="G6" s="108" t="s">
        <v>114</v>
      </c>
      <c r="H6" s="150">
        <v>10.29</v>
      </c>
      <c r="I6">
        <f>H6/7</f>
        <v>1.47</v>
      </c>
    </row>
    <row r="7" spans="2:9" x14ac:dyDescent="0.35">
      <c r="B7" s="119">
        <v>5</v>
      </c>
      <c r="C7" s="108" t="s">
        <v>91</v>
      </c>
      <c r="D7" s="108" t="s">
        <v>116</v>
      </c>
      <c r="E7" s="108">
        <v>0</v>
      </c>
      <c r="F7" s="108" t="s">
        <v>113</v>
      </c>
      <c r="G7" s="108" t="s">
        <v>114</v>
      </c>
      <c r="H7" s="150">
        <v>148</v>
      </c>
    </row>
    <row r="8" spans="2:9" x14ac:dyDescent="0.35">
      <c r="B8" s="119">
        <v>6</v>
      </c>
      <c r="C8" s="108" t="s">
        <v>91</v>
      </c>
      <c r="D8" s="108" t="s">
        <v>117</v>
      </c>
      <c r="E8" s="108">
        <v>0</v>
      </c>
      <c r="F8" s="108" t="s">
        <v>214</v>
      </c>
      <c r="G8" s="108" t="s">
        <v>114</v>
      </c>
      <c r="H8" s="150">
        <v>12.88</v>
      </c>
      <c r="I8">
        <f>H8/7</f>
        <v>1.84</v>
      </c>
    </row>
    <row r="9" spans="2:9" x14ac:dyDescent="0.35">
      <c r="B9" s="119">
        <v>7</v>
      </c>
      <c r="C9" s="108" t="s">
        <v>91</v>
      </c>
      <c r="D9" s="108" t="s">
        <v>118</v>
      </c>
      <c r="E9" s="108">
        <v>0</v>
      </c>
      <c r="F9" s="108" t="s">
        <v>113</v>
      </c>
      <c r="G9" s="108" t="s">
        <v>119</v>
      </c>
      <c r="H9" s="150">
        <v>12.01</v>
      </c>
    </row>
    <row r="10" spans="2:9" x14ac:dyDescent="0.35">
      <c r="B10" s="119">
        <v>8</v>
      </c>
      <c r="C10" s="108" t="s">
        <v>91</v>
      </c>
      <c r="D10" s="108" t="s">
        <v>118</v>
      </c>
      <c r="E10" s="108">
        <v>0</v>
      </c>
      <c r="F10" s="108" t="s">
        <v>214</v>
      </c>
      <c r="G10" s="108" t="s">
        <v>119</v>
      </c>
      <c r="H10" s="150">
        <v>0.49</v>
      </c>
      <c r="I10">
        <f>H10/7</f>
        <v>6.9999999999999993E-2</v>
      </c>
    </row>
    <row r="11" spans="2:9" x14ac:dyDescent="0.35">
      <c r="B11" s="119">
        <v>9</v>
      </c>
      <c r="C11" s="108" t="s">
        <v>91</v>
      </c>
      <c r="D11" s="108" t="s">
        <v>120</v>
      </c>
      <c r="E11" s="108">
        <v>0</v>
      </c>
      <c r="F11" s="108" t="s">
        <v>113</v>
      </c>
      <c r="G11" s="108" t="s">
        <v>119</v>
      </c>
      <c r="H11" s="150">
        <v>16.760000000000002</v>
      </c>
    </row>
    <row r="12" spans="2:9" x14ac:dyDescent="0.35">
      <c r="B12" s="119">
        <v>10</v>
      </c>
      <c r="C12" s="108" t="s">
        <v>91</v>
      </c>
      <c r="D12" s="108" t="s">
        <v>120</v>
      </c>
      <c r="E12" s="108">
        <v>0</v>
      </c>
      <c r="F12" s="108" t="s">
        <v>214</v>
      </c>
      <c r="G12" s="108" t="s">
        <v>119</v>
      </c>
      <c r="H12" s="150">
        <v>0.77</v>
      </c>
      <c r="I12">
        <f>H12/7</f>
        <v>0.11</v>
      </c>
    </row>
    <row r="13" spans="2:9" x14ac:dyDescent="0.35">
      <c r="B13" s="119">
        <v>11</v>
      </c>
      <c r="C13" s="108" t="s">
        <v>91</v>
      </c>
      <c r="D13" s="108" t="s">
        <v>121</v>
      </c>
      <c r="E13" s="108">
        <v>0</v>
      </c>
      <c r="F13" s="108" t="s">
        <v>113</v>
      </c>
      <c r="G13" s="108" t="s">
        <v>122</v>
      </c>
      <c r="H13" s="150">
        <v>7.08</v>
      </c>
    </row>
    <row r="14" spans="2:9" x14ac:dyDescent="0.35">
      <c r="B14" s="119">
        <v>12</v>
      </c>
      <c r="C14" s="108" t="s">
        <v>91</v>
      </c>
      <c r="D14" s="108" t="s">
        <v>121</v>
      </c>
      <c r="E14" s="108">
        <v>0</v>
      </c>
      <c r="F14" s="108" t="s">
        <v>214</v>
      </c>
      <c r="G14" s="108" t="s">
        <v>123</v>
      </c>
      <c r="H14" s="150">
        <v>7.0000000000000007E-2</v>
      </c>
      <c r="I14">
        <f>H14/7</f>
        <v>0.01</v>
      </c>
    </row>
    <row r="15" spans="2:9" x14ac:dyDescent="0.35">
      <c r="B15" s="119">
        <v>13</v>
      </c>
      <c r="C15" s="108" t="s">
        <v>91</v>
      </c>
      <c r="D15" s="108" t="s">
        <v>124</v>
      </c>
      <c r="E15" s="108">
        <v>0</v>
      </c>
      <c r="F15" s="108" t="s">
        <v>113</v>
      </c>
      <c r="G15" s="108" t="s">
        <v>122</v>
      </c>
      <c r="H15" s="150">
        <v>10</v>
      </c>
    </row>
    <row r="16" spans="2:9" x14ac:dyDescent="0.35">
      <c r="B16" s="119">
        <v>14</v>
      </c>
      <c r="C16" s="108" t="s">
        <v>91</v>
      </c>
      <c r="D16" s="108" t="s">
        <v>124</v>
      </c>
      <c r="E16" s="108">
        <v>0</v>
      </c>
      <c r="F16" s="108" t="s">
        <v>214</v>
      </c>
      <c r="G16" s="108" t="s">
        <v>123</v>
      </c>
      <c r="H16" s="150">
        <v>0.13</v>
      </c>
      <c r="I16">
        <f>H16/7</f>
        <v>1.8571428571428572E-2</v>
      </c>
    </row>
    <row r="17" spans="2:9" x14ac:dyDescent="0.35">
      <c r="B17" s="119">
        <v>15</v>
      </c>
      <c r="C17" s="108" t="s">
        <v>91</v>
      </c>
      <c r="D17" s="108" t="s">
        <v>125</v>
      </c>
      <c r="E17" s="108">
        <v>0</v>
      </c>
      <c r="F17" s="108" t="s">
        <v>113</v>
      </c>
      <c r="G17" s="108" t="s">
        <v>122</v>
      </c>
      <c r="H17" s="150">
        <v>5.29</v>
      </c>
    </row>
    <row r="18" spans="2:9" x14ac:dyDescent="0.35">
      <c r="B18" s="119">
        <v>16</v>
      </c>
      <c r="C18" s="108" t="s">
        <v>91</v>
      </c>
      <c r="D18" s="108" t="s">
        <v>125</v>
      </c>
      <c r="E18" s="108">
        <v>0</v>
      </c>
      <c r="F18" s="108" t="s">
        <v>214</v>
      </c>
      <c r="G18" s="108" t="s">
        <v>123</v>
      </c>
      <c r="H18" s="150">
        <v>0.05</v>
      </c>
      <c r="I18">
        <f>H18/7</f>
        <v>7.1428571428571435E-3</v>
      </c>
    </row>
    <row r="19" spans="2:9" x14ac:dyDescent="0.35">
      <c r="B19" s="119">
        <v>17</v>
      </c>
      <c r="C19" s="108" t="s">
        <v>91</v>
      </c>
      <c r="D19" s="108" t="s">
        <v>126</v>
      </c>
      <c r="E19" s="108">
        <v>0</v>
      </c>
      <c r="F19" s="108" t="s">
        <v>113</v>
      </c>
      <c r="G19" s="108" t="s">
        <v>127</v>
      </c>
      <c r="H19" s="150">
        <v>6.63</v>
      </c>
    </row>
    <row r="20" spans="2:9" x14ac:dyDescent="0.35">
      <c r="B20" s="119">
        <v>18</v>
      </c>
      <c r="C20" s="108" t="s">
        <v>91</v>
      </c>
      <c r="D20" s="108" t="s">
        <v>126</v>
      </c>
      <c r="E20" s="108">
        <v>0</v>
      </c>
      <c r="F20" s="108" t="s">
        <v>214</v>
      </c>
      <c r="G20" s="108" t="s">
        <v>127</v>
      </c>
      <c r="H20" s="150">
        <v>0.7</v>
      </c>
      <c r="I20">
        <f>H20/7</f>
        <v>9.9999999999999992E-2</v>
      </c>
    </row>
    <row r="21" spans="2:9" x14ac:dyDescent="0.35">
      <c r="B21" s="119">
        <v>19</v>
      </c>
      <c r="C21" s="108" t="s">
        <v>91</v>
      </c>
      <c r="D21" s="108" t="s">
        <v>128</v>
      </c>
      <c r="E21" s="108">
        <v>0</v>
      </c>
      <c r="F21" s="108" t="s">
        <v>113</v>
      </c>
      <c r="G21" s="108" t="s">
        <v>127</v>
      </c>
      <c r="H21" s="150">
        <v>32.75</v>
      </c>
    </row>
    <row r="22" spans="2:9" x14ac:dyDescent="0.35">
      <c r="B22" s="119">
        <v>20</v>
      </c>
      <c r="C22" s="108" t="s">
        <v>91</v>
      </c>
      <c r="D22" s="108" t="s">
        <v>128</v>
      </c>
      <c r="E22" s="108">
        <v>0</v>
      </c>
      <c r="F22" s="108" t="s">
        <v>214</v>
      </c>
      <c r="G22" s="108" t="s">
        <v>127</v>
      </c>
      <c r="H22" s="120">
        <v>1.05</v>
      </c>
      <c r="I22">
        <f>H22/7</f>
        <v>0.15</v>
      </c>
    </row>
    <row r="23" spans="2:9" x14ac:dyDescent="0.35">
      <c r="B23" s="119">
        <v>21</v>
      </c>
      <c r="C23" s="108" t="s">
        <v>91</v>
      </c>
      <c r="D23" s="108" t="s">
        <v>129</v>
      </c>
      <c r="E23" s="108">
        <v>0</v>
      </c>
      <c r="F23" s="108" t="s">
        <v>113</v>
      </c>
      <c r="G23" s="108" t="s">
        <v>127</v>
      </c>
      <c r="H23" s="150">
        <v>36.520000000000003</v>
      </c>
    </row>
    <row r="24" spans="2:9" x14ac:dyDescent="0.35">
      <c r="B24" s="119">
        <v>22</v>
      </c>
      <c r="C24" s="108" t="s">
        <v>91</v>
      </c>
      <c r="D24" s="108" t="s">
        <v>129</v>
      </c>
      <c r="E24" s="108">
        <v>0</v>
      </c>
      <c r="F24" s="108" t="s">
        <v>214</v>
      </c>
      <c r="G24" s="108" t="s">
        <v>127</v>
      </c>
      <c r="H24" s="120">
        <v>2.94</v>
      </c>
      <c r="I24">
        <f>H24/7</f>
        <v>0.42</v>
      </c>
    </row>
    <row r="25" spans="2:9" x14ac:dyDescent="0.35">
      <c r="B25" s="119">
        <v>23</v>
      </c>
      <c r="C25" s="108" t="s">
        <v>91</v>
      </c>
      <c r="D25" s="108" t="s">
        <v>130</v>
      </c>
      <c r="E25" s="108">
        <v>0</v>
      </c>
      <c r="F25" s="108" t="s">
        <v>113</v>
      </c>
      <c r="G25" s="108" t="s">
        <v>131</v>
      </c>
      <c r="H25" s="150">
        <v>37.43</v>
      </c>
    </row>
    <row r="26" spans="2:9" x14ac:dyDescent="0.35">
      <c r="B26" s="119">
        <v>24</v>
      </c>
      <c r="C26" s="108" t="s">
        <v>91</v>
      </c>
      <c r="D26" s="108" t="s">
        <v>130</v>
      </c>
      <c r="E26" s="108">
        <v>0</v>
      </c>
      <c r="F26" s="108" t="s">
        <v>214</v>
      </c>
      <c r="G26" s="108" t="s">
        <v>131</v>
      </c>
      <c r="H26" s="120">
        <v>1.4</v>
      </c>
      <c r="I26">
        <f>H26/7</f>
        <v>0.19999999999999998</v>
      </c>
    </row>
    <row r="27" spans="2:9" x14ac:dyDescent="0.35">
      <c r="B27" s="119">
        <v>25</v>
      </c>
      <c r="C27" s="108" t="s">
        <v>91</v>
      </c>
      <c r="D27" s="108" t="s">
        <v>132</v>
      </c>
      <c r="E27" s="108">
        <v>0</v>
      </c>
      <c r="F27" s="108" t="s">
        <v>113</v>
      </c>
      <c r="G27" s="108" t="s">
        <v>131</v>
      </c>
      <c r="H27" s="150">
        <v>0.3</v>
      </c>
    </row>
    <row r="28" spans="2:9" x14ac:dyDescent="0.35">
      <c r="B28" s="119">
        <v>26</v>
      </c>
      <c r="C28" s="108" t="s">
        <v>91</v>
      </c>
      <c r="D28" s="108" t="s">
        <v>132</v>
      </c>
      <c r="E28" s="108">
        <v>0</v>
      </c>
      <c r="F28" s="108" t="s">
        <v>214</v>
      </c>
      <c r="G28" s="108" t="s">
        <v>131</v>
      </c>
      <c r="H28" s="120">
        <v>0.14000000000000001</v>
      </c>
      <c r="I28">
        <f>H28/7</f>
        <v>0.02</v>
      </c>
    </row>
    <row r="29" spans="2:9" x14ac:dyDescent="0.35">
      <c r="B29" s="119">
        <v>27</v>
      </c>
      <c r="C29" s="108" t="s">
        <v>91</v>
      </c>
      <c r="D29" s="108" t="s">
        <v>133</v>
      </c>
      <c r="E29" s="108">
        <v>0</v>
      </c>
      <c r="F29" s="108" t="s">
        <v>113</v>
      </c>
      <c r="G29" s="108" t="s">
        <v>131</v>
      </c>
      <c r="H29" s="150">
        <v>7</v>
      </c>
    </row>
    <row r="30" spans="2:9" x14ac:dyDescent="0.35">
      <c r="B30" s="119">
        <v>28</v>
      </c>
      <c r="C30" s="108" t="s">
        <v>91</v>
      </c>
      <c r="D30" s="108" t="s">
        <v>133</v>
      </c>
      <c r="E30" s="108">
        <v>0</v>
      </c>
      <c r="F30" s="108" t="s">
        <v>214</v>
      </c>
      <c r="G30" s="108" t="s">
        <v>131</v>
      </c>
      <c r="H30" s="120">
        <v>0.42</v>
      </c>
      <c r="I30">
        <f>H30/7</f>
        <v>0.06</v>
      </c>
    </row>
    <row r="31" spans="2:9" x14ac:dyDescent="0.35">
      <c r="B31" s="119">
        <v>29</v>
      </c>
      <c r="C31" s="108" t="s">
        <v>91</v>
      </c>
      <c r="D31" s="108" t="s">
        <v>134</v>
      </c>
      <c r="E31" s="108">
        <v>0</v>
      </c>
      <c r="F31" s="108" t="s">
        <v>113</v>
      </c>
      <c r="G31" s="108" t="s">
        <v>131</v>
      </c>
      <c r="H31" s="150">
        <v>12</v>
      </c>
    </row>
    <row r="32" spans="2:9" x14ac:dyDescent="0.35">
      <c r="B32" s="119">
        <v>30</v>
      </c>
      <c r="C32" s="108" t="s">
        <v>91</v>
      </c>
      <c r="D32" s="108" t="s">
        <v>134</v>
      </c>
      <c r="E32" s="108">
        <v>0</v>
      </c>
      <c r="F32" s="108" t="s">
        <v>214</v>
      </c>
      <c r="G32" s="108" t="s">
        <v>131</v>
      </c>
      <c r="H32" s="120">
        <v>0.7</v>
      </c>
      <c r="I32">
        <f>H32/7</f>
        <v>9.9999999999999992E-2</v>
      </c>
    </row>
    <row r="33" spans="2:9" x14ac:dyDescent="0.35">
      <c r="B33" s="119">
        <v>31</v>
      </c>
      <c r="C33" s="108" t="s">
        <v>91</v>
      </c>
      <c r="D33" s="108" t="s">
        <v>135</v>
      </c>
      <c r="E33" s="108">
        <v>0</v>
      </c>
      <c r="F33" s="108" t="s">
        <v>113</v>
      </c>
      <c r="G33" s="108" t="s">
        <v>131</v>
      </c>
      <c r="H33" s="150">
        <v>15</v>
      </c>
    </row>
    <row r="34" spans="2:9" x14ac:dyDescent="0.35">
      <c r="B34" s="119">
        <v>32</v>
      </c>
      <c r="C34" s="108" t="s">
        <v>91</v>
      </c>
      <c r="D34" s="108" t="s">
        <v>135</v>
      </c>
      <c r="E34" s="108">
        <v>0</v>
      </c>
      <c r="F34" s="108" t="s">
        <v>214</v>
      </c>
      <c r="G34" s="108" t="s">
        <v>131</v>
      </c>
      <c r="H34" s="120">
        <v>0.91</v>
      </c>
      <c r="I34">
        <f>H34/7</f>
        <v>0.13</v>
      </c>
    </row>
    <row r="35" spans="2:9" x14ac:dyDescent="0.35">
      <c r="B35" s="119">
        <v>33</v>
      </c>
      <c r="C35" s="108" t="s">
        <v>91</v>
      </c>
      <c r="D35" s="108" t="s">
        <v>136</v>
      </c>
      <c r="E35" s="108">
        <v>0</v>
      </c>
      <c r="F35" s="108" t="s">
        <v>113</v>
      </c>
      <c r="G35" s="108" t="s">
        <v>131</v>
      </c>
      <c r="H35" s="150">
        <v>24</v>
      </c>
    </row>
    <row r="36" spans="2:9" x14ac:dyDescent="0.35">
      <c r="B36" s="119">
        <v>34</v>
      </c>
      <c r="C36" s="108" t="s">
        <v>91</v>
      </c>
      <c r="D36" s="108" t="s">
        <v>136</v>
      </c>
      <c r="E36" s="108">
        <v>0</v>
      </c>
      <c r="F36" s="108" t="s">
        <v>214</v>
      </c>
      <c r="G36" s="108" t="s">
        <v>131</v>
      </c>
      <c r="H36" s="120">
        <v>0.7</v>
      </c>
      <c r="I36">
        <f>H36/7</f>
        <v>9.9999999999999992E-2</v>
      </c>
    </row>
    <row r="37" spans="2:9" x14ac:dyDescent="0.35">
      <c r="B37" s="119">
        <v>35</v>
      </c>
      <c r="C37" s="108" t="s">
        <v>91</v>
      </c>
      <c r="D37" s="108" t="s">
        <v>137</v>
      </c>
      <c r="E37" s="108">
        <v>0</v>
      </c>
      <c r="F37" s="108" t="s">
        <v>138</v>
      </c>
      <c r="G37" s="108" t="s">
        <v>119</v>
      </c>
      <c r="H37" s="150">
        <v>4.5199999999999996</v>
      </c>
    </row>
    <row r="38" spans="2:9" x14ac:dyDescent="0.35">
      <c r="B38" s="119">
        <v>36</v>
      </c>
      <c r="C38" s="108" t="s">
        <v>91</v>
      </c>
      <c r="D38" s="108" t="s">
        <v>139</v>
      </c>
      <c r="E38" s="108">
        <v>0</v>
      </c>
      <c r="F38" s="108" t="s">
        <v>138</v>
      </c>
      <c r="G38" s="108" t="s">
        <v>119</v>
      </c>
      <c r="H38" s="150">
        <v>4</v>
      </c>
    </row>
    <row r="39" spans="2:9" x14ac:dyDescent="0.35">
      <c r="B39" s="119">
        <v>37</v>
      </c>
      <c r="C39" s="108" t="s">
        <v>91</v>
      </c>
      <c r="D39" s="108" t="s">
        <v>140</v>
      </c>
      <c r="E39" s="108">
        <v>0</v>
      </c>
      <c r="F39" s="108" t="s">
        <v>113</v>
      </c>
      <c r="G39" s="108" t="s">
        <v>114</v>
      </c>
      <c r="H39" s="150">
        <v>250</v>
      </c>
    </row>
    <row r="40" spans="2:9" x14ac:dyDescent="0.35">
      <c r="B40" s="119">
        <v>38</v>
      </c>
      <c r="C40" s="108" t="s">
        <v>91</v>
      </c>
      <c r="D40" s="108" t="s">
        <v>140</v>
      </c>
      <c r="E40" s="108">
        <v>0</v>
      </c>
      <c r="F40" s="108" t="s">
        <v>214</v>
      </c>
      <c r="G40" s="108" t="s">
        <v>114</v>
      </c>
      <c r="H40" s="120">
        <v>14.35</v>
      </c>
      <c r="I40">
        <f>H40/7</f>
        <v>2.0499999999999998</v>
      </c>
    </row>
    <row r="41" spans="2:9" x14ac:dyDescent="0.35">
      <c r="B41" s="119">
        <v>39</v>
      </c>
      <c r="C41" s="108" t="s">
        <v>91</v>
      </c>
      <c r="D41" s="108" t="s">
        <v>141</v>
      </c>
      <c r="E41" s="108">
        <v>0</v>
      </c>
      <c r="F41" s="108" t="s">
        <v>113</v>
      </c>
      <c r="G41" s="108" t="s">
        <v>114</v>
      </c>
      <c r="H41" s="150">
        <v>376.2</v>
      </c>
    </row>
    <row r="42" spans="2:9" x14ac:dyDescent="0.35">
      <c r="B42" s="119">
        <v>40</v>
      </c>
      <c r="C42" s="108" t="s">
        <v>91</v>
      </c>
      <c r="D42" s="108" t="s">
        <v>141</v>
      </c>
      <c r="E42" s="108">
        <v>0</v>
      </c>
      <c r="F42" s="108" t="s">
        <v>214</v>
      </c>
      <c r="G42" s="108" t="s">
        <v>114</v>
      </c>
      <c r="H42" s="120">
        <v>40.11</v>
      </c>
      <c r="I42">
        <f>H42/7</f>
        <v>5.7299999999999995</v>
      </c>
    </row>
    <row r="43" spans="2:9" x14ac:dyDescent="0.35">
      <c r="B43" s="119">
        <v>41</v>
      </c>
      <c r="C43" s="108" t="s">
        <v>91</v>
      </c>
      <c r="D43" s="108" t="s">
        <v>142</v>
      </c>
      <c r="E43" s="108">
        <v>0</v>
      </c>
      <c r="F43" s="108" t="s">
        <v>80</v>
      </c>
      <c r="G43" s="108" t="s">
        <v>143</v>
      </c>
      <c r="H43" s="150">
        <v>20.5</v>
      </c>
    </row>
    <row r="44" spans="2:9" x14ac:dyDescent="0.35">
      <c r="B44" s="119">
        <v>42</v>
      </c>
      <c r="C44" s="108" t="s">
        <v>91</v>
      </c>
      <c r="D44" s="108" t="s">
        <v>144</v>
      </c>
      <c r="E44" s="108">
        <v>0</v>
      </c>
      <c r="F44" s="108" t="s">
        <v>80</v>
      </c>
      <c r="G44" s="108" t="s">
        <v>143</v>
      </c>
      <c r="H44" s="150">
        <v>24</v>
      </c>
    </row>
    <row r="45" spans="2:9" x14ac:dyDescent="0.35">
      <c r="B45" s="119">
        <v>43</v>
      </c>
      <c r="C45" s="108" t="s">
        <v>92</v>
      </c>
      <c r="D45" s="108" t="s">
        <v>145</v>
      </c>
      <c r="E45" s="108">
        <v>0</v>
      </c>
      <c r="F45" s="108" t="s">
        <v>113</v>
      </c>
      <c r="G45" s="108" t="s">
        <v>146</v>
      </c>
      <c r="H45" s="120">
        <v>0</v>
      </c>
    </row>
    <row r="46" spans="2:9" x14ac:dyDescent="0.35">
      <c r="B46" s="119">
        <v>44</v>
      </c>
      <c r="C46" s="108" t="s">
        <v>92</v>
      </c>
      <c r="D46" s="108" t="s">
        <v>145</v>
      </c>
      <c r="E46" s="108">
        <v>0</v>
      </c>
      <c r="F46" s="108" t="s">
        <v>214</v>
      </c>
      <c r="G46" s="108" t="s">
        <v>146</v>
      </c>
      <c r="H46" s="120">
        <f>200/7</f>
        <v>28.571428571428573</v>
      </c>
    </row>
    <row r="47" spans="2:9" x14ac:dyDescent="0.35">
      <c r="B47" s="119">
        <v>45</v>
      </c>
      <c r="C47" s="108" t="s">
        <v>93</v>
      </c>
      <c r="D47" s="108" t="s">
        <v>147</v>
      </c>
      <c r="E47" s="108">
        <v>1</v>
      </c>
      <c r="F47" s="108" t="s">
        <v>113</v>
      </c>
      <c r="G47" s="108" t="s">
        <v>148</v>
      </c>
      <c r="H47" s="120">
        <v>6044.84</v>
      </c>
    </row>
    <row r="48" spans="2:9" x14ac:dyDescent="0.35">
      <c r="B48" s="119">
        <v>46</v>
      </c>
      <c r="C48" s="108" t="s">
        <v>93</v>
      </c>
      <c r="D48" s="108" t="s">
        <v>147</v>
      </c>
      <c r="E48" s="108">
        <v>1</v>
      </c>
      <c r="F48" s="108" t="s">
        <v>214</v>
      </c>
      <c r="G48" s="108" t="s">
        <v>214</v>
      </c>
      <c r="H48" s="120">
        <f>317.71/7</f>
        <v>45.387142857142855</v>
      </c>
    </row>
    <row r="49" spans="2:8" x14ac:dyDescent="0.35">
      <c r="B49" s="119">
        <v>47</v>
      </c>
      <c r="C49" s="108" t="s">
        <v>94</v>
      </c>
      <c r="D49" s="108" t="s">
        <v>149</v>
      </c>
      <c r="E49" s="108">
        <v>1</v>
      </c>
      <c r="F49" s="108" t="s">
        <v>113</v>
      </c>
      <c r="G49" s="108" t="s">
        <v>148</v>
      </c>
      <c r="H49" s="120">
        <v>16252.45</v>
      </c>
    </row>
    <row r="50" spans="2:8" x14ac:dyDescent="0.35">
      <c r="B50" s="119">
        <v>48</v>
      </c>
      <c r="C50" s="108" t="s">
        <v>94</v>
      </c>
      <c r="D50" s="108" t="s">
        <v>149</v>
      </c>
      <c r="E50" s="108">
        <v>1</v>
      </c>
      <c r="F50" s="108" t="s">
        <v>214</v>
      </c>
      <c r="G50" s="108" t="s">
        <v>214</v>
      </c>
      <c r="H50" s="120">
        <f>625.97/7</f>
        <v>89.424285714285716</v>
      </c>
    </row>
    <row r="51" spans="2:8" x14ac:dyDescent="0.35">
      <c r="B51" s="119">
        <v>49</v>
      </c>
      <c r="C51" s="108" t="s">
        <v>95</v>
      </c>
      <c r="D51" s="108" t="s">
        <v>150</v>
      </c>
      <c r="E51" s="108">
        <v>1</v>
      </c>
      <c r="F51" s="108" t="s">
        <v>113</v>
      </c>
      <c r="G51" s="108" t="s">
        <v>148</v>
      </c>
      <c r="H51" s="120">
        <v>4844.83</v>
      </c>
    </row>
    <row r="52" spans="2:8" x14ac:dyDescent="0.35">
      <c r="B52" s="119">
        <v>50</v>
      </c>
      <c r="C52" s="108" t="s">
        <v>95</v>
      </c>
      <c r="D52" s="108" t="s">
        <v>150</v>
      </c>
      <c r="E52" s="108">
        <v>1</v>
      </c>
      <c r="F52" s="108" t="s">
        <v>214</v>
      </c>
      <c r="G52" s="108" t="s">
        <v>214</v>
      </c>
      <c r="H52" s="120">
        <f>111.93/7</f>
        <v>15.99</v>
      </c>
    </row>
    <row r="53" spans="2:8" x14ac:dyDescent="0.35">
      <c r="B53" s="119">
        <v>51</v>
      </c>
      <c r="C53" s="108" t="s">
        <v>95</v>
      </c>
      <c r="D53" s="108" t="s">
        <v>151</v>
      </c>
      <c r="E53" s="108">
        <v>1</v>
      </c>
      <c r="F53" s="108" t="s">
        <v>113</v>
      </c>
      <c r="G53" s="108" t="s">
        <v>148</v>
      </c>
      <c r="H53" s="120">
        <v>4990.83</v>
      </c>
    </row>
    <row r="54" spans="2:8" x14ac:dyDescent="0.35">
      <c r="B54" s="119">
        <v>52</v>
      </c>
      <c r="C54" s="108" t="s">
        <v>95</v>
      </c>
      <c r="D54" s="108" t="s">
        <v>151</v>
      </c>
      <c r="E54" s="108">
        <v>1</v>
      </c>
      <c r="F54" s="108" t="s">
        <v>214</v>
      </c>
      <c r="G54" s="108" t="s">
        <v>214</v>
      </c>
      <c r="H54" s="120">
        <f>121.95/7</f>
        <v>17.421428571428571</v>
      </c>
    </row>
    <row r="55" spans="2:8" x14ac:dyDescent="0.35">
      <c r="B55" s="119">
        <v>53</v>
      </c>
      <c r="C55" s="108" t="s">
        <v>95</v>
      </c>
      <c r="D55" s="108" t="s">
        <v>152</v>
      </c>
      <c r="E55" s="108">
        <v>1</v>
      </c>
      <c r="F55" s="108" t="s">
        <v>113</v>
      </c>
      <c r="G55" s="108" t="s">
        <v>148</v>
      </c>
      <c r="H55" s="120">
        <v>5095.97</v>
      </c>
    </row>
    <row r="56" spans="2:8" x14ac:dyDescent="0.35">
      <c r="B56" s="119">
        <v>54</v>
      </c>
      <c r="C56" s="108" t="s">
        <v>95</v>
      </c>
      <c r="D56" s="108" t="s">
        <v>152</v>
      </c>
      <c r="E56" s="108">
        <v>1</v>
      </c>
      <c r="F56" s="108" t="s">
        <v>214</v>
      </c>
      <c r="G56" s="108" t="s">
        <v>214</v>
      </c>
      <c r="H56" s="120">
        <f>129.15/7</f>
        <v>18.45</v>
      </c>
    </row>
    <row r="57" spans="2:8" x14ac:dyDescent="0.35">
      <c r="B57" s="119">
        <v>55</v>
      </c>
      <c r="C57" s="108" t="s">
        <v>95</v>
      </c>
      <c r="D57" s="108" t="s">
        <v>153</v>
      </c>
      <c r="E57" s="108">
        <v>1</v>
      </c>
      <c r="F57" s="108" t="s">
        <v>113</v>
      </c>
      <c r="G57" s="108" t="s">
        <v>148</v>
      </c>
      <c r="H57" s="120">
        <v>4127.3599999999997</v>
      </c>
    </row>
    <row r="58" spans="2:8" x14ac:dyDescent="0.35">
      <c r="B58" s="119">
        <v>56</v>
      </c>
      <c r="C58" s="108" t="s">
        <v>95</v>
      </c>
      <c r="D58" s="108" t="s">
        <v>153</v>
      </c>
      <c r="E58" s="108">
        <v>1</v>
      </c>
      <c r="F58" s="108" t="s">
        <v>214</v>
      </c>
      <c r="G58" s="108" t="s">
        <v>214</v>
      </c>
      <c r="H58" s="120">
        <f>59.06/7</f>
        <v>8.4371428571428577</v>
      </c>
    </row>
    <row r="59" spans="2:8" x14ac:dyDescent="0.35">
      <c r="B59" s="119">
        <v>57</v>
      </c>
      <c r="C59" s="108" t="s">
        <v>95</v>
      </c>
      <c r="D59" s="108" t="s">
        <v>154</v>
      </c>
      <c r="E59" s="108">
        <v>1</v>
      </c>
      <c r="F59" s="108" t="s">
        <v>113</v>
      </c>
      <c r="G59" s="108" t="s">
        <v>148</v>
      </c>
      <c r="H59" s="120">
        <v>8714.14</v>
      </c>
    </row>
    <row r="60" spans="2:8" x14ac:dyDescent="0.35">
      <c r="B60" s="119">
        <v>58</v>
      </c>
      <c r="C60" s="108" t="s">
        <v>95</v>
      </c>
      <c r="D60" s="108" t="s">
        <v>154</v>
      </c>
      <c r="E60" s="108">
        <v>1</v>
      </c>
      <c r="F60" s="108" t="s">
        <v>214</v>
      </c>
      <c r="G60" s="108" t="s">
        <v>214</v>
      </c>
      <c r="H60" s="120">
        <f>271.11/7</f>
        <v>38.730000000000004</v>
      </c>
    </row>
    <row r="61" spans="2:8" x14ac:dyDescent="0.35">
      <c r="B61" s="119">
        <v>59</v>
      </c>
      <c r="C61" s="108" t="s">
        <v>95</v>
      </c>
      <c r="D61" s="108" t="s">
        <v>155</v>
      </c>
      <c r="E61" s="108">
        <v>1</v>
      </c>
      <c r="F61" s="108" t="s">
        <v>113</v>
      </c>
      <c r="G61" s="108" t="s">
        <v>148</v>
      </c>
      <c r="H61" s="120">
        <v>5210.58</v>
      </c>
    </row>
    <row r="62" spans="2:8" x14ac:dyDescent="0.35">
      <c r="B62" s="119">
        <v>60</v>
      </c>
      <c r="C62" s="108" t="s">
        <v>95</v>
      </c>
      <c r="D62" s="108" t="s">
        <v>155</v>
      </c>
      <c r="E62" s="108">
        <v>1</v>
      </c>
      <c r="F62" s="108" t="s">
        <v>214</v>
      </c>
      <c r="G62" s="108" t="s">
        <v>214</v>
      </c>
      <c r="H62" s="120">
        <f>135.26/7</f>
        <v>19.322857142857142</v>
      </c>
    </row>
    <row r="63" spans="2:8" x14ac:dyDescent="0.35">
      <c r="B63" s="119">
        <v>61</v>
      </c>
      <c r="C63" s="108" t="s">
        <v>95</v>
      </c>
      <c r="D63" s="108" t="s">
        <v>156</v>
      </c>
      <c r="E63" s="108">
        <v>1</v>
      </c>
      <c r="F63" s="108" t="s">
        <v>113</v>
      </c>
      <c r="G63" s="108" t="s">
        <v>148</v>
      </c>
      <c r="H63" s="120">
        <v>5900.72</v>
      </c>
    </row>
    <row r="64" spans="2:8" x14ac:dyDescent="0.35">
      <c r="B64" s="119">
        <v>62</v>
      </c>
      <c r="C64" s="108" t="s">
        <v>95</v>
      </c>
      <c r="D64" s="108" t="s">
        <v>156</v>
      </c>
      <c r="E64" s="108">
        <v>1</v>
      </c>
      <c r="F64" s="108" t="s">
        <v>214</v>
      </c>
      <c r="G64" s="108" t="s">
        <v>214</v>
      </c>
      <c r="H64" s="120">
        <f>182.49/7</f>
        <v>26.07</v>
      </c>
    </row>
    <row r="65" spans="2:8" x14ac:dyDescent="0.35">
      <c r="B65" s="119">
        <v>63</v>
      </c>
      <c r="C65" s="108" t="s">
        <v>96</v>
      </c>
      <c r="D65" s="108" t="s">
        <v>157</v>
      </c>
      <c r="E65" s="108">
        <v>1</v>
      </c>
      <c r="F65" s="108" t="s">
        <v>113</v>
      </c>
      <c r="G65" s="108" t="s">
        <v>148</v>
      </c>
      <c r="H65" s="120">
        <v>53510.26</v>
      </c>
    </row>
    <row r="66" spans="2:8" x14ac:dyDescent="0.35">
      <c r="B66" s="119">
        <v>64</v>
      </c>
      <c r="C66" s="108" t="s">
        <v>96</v>
      </c>
      <c r="D66" s="108" t="s">
        <v>157</v>
      </c>
      <c r="E66" s="108">
        <v>1</v>
      </c>
      <c r="F66" s="108" t="s">
        <v>214</v>
      </c>
      <c r="G66" s="108" t="s">
        <v>214</v>
      </c>
      <c r="H66" s="120">
        <f>2807/7</f>
        <v>401</v>
      </c>
    </row>
    <row r="67" spans="2:8" x14ac:dyDescent="0.35">
      <c r="B67" s="119">
        <v>65</v>
      </c>
      <c r="C67" s="108" t="s">
        <v>97</v>
      </c>
      <c r="D67" s="108" t="s">
        <v>158</v>
      </c>
      <c r="E67" s="108">
        <v>1</v>
      </c>
      <c r="F67" s="108" t="s">
        <v>113</v>
      </c>
      <c r="G67" s="108" t="s">
        <v>148</v>
      </c>
      <c r="H67" s="120">
        <v>158449.10999999999</v>
      </c>
    </row>
    <row r="68" spans="2:8" x14ac:dyDescent="0.35">
      <c r="B68" s="119">
        <v>66</v>
      </c>
      <c r="C68" s="108" t="s">
        <v>97</v>
      </c>
      <c r="D68" s="108" t="s">
        <v>158</v>
      </c>
      <c r="E68" s="108">
        <v>1</v>
      </c>
      <c r="F68" s="108" t="s">
        <v>214</v>
      </c>
      <c r="G68" s="108" t="s">
        <v>214</v>
      </c>
      <c r="H68" s="120">
        <f>14128.97/7</f>
        <v>2018.4242857142856</v>
      </c>
    </row>
    <row r="69" spans="2:8" x14ac:dyDescent="0.35">
      <c r="B69" s="119">
        <v>67</v>
      </c>
      <c r="C69" s="108" t="s">
        <v>159</v>
      </c>
      <c r="D69" s="108"/>
      <c r="E69" s="108"/>
      <c r="F69" s="108"/>
      <c r="G69" s="108"/>
      <c r="H69" s="120"/>
    </row>
    <row r="70" spans="2:8" x14ac:dyDescent="0.35">
      <c r="B70" s="119">
        <v>68</v>
      </c>
      <c r="C70" s="108" t="s">
        <v>199</v>
      </c>
      <c r="D70" s="108" t="s">
        <v>200</v>
      </c>
      <c r="E70" s="108">
        <v>1</v>
      </c>
      <c r="F70" s="108" t="s">
        <v>113</v>
      </c>
      <c r="G70" s="108" t="s">
        <v>148</v>
      </c>
      <c r="H70" s="120">
        <v>5083.25</v>
      </c>
    </row>
    <row r="71" spans="2:8" x14ac:dyDescent="0.35">
      <c r="B71" s="119">
        <v>69</v>
      </c>
      <c r="C71" s="108" t="s">
        <v>199</v>
      </c>
      <c r="D71" s="108" t="s">
        <v>200</v>
      </c>
      <c r="E71" s="108">
        <v>1</v>
      </c>
      <c r="F71" s="108" t="s">
        <v>214</v>
      </c>
      <c r="G71" s="108" t="s">
        <v>214</v>
      </c>
      <c r="H71" s="120">
        <v>123.48</v>
      </c>
    </row>
    <row r="72" spans="2:8" x14ac:dyDescent="0.35">
      <c r="B72" s="119">
        <v>70</v>
      </c>
      <c r="C72" s="108" t="s">
        <v>241</v>
      </c>
      <c r="D72" s="108"/>
      <c r="E72" s="108">
        <v>1</v>
      </c>
      <c r="F72" s="108" t="s">
        <v>113</v>
      </c>
      <c r="G72" s="108" t="s">
        <v>148</v>
      </c>
      <c r="H72" s="120">
        <v>5979.17</v>
      </c>
    </row>
    <row r="73" spans="2:8" x14ac:dyDescent="0.35">
      <c r="B73" s="119">
        <v>71</v>
      </c>
      <c r="C73" s="108" t="s">
        <v>247</v>
      </c>
      <c r="D73" s="108" t="s">
        <v>248</v>
      </c>
      <c r="E73" s="108">
        <v>1</v>
      </c>
      <c r="F73" s="108" t="s">
        <v>113</v>
      </c>
      <c r="G73" s="108" t="s">
        <v>148</v>
      </c>
      <c r="H73" s="120">
        <v>14003.16</v>
      </c>
    </row>
    <row r="74" spans="2:8" x14ac:dyDescent="0.35">
      <c r="B74" s="119">
        <v>72</v>
      </c>
      <c r="C74" s="108" t="s">
        <v>247</v>
      </c>
      <c r="D74" s="108" t="s">
        <v>248</v>
      </c>
      <c r="E74" s="108">
        <v>1</v>
      </c>
      <c r="F74" s="108" t="s">
        <v>214</v>
      </c>
      <c r="G74" s="108" t="s">
        <v>214</v>
      </c>
      <c r="H74" s="120">
        <v>660.1</v>
      </c>
    </row>
    <row r="75" spans="2:8" x14ac:dyDescent="0.35">
      <c r="B75" s="119">
        <v>73</v>
      </c>
      <c r="C75" s="108" t="s">
        <v>260</v>
      </c>
      <c r="D75" s="108" t="s">
        <v>261</v>
      </c>
      <c r="E75" s="108">
        <v>1</v>
      </c>
      <c r="F75" s="108" t="s">
        <v>113</v>
      </c>
      <c r="G75" s="108" t="s">
        <v>148</v>
      </c>
      <c r="H75" s="120">
        <v>4082.38</v>
      </c>
    </row>
    <row r="76" spans="2:8" x14ac:dyDescent="0.35">
      <c r="B76" s="119">
        <v>74</v>
      </c>
      <c r="C76" s="108" t="s">
        <v>260</v>
      </c>
      <c r="D76" s="108" t="s">
        <v>261</v>
      </c>
      <c r="E76" s="108">
        <v>1</v>
      </c>
      <c r="F76" s="108" t="s">
        <v>214</v>
      </c>
      <c r="G76" s="108" t="s">
        <v>214</v>
      </c>
      <c r="H76" s="120">
        <v>49.28</v>
      </c>
    </row>
    <row r="77" spans="2:8" x14ac:dyDescent="0.35">
      <c r="B77" s="119">
        <v>75</v>
      </c>
      <c r="C77" s="108" t="s">
        <v>275</v>
      </c>
      <c r="D77" s="108"/>
      <c r="E77" s="108">
        <v>1</v>
      </c>
      <c r="F77" s="108" t="s">
        <v>113</v>
      </c>
      <c r="G77" s="108" t="s">
        <v>148</v>
      </c>
      <c r="H77" s="120">
        <v>5325.76</v>
      </c>
    </row>
    <row r="78" spans="2:8" x14ac:dyDescent="0.35">
      <c r="B78" s="119">
        <v>76</v>
      </c>
      <c r="C78" s="108" t="s">
        <v>275</v>
      </c>
      <c r="D78" s="108"/>
      <c r="E78" s="108">
        <v>1</v>
      </c>
      <c r="F78" s="108" t="s">
        <v>214</v>
      </c>
      <c r="G78" s="108" t="s">
        <v>214</v>
      </c>
      <c r="H78" s="120">
        <v>48.26</v>
      </c>
    </row>
    <row r="79" spans="2:8" x14ac:dyDescent="0.35">
      <c r="B79" s="119">
        <v>77</v>
      </c>
      <c r="C79" s="108" t="s">
        <v>275</v>
      </c>
      <c r="D79" s="108"/>
      <c r="E79" s="108">
        <v>1</v>
      </c>
      <c r="F79" s="108" t="s">
        <v>113</v>
      </c>
      <c r="G79" s="108" t="s">
        <v>148</v>
      </c>
      <c r="H79" s="120">
        <v>1375.16</v>
      </c>
    </row>
    <row r="80" spans="2:8" x14ac:dyDescent="0.35">
      <c r="B80" s="119">
        <v>78</v>
      </c>
      <c r="C80" s="108" t="s">
        <v>275</v>
      </c>
      <c r="D80" s="108"/>
      <c r="E80" s="108">
        <v>1</v>
      </c>
      <c r="F80" s="108" t="s">
        <v>214</v>
      </c>
      <c r="G80" s="108" t="s">
        <v>214</v>
      </c>
      <c r="H80" s="120">
        <v>6.17</v>
      </c>
    </row>
    <row r="81" spans="2:8" x14ac:dyDescent="0.35">
      <c r="B81" s="119">
        <v>79</v>
      </c>
      <c r="C81" s="108"/>
      <c r="D81" s="108"/>
      <c r="E81" s="108"/>
      <c r="F81" s="108"/>
      <c r="G81" s="108"/>
      <c r="H81" s="120"/>
    </row>
    <row r="82" spans="2:8" x14ac:dyDescent="0.35">
      <c r="B82" s="119">
        <v>80</v>
      </c>
      <c r="C82" s="108"/>
      <c r="D82" s="108"/>
      <c r="E82" s="108"/>
      <c r="F82" s="108"/>
      <c r="G82" s="108"/>
      <c r="H82" s="120"/>
    </row>
    <row r="83" spans="2:8" x14ac:dyDescent="0.35">
      <c r="B83" s="119">
        <v>81</v>
      </c>
      <c r="C83" s="108"/>
      <c r="D83" s="108"/>
      <c r="E83" s="108"/>
      <c r="F83" s="108"/>
      <c r="G83" s="108"/>
      <c r="H83" s="120"/>
    </row>
    <row r="84" spans="2:8" x14ac:dyDescent="0.35">
      <c r="B84" s="119">
        <v>82</v>
      </c>
      <c r="C84" s="108"/>
      <c r="D84" s="108"/>
      <c r="E84" s="108"/>
      <c r="F84" s="108"/>
      <c r="G84" s="108"/>
      <c r="H84" s="120"/>
    </row>
    <row r="85" spans="2:8" x14ac:dyDescent="0.35">
      <c r="B85" s="119">
        <v>83</v>
      </c>
      <c r="C85" s="108"/>
      <c r="D85" s="108"/>
      <c r="E85" s="108"/>
      <c r="F85" s="108"/>
      <c r="G85" s="108"/>
      <c r="H85" s="120"/>
    </row>
    <row r="86" spans="2:8" x14ac:dyDescent="0.35">
      <c r="B86" s="119">
        <v>84</v>
      </c>
      <c r="C86" s="108"/>
      <c r="D86" s="108"/>
      <c r="E86" s="108"/>
      <c r="F86" s="108"/>
      <c r="G86" s="108"/>
      <c r="H86" s="120"/>
    </row>
    <row r="87" spans="2:8" x14ac:dyDescent="0.35">
      <c r="B87" s="119">
        <v>85</v>
      </c>
      <c r="C87" s="108"/>
      <c r="D87" s="108"/>
      <c r="E87" s="108"/>
      <c r="F87" s="108"/>
      <c r="G87" s="108"/>
      <c r="H87" s="120"/>
    </row>
    <row r="88" spans="2:8" x14ac:dyDescent="0.35">
      <c r="B88" s="119">
        <v>86</v>
      </c>
      <c r="C88" s="108"/>
      <c r="D88" s="108"/>
      <c r="E88" s="108"/>
      <c r="F88" s="108"/>
      <c r="G88" s="108"/>
      <c r="H88" s="120"/>
    </row>
    <row r="89" spans="2:8" x14ac:dyDescent="0.35">
      <c r="B89" s="119">
        <v>87</v>
      </c>
      <c r="C89" s="108"/>
      <c r="D89" s="108"/>
      <c r="E89" s="108"/>
      <c r="F89" s="108"/>
      <c r="G89" s="108"/>
      <c r="H89" s="120"/>
    </row>
    <row r="90" spans="2:8" x14ac:dyDescent="0.35">
      <c r="B90" s="119">
        <v>88</v>
      </c>
      <c r="C90" s="108"/>
      <c r="D90" s="108"/>
      <c r="E90" s="108"/>
      <c r="F90" s="108"/>
      <c r="G90" s="108"/>
      <c r="H90" s="120"/>
    </row>
    <row r="91" spans="2:8" x14ac:dyDescent="0.35">
      <c r="B91" s="119">
        <v>89</v>
      </c>
      <c r="C91" s="108"/>
      <c r="D91" s="108"/>
      <c r="E91" s="108"/>
      <c r="F91" s="108"/>
      <c r="G91" s="108"/>
      <c r="H91" s="120"/>
    </row>
    <row r="92" spans="2:8" x14ac:dyDescent="0.35">
      <c r="B92" s="119">
        <v>90</v>
      </c>
      <c r="C92" s="108"/>
      <c r="D92" s="108"/>
      <c r="E92" s="108"/>
      <c r="F92" s="108"/>
      <c r="G92" s="108"/>
      <c r="H92" s="120"/>
    </row>
    <row r="93" spans="2:8" x14ac:dyDescent="0.35">
      <c r="B93" s="119">
        <v>91</v>
      </c>
      <c r="C93" s="108"/>
      <c r="D93" s="108"/>
      <c r="E93" s="108"/>
      <c r="F93" s="108"/>
      <c r="G93" s="108"/>
      <c r="H93" s="120"/>
    </row>
    <row r="94" spans="2:8" x14ac:dyDescent="0.35">
      <c r="B94" s="119">
        <v>92</v>
      </c>
      <c r="C94" s="108"/>
      <c r="D94" s="108"/>
      <c r="E94" s="108"/>
      <c r="F94" s="108"/>
      <c r="G94" s="108"/>
      <c r="H94" s="120"/>
    </row>
    <row r="95" spans="2:8" x14ac:dyDescent="0.35">
      <c r="B95" s="119">
        <v>93</v>
      </c>
      <c r="C95" s="108"/>
      <c r="D95" s="108"/>
      <c r="E95" s="108"/>
      <c r="F95" s="108"/>
      <c r="G95" s="108"/>
      <c r="H95" s="120"/>
    </row>
    <row r="96" spans="2:8" x14ac:dyDescent="0.35">
      <c r="B96" s="119">
        <v>94</v>
      </c>
      <c r="C96" s="108"/>
      <c r="D96" s="108"/>
      <c r="E96" s="108"/>
      <c r="F96" s="108"/>
      <c r="G96" s="108"/>
      <c r="H96" s="120"/>
    </row>
    <row r="97" spans="2:8" x14ac:dyDescent="0.35">
      <c r="B97" s="119">
        <v>95</v>
      </c>
      <c r="C97" s="108"/>
      <c r="D97" s="108"/>
      <c r="E97" s="108"/>
      <c r="F97" s="108"/>
      <c r="G97" s="108"/>
      <c r="H97" s="120"/>
    </row>
    <row r="98" spans="2:8" x14ac:dyDescent="0.35">
      <c r="B98" s="119">
        <v>96</v>
      </c>
      <c r="C98" s="108"/>
      <c r="D98" s="108"/>
      <c r="E98" s="108"/>
      <c r="F98" s="108"/>
      <c r="G98" s="108"/>
      <c r="H98" s="120"/>
    </row>
    <row r="99" spans="2:8" x14ac:dyDescent="0.35">
      <c r="B99" s="119">
        <v>97</v>
      </c>
      <c r="C99" s="108"/>
      <c r="D99" s="108"/>
      <c r="E99" s="108"/>
      <c r="F99" s="108"/>
      <c r="G99" s="108"/>
      <c r="H99" s="120"/>
    </row>
    <row r="100" spans="2:8" x14ac:dyDescent="0.35">
      <c r="B100" s="119">
        <v>98</v>
      </c>
      <c r="C100" s="108"/>
      <c r="D100" s="108"/>
      <c r="E100" s="108"/>
      <c r="F100" s="108"/>
      <c r="G100" s="108"/>
      <c r="H100" s="120"/>
    </row>
    <row r="101" spans="2:8" x14ac:dyDescent="0.35">
      <c r="B101" s="119">
        <v>99</v>
      </c>
      <c r="C101" s="108"/>
      <c r="D101" s="108"/>
      <c r="E101" s="108"/>
      <c r="F101" s="108"/>
      <c r="G101" s="108"/>
      <c r="H101" s="120"/>
    </row>
    <row r="102" spans="2:8" x14ac:dyDescent="0.35">
      <c r="B102" s="119">
        <v>100</v>
      </c>
      <c r="C102" s="108"/>
      <c r="D102" s="108"/>
      <c r="E102" s="108"/>
      <c r="F102" s="108"/>
      <c r="G102" s="108"/>
      <c r="H102" s="120"/>
    </row>
    <row r="103" spans="2:8" x14ac:dyDescent="0.35">
      <c r="B103" s="119">
        <v>101</v>
      </c>
      <c r="C103" s="108"/>
      <c r="D103" s="108"/>
      <c r="E103" s="108"/>
      <c r="F103" s="108"/>
      <c r="G103" s="108"/>
      <c r="H103" s="120"/>
    </row>
    <row r="104" spans="2:8" x14ac:dyDescent="0.35">
      <c r="B104" s="119">
        <v>102</v>
      </c>
      <c r="C104" s="108"/>
      <c r="D104" s="108"/>
      <c r="E104" s="108"/>
      <c r="F104" s="108"/>
      <c r="G104" s="108"/>
      <c r="H104" s="120"/>
    </row>
    <row r="105" spans="2:8" x14ac:dyDescent="0.35">
      <c r="B105" s="119">
        <v>103</v>
      </c>
      <c r="C105" s="108"/>
      <c r="D105" s="108"/>
      <c r="E105" s="108"/>
      <c r="F105" s="108"/>
      <c r="G105" s="108"/>
      <c r="H105" s="120"/>
    </row>
    <row r="106" spans="2:8" x14ac:dyDescent="0.35">
      <c r="B106" s="119">
        <v>104</v>
      </c>
      <c r="C106" s="108"/>
      <c r="D106" s="108"/>
      <c r="E106" s="108"/>
      <c r="F106" s="108"/>
      <c r="G106" s="108"/>
      <c r="H106" s="120"/>
    </row>
    <row r="107" spans="2:8" x14ac:dyDescent="0.35">
      <c r="B107" s="119">
        <v>105</v>
      </c>
      <c r="C107" s="108"/>
      <c r="D107" s="108"/>
      <c r="E107" s="108"/>
      <c r="F107" s="108"/>
      <c r="G107" s="108"/>
      <c r="H107" s="120"/>
    </row>
    <row r="108" spans="2:8" x14ac:dyDescent="0.35">
      <c r="B108" s="119">
        <v>106</v>
      </c>
      <c r="C108" s="108"/>
      <c r="D108" s="108"/>
      <c r="E108" s="108"/>
      <c r="F108" s="108"/>
      <c r="G108" s="108"/>
      <c r="H108" s="120"/>
    </row>
    <row r="109" spans="2:8" x14ac:dyDescent="0.35">
      <c r="B109" s="119">
        <v>107</v>
      </c>
      <c r="C109" s="108"/>
      <c r="D109" s="108"/>
      <c r="E109" s="108"/>
      <c r="F109" s="108"/>
      <c r="G109" s="108"/>
      <c r="H109" s="120"/>
    </row>
    <row r="110" spans="2:8" x14ac:dyDescent="0.35">
      <c r="B110" s="119">
        <v>108</v>
      </c>
      <c r="C110" s="108"/>
      <c r="D110" s="108"/>
      <c r="E110" s="108"/>
      <c r="F110" s="108"/>
      <c r="G110" s="108"/>
      <c r="H110" s="120"/>
    </row>
    <row r="111" spans="2:8" x14ac:dyDescent="0.35">
      <c r="B111" s="119">
        <v>109</v>
      </c>
      <c r="C111" s="108"/>
      <c r="D111" s="108"/>
      <c r="E111" s="108"/>
      <c r="F111" s="108"/>
      <c r="G111" s="108"/>
      <c r="H111" s="120"/>
    </row>
    <row r="112" spans="2:8" x14ac:dyDescent="0.35">
      <c r="B112" s="119">
        <v>110</v>
      </c>
      <c r="C112" s="108"/>
      <c r="D112" s="108"/>
      <c r="E112" s="108"/>
      <c r="F112" s="108"/>
      <c r="G112" s="108"/>
      <c r="H112" s="120"/>
    </row>
    <row r="113" spans="2:8" x14ac:dyDescent="0.35">
      <c r="B113" s="119">
        <v>111</v>
      </c>
      <c r="C113" s="108"/>
      <c r="D113" s="108"/>
      <c r="E113" s="108"/>
      <c r="F113" s="108"/>
      <c r="G113" s="108"/>
      <c r="H113" s="120"/>
    </row>
    <row r="114" spans="2:8" x14ac:dyDescent="0.35">
      <c r="B114" s="119">
        <v>112</v>
      </c>
      <c r="C114" s="108"/>
      <c r="D114" s="108"/>
      <c r="E114" s="108"/>
      <c r="F114" s="108"/>
      <c r="G114" s="108"/>
      <c r="H114" s="120"/>
    </row>
    <row r="115" spans="2:8" x14ac:dyDescent="0.35">
      <c r="B115" s="119">
        <v>113</v>
      </c>
      <c r="C115" s="108"/>
      <c r="D115" s="108"/>
      <c r="E115" s="108"/>
      <c r="F115" s="108"/>
      <c r="G115" s="108"/>
      <c r="H115" s="120"/>
    </row>
    <row r="116" spans="2:8" x14ac:dyDescent="0.35">
      <c r="B116" s="119">
        <v>114</v>
      </c>
      <c r="C116" s="108"/>
      <c r="D116" s="108"/>
      <c r="E116" s="108"/>
      <c r="F116" s="108"/>
      <c r="G116" s="108"/>
      <c r="H116" s="120"/>
    </row>
    <row r="117" spans="2:8" x14ac:dyDescent="0.35">
      <c r="B117" s="119">
        <v>115</v>
      </c>
      <c r="C117" s="108"/>
      <c r="D117" s="108"/>
      <c r="E117" s="108"/>
      <c r="F117" s="108"/>
      <c r="G117" s="108"/>
      <c r="H117" s="120"/>
    </row>
    <row r="118" spans="2:8" x14ac:dyDescent="0.35">
      <c r="B118" s="119">
        <v>116</v>
      </c>
      <c r="C118" s="108"/>
      <c r="D118" s="108"/>
      <c r="E118" s="108"/>
      <c r="F118" s="108"/>
      <c r="G118" s="108"/>
      <c r="H118" s="120"/>
    </row>
    <row r="119" spans="2:8" x14ac:dyDescent="0.35">
      <c r="B119" s="119">
        <v>117</v>
      </c>
      <c r="C119" s="108"/>
      <c r="D119" s="108"/>
      <c r="E119" s="108"/>
      <c r="F119" s="108"/>
      <c r="G119" s="108"/>
      <c r="H119" s="120"/>
    </row>
    <row r="120" spans="2:8" x14ac:dyDescent="0.35">
      <c r="B120" s="119">
        <v>118</v>
      </c>
      <c r="C120" s="108"/>
      <c r="D120" s="108"/>
      <c r="E120" s="108"/>
      <c r="F120" s="108"/>
      <c r="G120" s="108"/>
      <c r="H120" s="120"/>
    </row>
    <row r="121" spans="2:8" x14ac:dyDescent="0.35">
      <c r="B121" s="119">
        <v>119</v>
      </c>
      <c r="C121" s="108"/>
      <c r="D121" s="108"/>
      <c r="E121" s="108"/>
      <c r="F121" s="108"/>
      <c r="G121" s="108"/>
      <c r="H121" s="120"/>
    </row>
    <row r="122" spans="2:8" x14ac:dyDescent="0.35">
      <c r="B122" s="119">
        <v>120</v>
      </c>
      <c r="C122" s="108"/>
      <c r="D122" s="108"/>
      <c r="E122" s="108"/>
      <c r="F122" s="108"/>
      <c r="G122" s="108"/>
      <c r="H122" s="120"/>
    </row>
    <row r="123" spans="2:8" x14ac:dyDescent="0.35">
      <c r="B123" s="119">
        <v>121</v>
      </c>
      <c r="C123" s="108"/>
      <c r="D123" s="108"/>
      <c r="E123" s="108"/>
      <c r="F123" s="108"/>
      <c r="G123" s="108"/>
      <c r="H123" s="120"/>
    </row>
    <row r="124" spans="2:8" x14ac:dyDescent="0.35">
      <c r="B124" s="119">
        <v>122</v>
      </c>
      <c r="C124" s="108"/>
      <c r="D124" s="108"/>
      <c r="E124" s="108"/>
      <c r="F124" s="108"/>
      <c r="G124" s="108"/>
      <c r="H124" s="120"/>
    </row>
    <row r="125" spans="2:8" x14ac:dyDescent="0.35">
      <c r="B125" s="119">
        <v>123</v>
      </c>
      <c r="C125" s="108"/>
      <c r="D125" s="108"/>
      <c r="E125" s="108"/>
      <c r="F125" s="108"/>
      <c r="G125" s="108"/>
      <c r="H125" s="120"/>
    </row>
    <row r="126" spans="2:8" x14ac:dyDescent="0.35">
      <c r="B126" s="119">
        <v>124</v>
      </c>
      <c r="C126" s="108"/>
      <c r="D126" s="108"/>
      <c r="E126" s="108"/>
      <c r="F126" s="108"/>
      <c r="G126" s="108"/>
      <c r="H126" s="120"/>
    </row>
    <row r="127" spans="2:8" x14ac:dyDescent="0.35">
      <c r="B127" s="119">
        <v>125</v>
      </c>
      <c r="C127" s="108"/>
      <c r="D127" s="108"/>
      <c r="E127" s="108"/>
      <c r="F127" s="108"/>
      <c r="G127" s="108"/>
      <c r="H127" s="120"/>
    </row>
    <row r="128" spans="2:8" x14ac:dyDescent="0.35">
      <c r="B128" s="119">
        <v>126</v>
      </c>
      <c r="C128" s="108"/>
      <c r="D128" s="108"/>
      <c r="E128" s="108"/>
      <c r="F128" s="108"/>
      <c r="G128" s="108"/>
      <c r="H128" s="120"/>
    </row>
    <row r="129" spans="2:8" x14ac:dyDescent="0.35">
      <c r="B129" s="119">
        <v>127</v>
      </c>
      <c r="C129" s="108"/>
      <c r="D129" s="108"/>
      <c r="E129" s="108"/>
      <c r="F129" s="108"/>
      <c r="G129" s="108"/>
      <c r="H129" s="120"/>
    </row>
    <row r="130" spans="2:8" x14ac:dyDescent="0.35">
      <c r="B130" s="119">
        <v>128</v>
      </c>
      <c r="C130" s="108"/>
      <c r="D130" s="108"/>
      <c r="E130" s="108"/>
      <c r="F130" s="108"/>
      <c r="G130" s="108"/>
      <c r="H130" s="120"/>
    </row>
    <row r="131" spans="2:8" x14ac:dyDescent="0.35">
      <c r="B131" s="119">
        <v>129</v>
      </c>
      <c r="C131" s="108"/>
      <c r="D131" s="108"/>
      <c r="E131" s="108"/>
      <c r="F131" s="108"/>
      <c r="G131" s="108"/>
      <c r="H131" s="120"/>
    </row>
    <row r="132" spans="2:8" x14ac:dyDescent="0.35">
      <c r="B132" s="119">
        <v>130</v>
      </c>
      <c r="C132" s="108"/>
      <c r="D132" s="108"/>
      <c r="E132" s="108"/>
      <c r="F132" s="108"/>
      <c r="G132" s="108"/>
      <c r="H132" s="120"/>
    </row>
    <row r="133" spans="2:8" x14ac:dyDescent="0.35">
      <c r="B133" s="119">
        <v>131</v>
      </c>
      <c r="C133" s="108"/>
      <c r="D133" s="108"/>
      <c r="E133" s="108"/>
      <c r="F133" s="108"/>
      <c r="G133" s="108"/>
      <c r="H133" s="120"/>
    </row>
    <row r="134" spans="2:8" x14ac:dyDescent="0.35">
      <c r="B134" s="119">
        <v>132</v>
      </c>
      <c r="C134" s="108"/>
      <c r="D134" s="108"/>
      <c r="E134" s="108"/>
      <c r="F134" s="108"/>
      <c r="G134" s="108"/>
      <c r="H134" s="120"/>
    </row>
    <row r="135" spans="2:8" x14ac:dyDescent="0.35">
      <c r="B135" s="119">
        <v>133</v>
      </c>
      <c r="C135" s="108"/>
      <c r="D135" s="108"/>
      <c r="E135" s="108"/>
      <c r="F135" s="108"/>
      <c r="G135" s="108"/>
      <c r="H135" s="120"/>
    </row>
    <row r="136" spans="2:8" x14ac:dyDescent="0.35">
      <c r="B136" s="119">
        <v>134</v>
      </c>
      <c r="C136" s="108"/>
      <c r="D136" s="108"/>
      <c r="E136" s="108"/>
      <c r="F136" s="108"/>
      <c r="G136" s="108"/>
      <c r="H136" s="120"/>
    </row>
    <row r="137" spans="2:8" x14ac:dyDescent="0.35">
      <c r="B137" s="119">
        <v>135</v>
      </c>
      <c r="C137" s="108"/>
      <c r="D137" s="108"/>
      <c r="E137" s="108"/>
      <c r="F137" s="108"/>
      <c r="G137" s="108"/>
      <c r="H137" s="120"/>
    </row>
    <row r="138" spans="2:8" x14ac:dyDescent="0.35">
      <c r="B138" s="119">
        <v>136</v>
      </c>
      <c r="C138" s="108"/>
      <c r="D138" s="108"/>
      <c r="E138" s="108"/>
      <c r="F138" s="108"/>
      <c r="G138" s="108"/>
      <c r="H138" s="120"/>
    </row>
    <row r="139" spans="2:8" x14ac:dyDescent="0.35">
      <c r="B139" s="119">
        <v>137</v>
      </c>
      <c r="C139" s="108"/>
      <c r="D139" s="108"/>
      <c r="E139" s="108"/>
      <c r="F139" s="108"/>
      <c r="G139" s="108"/>
      <c r="H139" s="120"/>
    </row>
    <row r="140" spans="2:8" x14ac:dyDescent="0.35">
      <c r="B140" s="119">
        <v>138</v>
      </c>
      <c r="C140" s="108"/>
      <c r="D140" s="108"/>
      <c r="E140" s="108"/>
      <c r="F140" s="108"/>
      <c r="G140" s="108"/>
      <c r="H140" s="120"/>
    </row>
    <row r="141" spans="2:8" x14ac:dyDescent="0.35">
      <c r="B141" s="119">
        <v>139</v>
      </c>
      <c r="C141" s="108"/>
      <c r="D141" s="108"/>
      <c r="E141" s="108"/>
      <c r="F141" s="108"/>
      <c r="G141" s="108"/>
      <c r="H141" s="120"/>
    </row>
    <row r="142" spans="2:8" x14ac:dyDescent="0.35">
      <c r="B142" s="119">
        <v>140</v>
      </c>
      <c r="C142" s="108"/>
      <c r="D142" s="108"/>
      <c r="E142" s="108"/>
      <c r="F142" s="108"/>
      <c r="G142" s="108"/>
      <c r="H142" s="120"/>
    </row>
    <row r="143" spans="2:8" x14ac:dyDescent="0.35">
      <c r="B143" s="119">
        <v>141</v>
      </c>
      <c r="C143" s="108"/>
      <c r="D143" s="108"/>
      <c r="E143" s="108"/>
      <c r="F143" s="108"/>
      <c r="G143" s="108"/>
      <c r="H143" s="120"/>
    </row>
    <row r="144" spans="2:8" x14ac:dyDescent="0.35">
      <c r="B144" s="119">
        <v>142</v>
      </c>
      <c r="C144" s="108"/>
      <c r="D144" s="108"/>
      <c r="E144" s="108"/>
      <c r="F144" s="108"/>
      <c r="G144" s="108"/>
      <c r="H144" s="120"/>
    </row>
    <row r="145" spans="2:8" x14ac:dyDescent="0.35">
      <c r="B145" s="119">
        <v>143</v>
      </c>
      <c r="C145" s="108"/>
      <c r="D145" s="108"/>
      <c r="E145" s="108"/>
      <c r="F145" s="108"/>
      <c r="G145" s="108"/>
      <c r="H145" s="120"/>
    </row>
    <row r="146" spans="2:8" x14ac:dyDescent="0.35">
      <c r="B146" s="119">
        <v>144</v>
      </c>
      <c r="C146" s="108"/>
      <c r="D146" s="108"/>
      <c r="E146" s="108"/>
      <c r="F146" s="108"/>
      <c r="G146" s="108"/>
      <c r="H146" s="120"/>
    </row>
    <row r="147" spans="2:8" x14ac:dyDescent="0.35">
      <c r="B147" s="119">
        <v>145</v>
      </c>
      <c r="C147" s="108"/>
      <c r="D147" s="108"/>
      <c r="E147" s="108"/>
      <c r="F147" s="108"/>
      <c r="G147" s="108"/>
      <c r="H147" s="120"/>
    </row>
    <row r="148" spans="2:8" x14ac:dyDescent="0.35">
      <c r="B148" s="119">
        <v>146</v>
      </c>
      <c r="C148" s="108"/>
      <c r="D148" s="108"/>
      <c r="E148" s="108"/>
      <c r="F148" s="108"/>
      <c r="G148" s="108"/>
      <c r="H148" s="120"/>
    </row>
    <row r="149" spans="2:8" x14ac:dyDescent="0.35">
      <c r="B149" s="119">
        <v>147</v>
      </c>
      <c r="C149" s="108"/>
      <c r="D149" s="108"/>
      <c r="E149" s="108"/>
      <c r="F149" s="108"/>
      <c r="G149" s="108"/>
      <c r="H149" s="120"/>
    </row>
    <row r="150" spans="2:8" x14ac:dyDescent="0.35">
      <c r="B150" s="119">
        <v>148</v>
      </c>
      <c r="C150" s="108"/>
      <c r="D150" s="108"/>
      <c r="E150" s="108"/>
      <c r="F150" s="108"/>
      <c r="G150" s="108"/>
      <c r="H150" s="120"/>
    </row>
    <row r="151" spans="2:8" x14ac:dyDescent="0.35">
      <c r="B151" s="119">
        <v>149</v>
      </c>
      <c r="C151" s="108"/>
      <c r="D151" s="108"/>
      <c r="E151" s="108"/>
      <c r="F151" s="108"/>
      <c r="G151" s="108"/>
      <c r="H151" s="120"/>
    </row>
    <row r="152" spans="2:8" x14ac:dyDescent="0.35">
      <c r="B152" s="119">
        <v>150</v>
      </c>
      <c r="C152" s="108"/>
      <c r="D152" s="108"/>
      <c r="E152" s="108"/>
      <c r="F152" s="108"/>
      <c r="G152" s="108"/>
      <c r="H152" s="120"/>
    </row>
    <row r="153" spans="2:8" x14ac:dyDescent="0.35">
      <c r="B153" s="119">
        <v>151</v>
      </c>
      <c r="C153" s="108"/>
      <c r="D153" s="108"/>
      <c r="E153" s="108"/>
      <c r="F153" s="108"/>
      <c r="G153" s="108"/>
      <c r="H153" s="120"/>
    </row>
    <row r="154" spans="2:8" x14ac:dyDescent="0.35">
      <c r="B154" s="119">
        <v>152</v>
      </c>
      <c r="C154" s="108"/>
      <c r="D154" s="108"/>
      <c r="E154" s="108"/>
      <c r="F154" s="108"/>
      <c r="G154" s="108"/>
      <c r="H154" s="120"/>
    </row>
    <row r="155" spans="2:8" x14ac:dyDescent="0.35">
      <c r="B155" s="119">
        <v>153</v>
      </c>
      <c r="C155" s="108"/>
      <c r="D155" s="108"/>
      <c r="E155" s="108"/>
      <c r="F155" s="108"/>
      <c r="G155" s="108"/>
      <c r="H155" s="120"/>
    </row>
    <row r="156" spans="2:8" x14ac:dyDescent="0.35">
      <c r="B156" s="119">
        <v>154</v>
      </c>
      <c r="C156" s="108"/>
      <c r="D156" s="108"/>
      <c r="E156" s="108"/>
      <c r="F156" s="108"/>
      <c r="G156" s="108"/>
      <c r="H156" s="120"/>
    </row>
    <row r="157" spans="2:8" x14ac:dyDescent="0.35">
      <c r="B157" s="119">
        <v>155</v>
      </c>
      <c r="C157" s="108"/>
      <c r="D157" s="108"/>
      <c r="E157" s="108"/>
      <c r="F157" s="108"/>
      <c r="G157" s="108"/>
      <c r="H157" s="120"/>
    </row>
    <row r="158" spans="2:8" x14ac:dyDescent="0.35">
      <c r="B158" s="119">
        <v>156</v>
      </c>
      <c r="C158" s="108"/>
      <c r="D158" s="108"/>
      <c r="E158" s="108"/>
      <c r="F158" s="108"/>
      <c r="G158" s="108"/>
      <c r="H158" s="120"/>
    </row>
    <row r="159" spans="2:8" x14ac:dyDescent="0.35">
      <c r="B159" s="119">
        <v>157</v>
      </c>
      <c r="C159" s="108"/>
      <c r="D159" s="108"/>
      <c r="E159" s="108"/>
      <c r="F159" s="108"/>
      <c r="G159" s="108"/>
      <c r="H159" s="120"/>
    </row>
    <row r="160" spans="2:8" x14ac:dyDescent="0.35">
      <c r="B160" s="119">
        <v>158</v>
      </c>
      <c r="C160" s="108"/>
      <c r="D160" s="108"/>
      <c r="E160" s="108"/>
      <c r="F160" s="108"/>
      <c r="G160" s="108"/>
      <c r="H160" s="120"/>
    </row>
    <row r="161" spans="2:8" x14ac:dyDescent="0.35">
      <c r="B161" s="119">
        <v>159</v>
      </c>
      <c r="C161" s="108"/>
      <c r="D161" s="108"/>
      <c r="E161" s="108"/>
      <c r="F161" s="108"/>
      <c r="G161" s="108"/>
      <c r="H161" s="120"/>
    </row>
    <row r="162" spans="2:8" x14ac:dyDescent="0.35">
      <c r="B162" s="119">
        <v>160</v>
      </c>
      <c r="C162" s="108"/>
      <c r="D162" s="108"/>
      <c r="E162" s="108"/>
      <c r="F162" s="108"/>
      <c r="G162" s="108"/>
      <c r="H162" s="120"/>
    </row>
    <row r="163" spans="2:8" x14ac:dyDescent="0.35">
      <c r="B163" s="119">
        <v>161</v>
      </c>
      <c r="C163" s="108"/>
      <c r="D163" s="108"/>
      <c r="E163" s="108"/>
      <c r="F163" s="108"/>
      <c r="G163" s="108"/>
      <c r="H163" s="120"/>
    </row>
    <row r="164" spans="2:8" x14ac:dyDescent="0.35">
      <c r="B164" s="119">
        <v>162</v>
      </c>
      <c r="C164" s="108"/>
      <c r="D164" s="108"/>
      <c r="E164" s="108"/>
      <c r="F164" s="108"/>
      <c r="G164" s="108"/>
      <c r="H164" s="120"/>
    </row>
    <row r="165" spans="2:8" x14ac:dyDescent="0.35">
      <c r="B165" s="119">
        <v>163</v>
      </c>
      <c r="C165" s="108"/>
      <c r="D165" s="108"/>
      <c r="E165" s="108"/>
      <c r="F165" s="108"/>
      <c r="G165" s="108"/>
      <c r="H165" s="120"/>
    </row>
    <row r="166" spans="2:8" x14ac:dyDescent="0.35">
      <c r="B166" s="119">
        <v>164</v>
      </c>
      <c r="C166" s="108"/>
      <c r="D166" s="108"/>
      <c r="E166" s="108"/>
      <c r="F166" s="108"/>
      <c r="G166" s="108"/>
      <c r="H166" s="120"/>
    </row>
    <row r="167" spans="2:8" x14ac:dyDescent="0.35">
      <c r="B167" s="119">
        <v>165</v>
      </c>
      <c r="C167" s="108"/>
      <c r="D167" s="108"/>
      <c r="E167" s="108"/>
      <c r="F167" s="108"/>
      <c r="G167" s="108"/>
      <c r="H167" s="120"/>
    </row>
    <row r="168" spans="2:8" x14ac:dyDescent="0.35">
      <c r="B168" s="119">
        <v>166</v>
      </c>
      <c r="C168" s="108"/>
      <c r="D168" s="108"/>
      <c r="E168" s="108"/>
      <c r="F168" s="108"/>
      <c r="G168" s="108"/>
      <c r="H168" s="120"/>
    </row>
    <row r="169" spans="2:8" x14ac:dyDescent="0.35">
      <c r="B169" s="119">
        <v>167</v>
      </c>
      <c r="C169" s="108"/>
      <c r="D169" s="108"/>
      <c r="E169" s="108"/>
      <c r="F169" s="108"/>
      <c r="G169" s="108"/>
      <c r="H169" s="120"/>
    </row>
    <row r="170" spans="2:8" x14ac:dyDescent="0.35">
      <c r="B170" s="119">
        <v>168</v>
      </c>
      <c r="C170" s="108"/>
      <c r="D170" s="108"/>
      <c r="E170" s="108"/>
      <c r="F170" s="108"/>
      <c r="G170" s="108"/>
      <c r="H170" s="120"/>
    </row>
    <row r="171" spans="2:8" x14ac:dyDescent="0.35">
      <c r="B171" s="119">
        <v>169</v>
      </c>
      <c r="C171" s="108"/>
      <c r="D171" s="108"/>
      <c r="E171" s="108"/>
      <c r="F171" s="108"/>
      <c r="G171" s="108"/>
      <c r="H171" s="120"/>
    </row>
    <row r="172" spans="2:8" x14ac:dyDescent="0.35">
      <c r="B172" s="119">
        <v>170</v>
      </c>
      <c r="C172" s="108"/>
      <c r="D172" s="108"/>
      <c r="E172" s="108"/>
      <c r="F172" s="108"/>
      <c r="G172" s="108"/>
      <c r="H172" s="120"/>
    </row>
    <row r="173" spans="2:8" x14ac:dyDescent="0.35">
      <c r="B173" s="119">
        <v>171</v>
      </c>
      <c r="C173" s="108"/>
      <c r="D173" s="108"/>
      <c r="E173" s="108"/>
      <c r="F173" s="108"/>
      <c r="G173" s="108"/>
      <c r="H173" s="120"/>
    </row>
    <row r="174" spans="2:8" x14ac:dyDescent="0.35">
      <c r="B174" s="119">
        <v>172</v>
      </c>
      <c r="C174" s="108"/>
      <c r="D174" s="108"/>
      <c r="E174" s="108"/>
      <c r="F174" s="108"/>
      <c r="G174" s="108"/>
      <c r="H174" s="120"/>
    </row>
    <row r="175" spans="2:8" x14ac:dyDescent="0.35">
      <c r="B175" s="119">
        <v>173</v>
      </c>
      <c r="C175" s="108"/>
      <c r="D175" s="108"/>
      <c r="E175" s="108"/>
      <c r="F175" s="108"/>
      <c r="G175" s="108"/>
      <c r="H175" s="120"/>
    </row>
    <row r="176" spans="2:8" ht="15" thickBot="1" x14ac:dyDescent="0.4">
      <c r="B176" s="119">
        <v>174</v>
      </c>
      <c r="C176" s="121"/>
      <c r="D176" s="121"/>
      <c r="E176" s="121"/>
      <c r="F176" s="121"/>
      <c r="G176" s="121"/>
      <c r="H176" s="122"/>
    </row>
  </sheetData>
  <autoFilter ref="B2:H176" xr:uid="{8607D0E0-4AAD-48B0-B15A-3A46E7422E84}"/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5F0-ED15-4C8A-AD77-F8B71C4A7F4B}">
  <dimension ref="A1:G14"/>
  <sheetViews>
    <sheetView workbookViewId="0">
      <selection activeCell="D9" sqref="D9"/>
    </sheetView>
  </sheetViews>
  <sheetFormatPr defaultRowHeight="14.5" x14ac:dyDescent="0.35"/>
  <cols>
    <col min="1" max="1" width="21.6328125" customWidth="1"/>
    <col min="2" max="2" width="18.6328125" customWidth="1"/>
    <col min="3" max="3" width="13.08984375" customWidth="1"/>
    <col min="4" max="4" width="15.08984375" customWidth="1"/>
    <col min="5" max="5" width="26.6328125" customWidth="1"/>
  </cols>
  <sheetData>
    <row r="1" spans="1:7" x14ac:dyDescent="0.35">
      <c r="A1" s="217" t="s">
        <v>57</v>
      </c>
      <c r="B1" s="217"/>
      <c r="C1" s="217"/>
      <c r="D1" s="217"/>
      <c r="E1" s="217"/>
    </row>
    <row r="2" spans="1:7" x14ac:dyDescent="0.35">
      <c r="A2" s="9" t="s">
        <v>20</v>
      </c>
      <c r="B2" s="9">
        <v>2</v>
      </c>
      <c r="C2" s="8"/>
      <c r="D2" s="8"/>
      <c r="E2" s="8"/>
    </row>
    <row r="3" spans="1:7" x14ac:dyDescent="0.35">
      <c r="A3" s="9" t="s">
        <v>16</v>
      </c>
      <c r="B3" s="9" t="s">
        <v>88</v>
      </c>
      <c r="C3" s="8"/>
      <c r="D3" s="8"/>
      <c r="E3" s="8"/>
    </row>
    <row r="4" spans="1:7" x14ac:dyDescent="0.35">
      <c r="A4" s="9" t="s">
        <v>55</v>
      </c>
      <c r="B4" s="9" t="s">
        <v>87</v>
      </c>
      <c r="C4" s="8"/>
      <c r="D4" s="8"/>
      <c r="E4" s="8"/>
    </row>
    <row r="5" spans="1:7" x14ac:dyDescent="0.35">
      <c r="A5" s="9" t="s">
        <v>89</v>
      </c>
      <c r="B5" s="10">
        <v>44859</v>
      </c>
      <c r="C5" s="8"/>
      <c r="D5" s="9"/>
      <c r="E5" s="9"/>
    </row>
    <row r="6" spans="1:7" ht="15" thickBot="1" x14ac:dyDescent="0.4"/>
    <row r="7" spans="1:7" ht="30" customHeight="1" thickBot="1" x14ac:dyDescent="0.4">
      <c r="A7" s="218" t="s">
        <v>80</v>
      </c>
      <c r="B7" s="219"/>
      <c r="C7" s="219"/>
      <c r="D7" s="219"/>
      <c r="E7" s="220"/>
    </row>
    <row r="8" spans="1:7" ht="30" customHeight="1" x14ac:dyDescent="0.35">
      <c r="A8" s="93" t="s">
        <v>30</v>
      </c>
      <c r="B8" s="94" t="s">
        <v>31</v>
      </c>
      <c r="C8" s="94" t="s">
        <v>81</v>
      </c>
      <c r="D8" s="95" t="s">
        <v>34</v>
      </c>
      <c r="E8" s="94" t="s">
        <v>41</v>
      </c>
    </row>
    <row r="9" spans="1:7" ht="30" customHeight="1" x14ac:dyDescent="0.35">
      <c r="A9" s="96">
        <v>62652</v>
      </c>
      <c r="B9" s="106">
        <v>44822</v>
      </c>
      <c r="C9" s="148">
        <v>26</v>
      </c>
      <c r="D9" s="97">
        <f>Table37[[#This Row],[Hrs]]*20.5</f>
        <v>533</v>
      </c>
      <c r="E9" s="97">
        <f>Table37[[#This Row],[Total]]</f>
        <v>533</v>
      </c>
      <c r="G9" t="s">
        <v>298</v>
      </c>
    </row>
    <row r="10" spans="1:7" ht="30" customHeight="1" x14ac:dyDescent="0.35">
      <c r="A10" s="96">
        <v>62653</v>
      </c>
      <c r="B10" s="106">
        <v>44834</v>
      </c>
      <c r="C10" s="148">
        <v>6</v>
      </c>
      <c r="D10" s="97">
        <f>Table37[[#This Row],[Hrs]]*20.5</f>
        <v>123</v>
      </c>
      <c r="E10" s="97">
        <f>Table37[[#This Row],[Total]]</f>
        <v>123</v>
      </c>
    </row>
    <row r="11" spans="1:7" ht="30" customHeight="1" x14ac:dyDescent="0.35">
      <c r="A11" s="98">
        <v>62654</v>
      </c>
      <c r="B11" s="106">
        <v>44844</v>
      </c>
      <c r="C11" s="149">
        <v>30</v>
      </c>
      <c r="D11" s="97">
        <f>Table37[[#This Row],[Hrs]]*20.5</f>
        <v>615</v>
      </c>
      <c r="E11" s="97">
        <f>Table37[[#This Row],[Total]]</f>
        <v>615</v>
      </c>
    </row>
    <row r="12" spans="1:7" ht="30" customHeight="1" x14ac:dyDescent="0.35">
      <c r="A12" s="98"/>
      <c r="B12" s="106"/>
      <c r="C12" s="99"/>
      <c r="D12" s="97"/>
      <c r="E12" s="97">
        <f>Table37[[#This Row],[Total]]</f>
        <v>0</v>
      </c>
    </row>
    <row r="13" spans="1:7" ht="30" customHeight="1" x14ac:dyDescent="0.35">
      <c r="A13" s="100"/>
      <c r="B13" s="101"/>
      <c r="C13" s="102"/>
      <c r="D13" s="103">
        <f t="shared" ref="D13" si="0">20.5*C13</f>
        <v>0</v>
      </c>
      <c r="E13" s="104">
        <f>Table37[[#This Row],[Total]]</f>
        <v>0</v>
      </c>
    </row>
    <row r="14" spans="1:7" ht="30" customHeight="1" x14ac:dyDescent="0.35">
      <c r="A14" s="98" t="s">
        <v>34</v>
      </c>
      <c r="B14" s="107"/>
      <c r="C14" s="99">
        <f>SUBTOTAL(109,Table37[Hrs])</f>
        <v>62</v>
      </c>
      <c r="D14" s="105">
        <f>SUBTOTAL(109,Table37[Total])</f>
        <v>1271</v>
      </c>
      <c r="E14" s="105">
        <f>SUBTOTAL(109,Table37[Net])</f>
        <v>1271</v>
      </c>
    </row>
  </sheetData>
  <mergeCells count="2">
    <mergeCell ref="A7:E7"/>
    <mergeCell ref="A1:E1"/>
  </mergeCells>
  <pageMargins left="0.7" right="0.7" top="0.75" bottom="0.75" header="0.3" footer="0.3"/>
  <pageSetup orientation="landscape" verticalDpi="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J16" sqref="J16"/>
    </sheetView>
  </sheetViews>
  <sheetFormatPr defaultRowHeight="14.5" x14ac:dyDescent="0.35"/>
  <cols>
    <col min="1" max="1" width="15.453125" bestFit="1" customWidth="1"/>
    <col min="2" max="2" width="30" bestFit="1" customWidth="1"/>
    <col min="3" max="3" width="12.08984375" customWidth="1"/>
    <col min="4" max="6" width="11" customWidth="1"/>
    <col min="7" max="7" width="10.36328125" customWidth="1"/>
  </cols>
  <sheetData>
    <row r="1" spans="1:7" x14ac:dyDescent="0.35">
      <c r="A1" t="s">
        <v>15</v>
      </c>
      <c r="B1" s="28" t="str">
        <f>Evaluation!A3</f>
        <v>Khansaheb Civil Engineering LLC</v>
      </c>
    </row>
    <row r="2" spans="1:7" x14ac:dyDescent="0.35">
      <c r="A2" t="s">
        <v>20</v>
      </c>
      <c r="B2" s="28">
        <f>Evaluation!B4</f>
        <v>2</v>
      </c>
    </row>
    <row r="3" spans="1:7" x14ac:dyDescent="0.35">
      <c r="A3" t="s">
        <v>16</v>
      </c>
      <c r="B3" s="28" t="str">
        <f>Evaluation!B5</f>
        <v xml:space="preserve">Dorchester Hotel &amp; Residences (Completion Works)  </v>
      </c>
    </row>
    <row r="4" spans="1:7" x14ac:dyDescent="0.35">
      <c r="A4" t="s">
        <v>21</v>
      </c>
      <c r="B4" s="28" t="e">
        <f>Evaluation!#REF!</f>
        <v>#REF!</v>
      </c>
    </row>
    <row r="5" spans="1:7" x14ac:dyDescent="0.35">
      <c r="A5" t="s">
        <v>39</v>
      </c>
      <c r="B5" s="29">
        <f>Evaluation!B7</f>
        <v>44859</v>
      </c>
    </row>
    <row r="6" spans="1:7" ht="15" thickBot="1" x14ac:dyDescent="0.4"/>
    <row r="7" spans="1:7" x14ac:dyDescent="0.35">
      <c r="A7" s="221" t="s">
        <v>40</v>
      </c>
      <c r="B7" s="222"/>
      <c r="C7" s="222"/>
      <c r="D7" s="222"/>
      <c r="E7" s="222"/>
      <c r="F7" s="222"/>
      <c r="G7" s="223"/>
    </row>
    <row r="8" spans="1:7" x14ac:dyDescent="0.35">
      <c r="A8" s="30" t="s">
        <v>30</v>
      </c>
      <c r="B8" s="31" t="s">
        <v>31</v>
      </c>
      <c r="C8" s="31" t="s">
        <v>32</v>
      </c>
      <c r="D8" s="31" t="s">
        <v>33</v>
      </c>
      <c r="E8" s="32" t="s">
        <v>43</v>
      </c>
      <c r="F8" s="32" t="s">
        <v>42</v>
      </c>
      <c r="G8" s="32" t="s">
        <v>41</v>
      </c>
    </row>
    <row r="9" spans="1:7" x14ac:dyDescent="0.35">
      <c r="A9" s="33"/>
      <c r="B9" s="34"/>
      <c r="C9" s="35"/>
      <c r="D9" s="35"/>
      <c r="E9" s="36"/>
      <c r="F9" s="36"/>
      <c r="G9" s="37"/>
    </row>
    <row r="10" spans="1:7" x14ac:dyDescent="0.35">
      <c r="A10" s="33"/>
      <c r="B10" s="34"/>
      <c r="C10" s="35"/>
      <c r="D10" s="35"/>
      <c r="E10" s="36"/>
      <c r="F10" s="36"/>
      <c r="G10" s="37"/>
    </row>
    <row r="11" spans="1:7" x14ac:dyDescent="0.35">
      <c r="A11" s="38"/>
      <c r="B11" s="39"/>
      <c r="C11" s="40"/>
      <c r="D11" s="40"/>
      <c r="E11" s="41"/>
      <c r="F11" s="41"/>
      <c r="G11" s="42"/>
    </row>
    <row r="12" spans="1:7" x14ac:dyDescent="0.35">
      <c r="A12" s="38" t="s">
        <v>34</v>
      </c>
      <c r="B12" s="43"/>
      <c r="C12" s="40"/>
      <c r="D12" s="40"/>
      <c r="E12" s="41">
        <f>SUBTOTAL(109,Table2[Cumulative])</f>
        <v>0</v>
      </c>
      <c r="F12" s="41">
        <f>SUBTOTAL(109,Table2[Previous])</f>
        <v>0</v>
      </c>
      <c r="G12" s="44">
        <f>SUBTOTAL(103,Table2[Net])</f>
        <v>0</v>
      </c>
    </row>
    <row r="13" spans="1:7" x14ac:dyDescent="0.35">
      <c r="G13" s="1"/>
    </row>
  </sheetData>
  <mergeCells count="1">
    <mergeCell ref="A7:G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E18" sqref="E18"/>
    </sheetView>
  </sheetViews>
  <sheetFormatPr defaultRowHeight="14.5" x14ac:dyDescent="0.35"/>
  <cols>
    <col min="1" max="1" width="13.90625" bestFit="1" customWidth="1"/>
    <col min="2" max="2" width="13.36328125" customWidth="1"/>
    <col min="3" max="3" width="10.453125" customWidth="1"/>
    <col min="8" max="8" width="12.08984375" customWidth="1"/>
    <col min="9" max="9" width="14.54296875" customWidth="1"/>
    <col min="10" max="10" width="20.6328125" customWidth="1"/>
  </cols>
  <sheetData>
    <row r="1" spans="1:10" x14ac:dyDescent="0.35">
      <c r="A1" s="224" t="s">
        <v>54</v>
      </c>
      <c r="B1" s="224"/>
      <c r="C1" s="224"/>
      <c r="D1" s="224"/>
      <c r="E1" s="224"/>
      <c r="F1" s="224"/>
      <c r="G1" s="224"/>
      <c r="H1" s="224"/>
      <c r="I1" s="224"/>
      <c r="J1" s="224"/>
    </row>
    <row r="2" spans="1:10" x14ac:dyDescent="0.35">
      <c r="A2" t="s">
        <v>53</v>
      </c>
      <c r="B2" t="s">
        <v>6</v>
      </c>
      <c r="C2" t="s">
        <v>22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9"/>
  <sheetViews>
    <sheetView workbookViewId="0">
      <selection activeCell="I16" sqref="I16"/>
    </sheetView>
  </sheetViews>
  <sheetFormatPr defaultRowHeight="14.5" x14ac:dyDescent="0.35"/>
  <cols>
    <col min="1" max="1" width="15.453125" bestFit="1" customWidth="1"/>
    <col min="2" max="2" width="17.90625" customWidth="1"/>
    <col min="3" max="3" width="18.453125" customWidth="1"/>
    <col min="4" max="4" width="12.54296875" customWidth="1"/>
    <col min="5" max="5" width="10.08984375" bestFit="1" customWidth="1"/>
    <col min="6" max="6" width="10.6328125" customWidth="1"/>
  </cols>
  <sheetData>
    <row r="2" spans="1:6" x14ac:dyDescent="0.35">
      <c r="A2" t="s">
        <v>15</v>
      </c>
      <c r="B2" s="225" t="str">
        <f>Evaluation!A3</f>
        <v>Khansaheb Civil Engineering LLC</v>
      </c>
      <c r="C2" s="225"/>
      <c r="D2" s="225"/>
      <c r="E2" s="225"/>
    </row>
    <row r="3" spans="1:6" x14ac:dyDescent="0.35">
      <c r="A3" t="s">
        <v>16</v>
      </c>
      <c r="B3" s="225" t="str">
        <f>Evaluation!B5</f>
        <v xml:space="preserve">Dorchester Hotel &amp; Residences (Completion Works)  </v>
      </c>
      <c r="C3" s="225"/>
      <c r="D3" s="225"/>
      <c r="E3" s="225"/>
    </row>
    <row r="4" spans="1:6" x14ac:dyDescent="0.35">
      <c r="A4" t="s">
        <v>17</v>
      </c>
      <c r="B4" s="225" t="str">
        <f>Evaluation!B6</f>
        <v>201A22002/49</v>
      </c>
      <c r="C4" s="225"/>
      <c r="D4" s="225"/>
      <c r="E4" s="225"/>
    </row>
    <row r="7" spans="1:6" x14ac:dyDescent="0.35">
      <c r="A7" s="226" t="s">
        <v>35</v>
      </c>
      <c r="B7" s="226"/>
      <c r="C7" s="226"/>
      <c r="D7" s="226"/>
      <c r="E7" s="226"/>
      <c r="F7" s="226"/>
    </row>
    <row r="8" spans="1:6" x14ac:dyDescent="0.35">
      <c r="A8" s="45" t="s">
        <v>44</v>
      </c>
      <c r="B8" s="46" t="s">
        <v>36</v>
      </c>
      <c r="C8" s="46" t="s">
        <v>45</v>
      </c>
      <c r="D8" s="46" t="s">
        <v>37</v>
      </c>
      <c r="E8" s="46" t="s">
        <v>34</v>
      </c>
      <c r="F8" s="47" t="s">
        <v>14</v>
      </c>
    </row>
    <row r="9" spans="1:6" x14ac:dyDescent="0.35">
      <c r="A9" s="48"/>
      <c r="B9" s="49"/>
      <c r="C9" s="50"/>
      <c r="D9" s="50"/>
      <c r="E9" s="50"/>
      <c r="F9" s="51"/>
    </row>
    <row r="10" spans="1:6" x14ac:dyDescent="0.35">
      <c r="A10" s="48"/>
      <c r="B10" s="49"/>
      <c r="C10" s="50"/>
      <c r="D10" s="50"/>
      <c r="E10" s="50"/>
      <c r="F10" s="51"/>
    </row>
    <row r="11" spans="1:6" x14ac:dyDescent="0.35">
      <c r="A11" s="48"/>
      <c r="B11" s="52"/>
      <c r="C11" s="50"/>
      <c r="D11" s="50"/>
      <c r="E11" s="50"/>
      <c r="F11" s="51"/>
    </row>
    <row r="12" spans="1:6" x14ac:dyDescent="0.35">
      <c r="A12" s="48"/>
      <c r="B12" s="52"/>
      <c r="C12" s="50"/>
      <c r="D12" s="50"/>
      <c r="E12" s="50"/>
      <c r="F12" s="51"/>
    </row>
    <row r="13" spans="1:6" x14ac:dyDescent="0.35">
      <c r="A13" s="48"/>
      <c r="B13" s="52"/>
      <c r="C13" s="50"/>
      <c r="D13" s="50"/>
      <c r="E13" s="50"/>
      <c r="F13" s="51"/>
    </row>
    <row r="14" spans="1:6" x14ac:dyDescent="0.35">
      <c r="A14" s="48"/>
      <c r="B14" s="52"/>
      <c r="C14" s="50"/>
      <c r="D14" s="50"/>
      <c r="E14" s="50"/>
      <c r="F14" s="51"/>
    </row>
    <row r="15" spans="1:6" x14ac:dyDescent="0.35">
      <c r="A15" s="48"/>
      <c r="B15" s="52"/>
      <c r="C15" s="50"/>
      <c r="D15" s="50"/>
      <c r="E15" s="50"/>
      <c r="F15" s="51"/>
    </row>
    <row r="16" spans="1:6" x14ac:dyDescent="0.35">
      <c r="A16" s="53"/>
      <c r="B16" s="54"/>
      <c r="C16" s="55"/>
      <c r="D16" s="55"/>
      <c r="E16" s="55"/>
      <c r="F16" s="56"/>
    </row>
    <row r="17" spans="1:6" x14ac:dyDescent="0.35">
      <c r="A17" s="53" t="s">
        <v>34</v>
      </c>
      <c r="B17" s="54"/>
      <c r="C17" s="55">
        <f>SUBTOTAL(109,Table3[Works Carried Out])</f>
        <v>0</v>
      </c>
      <c r="D17" s="55">
        <f>SUBTOTAL(109,Table3[Day Works])</f>
        <v>0</v>
      </c>
      <c r="E17" s="55">
        <f>SUBTOTAL(109,Table3[Total])</f>
        <v>0</v>
      </c>
      <c r="F17" s="56">
        <f>SUBTOTAL(103,Table3[Remarks])</f>
        <v>0</v>
      </c>
    </row>
    <row r="19" spans="1:6" x14ac:dyDescent="0.35">
      <c r="C19" s="2"/>
      <c r="D19" s="2"/>
      <c r="E19" s="2"/>
    </row>
  </sheetData>
  <mergeCells count="4">
    <mergeCell ref="B2:E2"/>
    <mergeCell ref="B3:E3"/>
    <mergeCell ref="B4:E4"/>
    <mergeCell ref="A7:F7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8618AD-9A50-4434-963A-6252F411E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5FC754-3AA1-488D-923A-7A697FFC5835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B7F562B2-1E0F-4B33-8E9B-96811B9CEF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PA Front Sheet</vt:lpstr>
      <vt:lpstr>Evaluation</vt:lpstr>
      <vt:lpstr>Order References</vt:lpstr>
      <vt:lpstr>Modification</vt:lpstr>
      <vt:lpstr>Manpower</vt:lpstr>
      <vt:lpstr>SCOPE</vt:lpstr>
      <vt:lpstr>PASummary</vt:lpstr>
      <vt:lpstr>Evaluation</vt:lpstr>
      <vt:lpstr>Evaluation!Print_Area</vt:lpstr>
      <vt:lpstr>'PA Front Sheet'!Print_Area</vt:lpstr>
      <vt:lpstr>Evaluation!Print_Titles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James</dc:creator>
  <cp:lastModifiedBy>Himal Kosala</cp:lastModifiedBy>
  <cp:lastPrinted>2022-10-31T11:46:25Z</cp:lastPrinted>
  <dcterms:created xsi:type="dcterms:W3CDTF">2010-10-04T07:20:34Z</dcterms:created>
  <dcterms:modified xsi:type="dcterms:W3CDTF">2022-12-05T04:08:14Z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{BB5FC754-3AA1-488D-923A-7A697FFC5835}</vt:lpwstr>
  </property>
</Properties>
</file>