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 Kosala\Documents\Work\ECON\Omniyat\TAS\September\"/>
    </mc:Choice>
  </mc:AlternateContent>
  <xr:revisionPtr revIDLastSave="0" documentId="13_ncr:1_{D22AC5E4-3588-4074-B7B6-BEC0952F4114}" xr6:coauthVersionLast="47" xr6:coauthVersionMax="47" xr10:uidLastSave="{00000000-0000-0000-0000-000000000000}"/>
  <workbookProtection lockStructure="1"/>
  <bookViews>
    <workbookView xWindow="-108" yWindow="-108" windowWidth="23256" windowHeight="12720" xr2:uid="{00000000-000D-0000-FFFF-FFFF00000000}"/>
  </bookViews>
  <sheets>
    <sheet name="PA Front Sheet" sheetId="9" r:id="rId1"/>
    <sheet name="Evaluation" sheetId="2" r:id="rId2"/>
    <sheet name="Order References" sheetId="11" state="hidden" r:id="rId3"/>
    <sheet name="Modification" sheetId="10" state="hidden" r:id="rId4"/>
    <sheet name="Manpower" sheetId="4" state="hidden" r:id="rId5"/>
    <sheet name="SCOPE" sheetId="7" state="hidden" r:id="rId6"/>
    <sheet name="PASummary" sheetId="6" state="hidden" r:id="rId7"/>
  </sheets>
  <externalReferences>
    <externalReference r:id="rId8"/>
    <externalReference r:id="rId9"/>
    <externalReference r:id="rId10"/>
  </externalReferences>
  <definedNames>
    <definedName name="_xlnm._FilterDatabase" localSheetId="1" hidden="1">Evaluation!$A$9:$AB$19</definedName>
    <definedName name="_xlnm._FilterDatabase" localSheetId="2" hidden="1">'Order References'!$B$2:$H$176</definedName>
    <definedName name="Access_Height" localSheetId="0">[1]!Table7[Access Height]</definedName>
    <definedName name="Access_Height">[2]!Table7[Access Height]</definedName>
    <definedName name="ED_Rate" localSheetId="0">[1]!Table1[[Scaffold Type]:[Min. Dim.]]</definedName>
    <definedName name="ED_Rate">[3]!Table1[[Scaffold Type]:[Min. Dim.]]</definedName>
    <definedName name="Evaluation">Evaluation!$A$9:$AB$19</definedName>
    <definedName name="Hire_Status" localSheetId="0">[1]!Table4[Hire Status]</definedName>
    <definedName name="Hire_Status">[2]!Table4[Hire Status]</definedName>
    <definedName name="Job_Environment" localSheetId="0">[1]!Table5[Job Environment]</definedName>
    <definedName name="Job_Environment">[2]!Table5[Job Environment]</definedName>
    <definedName name="LPO_No.___Ref_No." localSheetId="0">[1]!Table10[#Data]</definedName>
    <definedName name="LPO_No.___Ref_No.">[2]!Table10[#Data]</definedName>
    <definedName name="Material_Rate" localSheetId="0">[1]!Table14[#Data]</definedName>
    <definedName name="Material_Rate">#REF!</definedName>
    <definedName name="Materials" localSheetId="0">[1]!Table11[Material Description]</definedName>
    <definedName name="Materials">[2]!Table11[Material Description]</definedName>
    <definedName name="_xlnm.Print_Area" localSheetId="1">Evaluation!$A$1:$AD$20</definedName>
    <definedName name="_xlnm.Print_Area" localSheetId="0">'PA Front Sheet'!$A$1:$H$38</definedName>
    <definedName name="Production" localSheetId="0">[1]!Table12[Production]</definedName>
    <definedName name="Production">[2]!Table12[Production]</definedName>
    <definedName name="Production_Rate" localSheetId="0">[1]!Table15[#Data]</definedName>
    <definedName name="Production_Rate">#REF!</definedName>
    <definedName name="Scaffold_Type" localSheetId="0">[1]!Table6[Scaffold Type]</definedName>
    <definedName name="Scaffold_Type">[2]!Table6[Scaffold Type]</definedName>
    <definedName name="TAS_Quote" localSheetId="0">[1]!Table10[TAS Quote]</definedName>
    <definedName name="TAS_Quote">[2]!Table10[TAS Quote]</definedName>
    <definedName name="Type_of_Job" localSheetId="0">[1]!Table16[Type of Job]</definedName>
    <definedName name="Type_of_Job">[2]!Table16[Type of Job]</definedName>
    <definedName name="Unit_of_Measure" localSheetId="0">[1]!Table1[[Scaffold Type]:[Unit of Measure]]</definedName>
    <definedName name="Unit_of_Measure">[3]!Table1[[Scaffold Type]:[Unit of Measure]]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9" l="1"/>
  <c r="G16" i="9"/>
  <c r="G18" i="9"/>
  <c r="O19" i="2"/>
  <c r="X19" i="2"/>
  <c r="Z19" i="2"/>
  <c r="W18" i="2"/>
  <c r="O18" i="2"/>
  <c r="W17" i="2"/>
  <c r="W16" i="2"/>
  <c r="O15" i="2"/>
  <c r="O16" i="2"/>
  <c r="X15" i="2"/>
  <c r="X16" i="2"/>
  <c r="Z15" i="2"/>
  <c r="Z16" i="2"/>
  <c r="O11" i="2"/>
  <c r="O12" i="2"/>
  <c r="O13" i="2"/>
  <c r="O14" i="2"/>
  <c r="O17" i="2"/>
  <c r="W13" i="2"/>
  <c r="O10" i="2"/>
  <c r="X13" i="2"/>
  <c r="X14" i="2"/>
  <c r="X17" i="2"/>
  <c r="X18" i="2"/>
  <c r="Z13" i="2"/>
  <c r="Z14" i="2"/>
  <c r="Z17" i="2"/>
  <c r="Z18" i="2"/>
  <c r="X12" i="2"/>
  <c r="Z12" i="2"/>
  <c r="H48" i="11"/>
  <c r="H50" i="11"/>
  <c r="H52" i="11"/>
  <c r="H54" i="11"/>
  <c r="H56" i="11"/>
  <c r="H58" i="11"/>
  <c r="H60" i="11"/>
  <c r="H62" i="11"/>
  <c r="H64" i="11"/>
  <c r="H66" i="11"/>
  <c r="H68" i="11"/>
  <c r="H46" i="11"/>
  <c r="Z10" i="2"/>
  <c r="Z11" i="2"/>
  <c r="X10" i="2"/>
  <c r="X11" i="2"/>
  <c r="E10" i="10" l="1"/>
  <c r="E14" i="10"/>
  <c r="C15" i="10"/>
  <c r="D14" i="10"/>
  <c r="E13" i="10"/>
  <c r="E12" i="10"/>
  <c r="E11" i="10"/>
  <c r="E9" i="10"/>
  <c r="E8" i="10"/>
  <c r="E7" i="10"/>
  <c r="E15" i="10" s="1"/>
  <c r="D15" i="10" l="1"/>
  <c r="E27" i="9" l="1"/>
  <c r="C17" i="6" l="1"/>
  <c r="E17" i="6"/>
  <c r="D17" i="6"/>
  <c r="F17" i="6"/>
  <c r="B4" i="6"/>
  <c r="B3" i="6"/>
  <c r="B2" i="6"/>
  <c r="F12" i="4"/>
  <c r="E12" i="4"/>
  <c r="G12" i="4"/>
  <c r="B1" i="4"/>
  <c r="B4" i="4"/>
  <c r="B2" i="4"/>
  <c r="B3" i="4"/>
  <c r="E20" i="2"/>
  <c r="D20" i="2"/>
  <c r="Z20" i="2" l="1"/>
  <c r="X20" i="2"/>
  <c r="U19" i="2"/>
  <c r="Y19" i="2" s="1"/>
  <c r="AA19" i="2" s="1"/>
  <c r="AC19" i="2" l="1"/>
  <c r="U15" i="2"/>
  <c r="Y15" i="2" s="1"/>
  <c r="AA15" i="2" s="1"/>
  <c r="U16" i="2"/>
  <c r="Y16" i="2" s="1"/>
  <c r="AA16" i="2" s="1"/>
  <c r="U13" i="2"/>
  <c r="Y13" i="2" s="1"/>
  <c r="AA13" i="2" s="1"/>
  <c r="U18" i="2"/>
  <c r="Y18" i="2" s="1"/>
  <c r="AA18" i="2" s="1"/>
  <c r="U14" i="2"/>
  <c r="Y14" i="2" s="1"/>
  <c r="AA14" i="2" s="1"/>
  <c r="U17" i="2"/>
  <c r="Y17" i="2" s="1"/>
  <c r="AA17" i="2" s="1"/>
  <c r="U12" i="2"/>
  <c r="Y12" i="2" s="1"/>
  <c r="AA12" i="2" s="1"/>
  <c r="B5" i="4"/>
  <c r="U11" i="2"/>
  <c r="Y11" i="2" s="1"/>
  <c r="AA11" i="2" s="1"/>
  <c r="U10" i="2"/>
  <c r="Y10" i="2" s="1"/>
  <c r="AA10" i="2" s="1"/>
  <c r="AC14" i="2" l="1"/>
  <c r="AC15" i="2"/>
  <c r="AC17" i="2"/>
  <c r="AC18" i="2"/>
  <c r="AC10" i="2"/>
  <c r="AF10" i="2"/>
  <c r="AC16" i="2"/>
  <c r="AC12" i="2"/>
  <c r="H16" i="9" s="1"/>
  <c r="AF12" i="2"/>
  <c r="AC13" i="2"/>
  <c r="H17" i="9"/>
  <c r="H27" i="9" s="1"/>
  <c r="AC20" i="2"/>
  <c r="AA20" i="2"/>
  <c r="Y20" i="2"/>
  <c r="G27" i="9"/>
  <c r="F2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LGee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LGee:</t>
        </r>
        <r>
          <rPr>
            <sz val="9"/>
            <color indexed="81"/>
            <rFont val="Tahoma"/>
            <family val="2"/>
          </rPr>
          <t xml:space="preserve">
Update these informations</t>
        </r>
      </text>
    </comment>
  </commentList>
</comments>
</file>

<file path=xl/sharedStrings.xml><?xml version="1.0" encoding="utf-8"?>
<sst xmlns="http://schemas.openxmlformats.org/spreadsheetml/2006/main" count="465" uniqueCount="188">
  <si>
    <t>Length</t>
  </si>
  <si>
    <t>Width</t>
  </si>
  <si>
    <t>Height</t>
  </si>
  <si>
    <t>Tag No.</t>
  </si>
  <si>
    <t>HOC</t>
  </si>
  <si>
    <t>OHC</t>
  </si>
  <si>
    <t>Description</t>
  </si>
  <si>
    <t>Board  Lift</t>
  </si>
  <si>
    <t>Quantity</t>
  </si>
  <si>
    <t>Unit of Measure</t>
  </si>
  <si>
    <t>HOC Date</t>
  </si>
  <si>
    <t>OHC Date</t>
  </si>
  <si>
    <t>E&amp;D Rate per unit</t>
  </si>
  <si>
    <t>Billing Reference</t>
  </si>
  <si>
    <t>Remarks</t>
  </si>
  <si>
    <t>Client:</t>
  </si>
  <si>
    <t>Project Name:</t>
  </si>
  <si>
    <t>Contract Ref:</t>
  </si>
  <si>
    <t>Scaffold Type</t>
  </si>
  <si>
    <t>Invoice Schedule</t>
  </si>
  <si>
    <t>Application No.:</t>
  </si>
  <si>
    <t>Site:</t>
  </si>
  <si>
    <t>Number</t>
  </si>
  <si>
    <t>Erect Charges</t>
  </si>
  <si>
    <t>Dismantle Charges</t>
  </si>
  <si>
    <t>Hire Charges</t>
  </si>
  <si>
    <t>Total Amount</t>
  </si>
  <si>
    <t>Dismantle %</t>
  </si>
  <si>
    <t>Erection %</t>
  </si>
  <si>
    <t>Hire %</t>
  </si>
  <si>
    <t>DTS</t>
  </si>
  <si>
    <t>Date</t>
  </si>
  <si>
    <t>Scaffolder</t>
  </si>
  <si>
    <t>Foreman</t>
  </si>
  <si>
    <t>Total</t>
  </si>
  <si>
    <t>PAYMENT APPLICATION SUMMARY</t>
  </si>
  <si>
    <t>Application Date</t>
  </si>
  <si>
    <t>Day Works</t>
  </si>
  <si>
    <t>Hire Rate per week</t>
  </si>
  <si>
    <t>As Of:</t>
  </si>
  <si>
    <t>Modification Hours</t>
  </si>
  <si>
    <t>Net</t>
  </si>
  <si>
    <t>Previous</t>
  </si>
  <si>
    <t>Cumulative</t>
  </si>
  <si>
    <t>Application No.</t>
  </si>
  <si>
    <t>Works Carried Out</t>
  </si>
  <si>
    <t>L</t>
  </si>
  <si>
    <t>W</t>
  </si>
  <si>
    <t>H</t>
  </si>
  <si>
    <t>BL</t>
  </si>
  <si>
    <t>Item Price</t>
  </si>
  <si>
    <t>Period (Wks)</t>
  </si>
  <si>
    <t>Extra Hire per Week</t>
  </si>
  <si>
    <t>Reference</t>
  </si>
  <si>
    <t>SCOPE OF WORKS &amp; ADDITIONAL WORKS RATES</t>
  </si>
  <si>
    <t>Order Reference:</t>
  </si>
  <si>
    <t>unit</t>
  </si>
  <si>
    <t>Khansaheb Civil Engineering LLC</t>
  </si>
  <si>
    <t>Khansaheb Civil Engineering L.L.C.</t>
  </si>
  <si>
    <t>PO Box - 2716</t>
  </si>
  <si>
    <t>Period As on</t>
  </si>
  <si>
    <t>Dubai</t>
  </si>
  <si>
    <t>Type</t>
  </si>
  <si>
    <t>Scaffolding Services</t>
  </si>
  <si>
    <t>United Arab Emirates</t>
  </si>
  <si>
    <t xml:space="preserve">Our Bankers </t>
  </si>
  <si>
    <t>Bank Of Sharjah</t>
  </si>
  <si>
    <t>Tel : 971 04 605 7200</t>
  </si>
  <si>
    <t>Fax : 971 04 285 7539</t>
  </si>
  <si>
    <t>Account  No.</t>
  </si>
  <si>
    <t>013 06 278065 01</t>
  </si>
  <si>
    <t>Previous Invoiced (AED)</t>
  </si>
  <si>
    <t>This Application Value (AED)</t>
  </si>
  <si>
    <t>Total Invoiced Net To Date (AED)</t>
  </si>
  <si>
    <t>Scope Of Work</t>
  </si>
  <si>
    <t>(for Client use only)</t>
  </si>
  <si>
    <t>Authorised Signatory</t>
  </si>
  <si>
    <t>Technical Access Services LLC</t>
  </si>
  <si>
    <t>The above amount is not inclusive of VAT</t>
  </si>
  <si>
    <t>1b</t>
  </si>
  <si>
    <t>Location:</t>
  </si>
  <si>
    <t>Dayworks</t>
  </si>
  <si>
    <t>Hrs</t>
  </si>
  <si>
    <t>Dorchester Hotel &amp; Residences</t>
  </si>
  <si>
    <t>Business Bay</t>
  </si>
  <si>
    <t>Varitaions</t>
  </si>
  <si>
    <t>Level-28/29 Block &amp; Glass Work</t>
  </si>
  <si>
    <t>Founding Level</t>
  </si>
  <si>
    <t>Tas Quote-2439-4-3 rev1</t>
  </si>
  <si>
    <t>Level 28-29</t>
  </si>
  <si>
    <t>201A22002/49</t>
  </si>
  <si>
    <t xml:space="preserve">Dorchester Hotel &amp; Residences (Completion Works)  </t>
  </si>
  <si>
    <t>As On Date:</t>
  </si>
  <si>
    <t>Location</t>
  </si>
  <si>
    <t>E11/K149/SK/dm/213</t>
  </si>
  <si>
    <t>E11/K149/SK/dm/216</t>
  </si>
  <si>
    <t>E11/K149/SK/dm/238</t>
  </si>
  <si>
    <t>E11/K149/SK/dm/239</t>
  </si>
  <si>
    <t>E11/K149/SK/dm/256</t>
  </si>
  <si>
    <t>E11/K149/SK/dm/257</t>
  </si>
  <si>
    <t>E11/K149/SK/dm/259</t>
  </si>
  <si>
    <t>HOTEL</t>
  </si>
  <si>
    <t>RESIDENCE</t>
  </si>
  <si>
    <t xml:space="preserve"> Design-1399-02 rev-D</t>
  </si>
  <si>
    <t>Hire Weeks</t>
  </si>
  <si>
    <t>Hire of Aluminium Tower</t>
  </si>
  <si>
    <t>NA</t>
  </si>
  <si>
    <t xml:space="preserve">TAS/HIRE/4969/SM </t>
  </si>
  <si>
    <t>Rate Card Ref</t>
  </si>
  <si>
    <t>Order Reference</t>
  </si>
  <si>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c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o</t>
    </r>
    <r>
      <rPr>
        <b/>
        <sz val="8"/>
        <color rgb="FF000000"/>
        <rFont val="Arial"/>
        <family val="2"/>
      </rPr>
      <t>l</t>
    </r>
    <r>
      <rPr>
        <b/>
        <sz val="8"/>
        <color rgb="FF000000"/>
        <rFont val="Arial"/>
        <family val="2"/>
      </rPr>
      <t>d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g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y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e</t>
    </r>
  </si>
  <si>
    <t>Fixed Duration</t>
  </si>
  <si>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m</t>
    </r>
  </si>
  <si>
    <r>
      <rPr>
        <b/>
        <sz val="8"/>
        <color rgb="FF000000"/>
        <rFont val="Arial"/>
        <family val="2"/>
      </rPr>
      <t>U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</si>
  <si>
    <r>
      <rPr>
        <b/>
        <sz val="8"/>
        <color rgb="FF000000"/>
        <rFont val="Arial"/>
        <family val="2"/>
      </rPr>
      <t>R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D</t>
    </r>
  </si>
  <si>
    <t>Static tower</t>
  </si>
  <si>
    <t>Erect &amp; Dismantle</t>
  </si>
  <si>
    <t>Rising Meter</t>
  </si>
  <si>
    <t>Hire per day</t>
  </si>
  <si>
    <t>Mobile Tower</t>
  </si>
  <si>
    <t xml:space="preserve">Heavy duty tower </t>
  </si>
  <si>
    <t>Heavy duty tower</t>
  </si>
  <si>
    <t>Independent 1.2m wide</t>
  </si>
  <si>
    <t>M2 (LxH)</t>
  </si>
  <si>
    <t>Independent 1.8m wide</t>
  </si>
  <si>
    <t>Birdcage</t>
  </si>
  <si>
    <t>M3</t>
  </si>
  <si>
    <t>M3/Day</t>
  </si>
  <si>
    <t>Heavy duty birdcage</t>
  </si>
  <si>
    <t>Buttress</t>
  </si>
  <si>
    <t>Boarded lift</t>
  </si>
  <si>
    <t>M2 (LxW)</t>
  </si>
  <si>
    <t>Cantilever (0 &lt; 0.5m width)</t>
  </si>
  <si>
    <t>Cantilever (0.5 &gt; 1.2m width)</t>
  </si>
  <si>
    <t xml:space="preserve">Bridge </t>
  </si>
  <si>
    <t>Linear Meter</t>
  </si>
  <si>
    <t>Counterweight (Scaffold Tubes)</t>
  </si>
  <si>
    <t>Edge protection - A Frame Single</t>
  </si>
  <si>
    <t>Edge protection - A Frame double</t>
  </si>
  <si>
    <t>Edge Protection - Double</t>
  </si>
  <si>
    <t>Edge Protection - Double (Hilti)</t>
  </si>
  <si>
    <t>Netting supply - Beige Colour</t>
  </si>
  <si>
    <t>Supply only</t>
  </si>
  <si>
    <t>Netting install</t>
  </si>
  <si>
    <t>Staircase Supported by structure</t>
  </si>
  <si>
    <t>Staircase supported by Buttress</t>
  </si>
  <si>
    <t>Manpower - Scaffolder</t>
  </si>
  <si>
    <t>Hour</t>
  </si>
  <si>
    <t>Manpower - Foreman</t>
  </si>
  <si>
    <t>Aluminium Tower</t>
  </si>
  <si>
    <t>Set</t>
  </si>
  <si>
    <t>Design - TAS-1399-10A</t>
  </si>
  <si>
    <t>Lumpsum</t>
  </si>
  <si>
    <t>Per Day</t>
  </si>
  <si>
    <t>Design - TAS-1399-7</t>
  </si>
  <si>
    <t>Balcony Scaffold - Type1</t>
  </si>
  <si>
    <t>Balcony Scaffold - Type2</t>
  </si>
  <si>
    <t>Balcony Scaffold - Type3</t>
  </si>
  <si>
    <t>Balcony Scaffold - Type4</t>
  </si>
  <si>
    <t>Balcony Scaffold - Type5</t>
  </si>
  <si>
    <t>Balcony Scaffold - Type6</t>
  </si>
  <si>
    <t>Balcony Scaffold - Type7</t>
  </si>
  <si>
    <t>Design - TAS-1399-02D</t>
  </si>
  <si>
    <t>Design - TAS-1399-06B</t>
  </si>
  <si>
    <t>CONTRACT - 201A22002/49</t>
  </si>
  <si>
    <t>Contract Scope - Progressive Billing</t>
  </si>
  <si>
    <t>Level 30</t>
  </si>
  <si>
    <t>m2-LxW</t>
  </si>
  <si>
    <t>1f</t>
  </si>
  <si>
    <t>Glass Channel Fixing</t>
  </si>
  <si>
    <t>Level 29</t>
  </si>
  <si>
    <t>1h</t>
  </si>
  <si>
    <t>1i</t>
  </si>
  <si>
    <t>1j</t>
  </si>
  <si>
    <t>1k</t>
  </si>
  <si>
    <t>1l</t>
  </si>
  <si>
    <t>Attn: Mr. Saman Kulasooriya</t>
  </si>
  <si>
    <t>Dorchester Hotel &amp; Residences (Completion Works)  - 201A22002/49</t>
  </si>
  <si>
    <t>Contract Ref 201A22002/49</t>
  </si>
  <si>
    <t xml:space="preserve">PAYMENT APPLICATION </t>
  </si>
  <si>
    <t>Application # 1</t>
  </si>
  <si>
    <t>AED : One Hundred Twenty-Seven Thousand Two Hundred Eighty-Five and Thirty-Five Only</t>
  </si>
  <si>
    <t>Certified Amount</t>
  </si>
  <si>
    <t>Remarks2</t>
  </si>
  <si>
    <t>No Supporting for this claim (WA)</t>
  </si>
  <si>
    <t>Certified Amount upto September 2022</t>
  </si>
  <si>
    <t>Payment Limit</t>
  </si>
  <si>
    <t>Remaining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</si>
</sst>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b/>
      <u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name val="Arial"/>
    </font>
    <font>
      <b/>
      <sz val="8"/>
      <color rgb="FF000000"/>
      <name val="Arial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3" tint="-0.249977111117893"/>
      </top>
      <bottom/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>
      <alignment vertical="top"/>
    </xf>
    <xf numFmtId="0" fontId="1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7">
    <xf numFmtId="0" fontId="0" fillId="0" borderId="0" xfId="0"/>
    <xf numFmtId="4" fontId="0" fillId="0" borderId="0" xfId="0" applyNumberFormat="1" applyAlignment="1">
      <alignment horizontal="center" vertical="center"/>
    </xf>
    <xf numFmtId="4" fontId="2" fillId="0" borderId="0" xfId="0" applyNumberFormat="1" applyFont="1"/>
    <xf numFmtId="0" fontId="7" fillId="0" borderId="2" xfId="2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4" xfId="3" applyFont="1" applyFill="1" applyBorder="1" applyAlignment="1">
      <alignment horizontal="center" vertical="center" wrapText="1"/>
    </xf>
    <xf numFmtId="0" fontId="7" fillId="0" borderId="2" xfId="3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7" fillId="0" borderId="0" xfId="0" applyFont="1"/>
    <xf numFmtId="14" fontId="7" fillId="0" borderId="0" xfId="0" applyNumberFormat="1" applyFont="1"/>
    <xf numFmtId="0" fontId="9" fillId="0" borderId="0" xfId="0" applyFont="1" applyAlignment="1">
      <alignment wrapText="1"/>
    </xf>
    <xf numFmtId="0" fontId="7" fillId="0" borderId="9" xfId="4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 wrapText="1"/>
    </xf>
    <xf numFmtId="14" fontId="9" fillId="0" borderId="2" xfId="1" applyNumberFormat="1" applyFont="1" applyFill="1" applyBorder="1" applyAlignment="1">
      <alignment horizontal="center" vertical="center"/>
    </xf>
    <xf numFmtId="9" fontId="9" fillId="0" borderId="2" xfId="6" applyFont="1" applyFill="1" applyBorder="1" applyAlignment="1">
      <alignment horizontal="center" vertical="center"/>
    </xf>
    <xf numFmtId="2" fontId="9" fillId="0" borderId="2" xfId="1" applyNumberFormat="1" applyFont="1" applyFill="1" applyBorder="1" applyAlignment="1">
      <alignment horizontal="center" vertical="center"/>
    </xf>
    <xf numFmtId="4" fontId="9" fillId="0" borderId="2" xfId="3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" fontId="7" fillId="0" borderId="0" xfId="0" applyNumberFormat="1" applyFont="1" applyAlignment="1">
      <alignment wrapText="1"/>
    </xf>
    <xf numFmtId="4" fontId="7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0" borderId="7" xfId="0" applyFont="1" applyBorder="1"/>
    <xf numFmtId="165" fontId="12" fillId="0" borderId="3" xfId="0" applyNumberFormat="1" applyFont="1" applyBorder="1"/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4" fontId="12" fillId="0" borderId="5" xfId="0" applyNumberFormat="1" applyFont="1" applyBorder="1"/>
    <xf numFmtId="0" fontId="12" fillId="0" borderId="18" xfId="0" applyFont="1" applyBorder="1"/>
    <xf numFmtId="165" fontId="12" fillId="0" borderId="19" xfId="0" applyNumberFormat="1" applyFont="1" applyBorder="1"/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4" fontId="12" fillId="0" borderId="20" xfId="0" applyNumberFormat="1" applyFont="1" applyBorder="1"/>
    <xf numFmtId="0" fontId="12" fillId="0" borderId="19" xfId="0" applyFont="1" applyBorder="1"/>
    <xf numFmtId="0" fontId="12" fillId="0" borderId="20" xfId="0" applyFont="1" applyBorder="1"/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2" fillId="0" borderId="21" xfId="0" applyFont="1" applyBorder="1"/>
    <xf numFmtId="14" fontId="12" fillId="0" borderId="1" xfId="0" applyNumberFormat="1" applyFont="1" applyBorder="1"/>
    <xf numFmtId="4" fontId="12" fillId="0" borderId="1" xfId="0" applyNumberFormat="1" applyFont="1" applyBorder="1"/>
    <xf numFmtId="0" fontId="12" fillId="0" borderId="22" xfId="0" applyFont="1" applyBorder="1"/>
    <xf numFmtId="0" fontId="12" fillId="0" borderId="1" xfId="0" applyFont="1" applyBorder="1"/>
    <xf numFmtId="0" fontId="12" fillId="0" borderId="26" xfId="0" applyFont="1" applyBorder="1"/>
    <xf numFmtId="0" fontId="12" fillId="0" borderId="27" xfId="0" applyFont="1" applyBorder="1"/>
    <xf numFmtId="4" fontId="12" fillId="0" borderId="27" xfId="0" applyNumberFormat="1" applyFont="1" applyBorder="1"/>
    <xf numFmtId="0" fontId="12" fillId="0" borderId="28" xfId="0" applyFont="1" applyBorder="1"/>
    <xf numFmtId="0" fontId="1" fillId="0" borderId="0" xfId="13"/>
    <xf numFmtId="0" fontId="14" fillId="0" borderId="33" xfId="12" applyFont="1" applyBorder="1" applyAlignment="1">
      <alignment vertical="center"/>
    </xf>
    <xf numFmtId="14" fontId="14" fillId="0" borderId="5" xfId="12" applyNumberFormat="1" applyFont="1" applyBorder="1" applyAlignment="1">
      <alignment horizontal="left" vertical="center"/>
    </xf>
    <xf numFmtId="0" fontId="14" fillId="0" borderId="35" xfId="12" applyFont="1" applyBorder="1" applyAlignment="1">
      <alignment vertical="center"/>
    </xf>
    <xf numFmtId="0" fontId="14" fillId="0" borderId="0" xfId="12" applyFont="1" applyAlignment="1">
      <alignment vertical="center"/>
    </xf>
    <xf numFmtId="17" fontId="14" fillId="0" borderId="34" xfId="12" applyNumberFormat="1" applyFont="1" applyBorder="1" applyAlignment="1">
      <alignment horizontal="left" vertical="center"/>
    </xf>
    <xf numFmtId="0" fontId="14" fillId="0" borderId="5" xfId="12" applyFont="1" applyBorder="1" applyAlignment="1">
      <alignment horizontal="left" vertical="center"/>
    </xf>
    <xf numFmtId="0" fontId="14" fillId="0" borderId="34" xfId="12" applyFont="1" applyBorder="1" applyAlignment="1">
      <alignment horizontal="left" vertical="center"/>
    </xf>
    <xf numFmtId="0" fontId="14" fillId="0" borderId="36" xfId="12" applyFont="1" applyBorder="1" applyAlignment="1">
      <alignment horizontal="left" vertical="center"/>
    </xf>
    <xf numFmtId="0" fontId="14" fillId="0" borderId="20" xfId="12" applyFont="1" applyBorder="1" applyAlignment="1">
      <alignment horizontal="left" vertical="center"/>
    </xf>
    <xf numFmtId="0" fontId="14" fillId="0" borderId="37" xfId="12" applyFont="1" applyBorder="1" applyAlignment="1">
      <alignment horizontal="left" vertical="center"/>
    </xf>
    <xf numFmtId="0" fontId="14" fillId="0" borderId="38" xfId="12" applyFont="1" applyBorder="1" applyAlignment="1">
      <alignment horizontal="left" vertical="center"/>
    </xf>
    <xf numFmtId="0" fontId="14" fillId="0" borderId="29" xfId="12" applyFont="1" applyBorder="1" applyAlignment="1">
      <alignment horizontal="left" vertical="center"/>
    </xf>
    <xf numFmtId="0" fontId="14" fillId="0" borderId="39" xfId="12" applyFont="1" applyBorder="1" applyAlignment="1">
      <alignment horizontal="left" vertical="center"/>
    </xf>
    <xf numFmtId="0" fontId="14" fillId="0" borderId="35" xfId="12" applyFont="1" applyBorder="1"/>
    <xf numFmtId="0" fontId="14" fillId="0" borderId="0" xfId="12" applyFont="1"/>
    <xf numFmtId="0" fontId="14" fillId="0" borderId="35" xfId="12" applyFont="1" applyBorder="1" applyAlignment="1">
      <alignment horizontal="left"/>
    </xf>
    <xf numFmtId="0" fontId="15" fillId="6" borderId="30" xfId="13" applyFont="1" applyFill="1" applyBorder="1" applyAlignment="1">
      <alignment horizontal="center" vertical="center" wrapText="1"/>
    </xf>
    <xf numFmtId="4" fontId="15" fillId="6" borderId="43" xfId="13" applyNumberFormat="1" applyFont="1" applyFill="1" applyBorder="1" applyAlignment="1">
      <alignment horizontal="center" vertical="center" wrapText="1"/>
    </xf>
    <xf numFmtId="4" fontId="15" fillId="6" borderId="32" xfId="13" applyNumberFormat="1" applyFont="1" applyFill="1" applyBorder="1" applyAlignment="1">
      <alignment horizontal="center" vertical="center" wrapText="1"/>
    </xf>
    <xf numFmtId="0" fontId="14" fillId="0" borderId="44" xfId="12" applyFont="1" applyBorder="1" applyAlignment="1">
      <alignment vertical="center"/>
    </xf>
    <xf numFmtId="43" fontId="14" fillId="0" borderId="44" xfId="14" applyFont="1" applyBorder="1" applyAlignment="1">
      <alignment vertical="center"/>
    </xf>
    <xf numFmtId="0" fontId="14" fillId="0" borderId="35" xfId="12" applyFont="1" applyBorder="1" applyAlignment="1">
      <alignment horizontal="center" vertical="center"/>
    </xf>
    <xf numFmtId="0" fontId="14" fillId="0" borderId="0" xfId="12" applyFont="1" applyAlignment="1">
      <alignment horizontal="center" vertical="center"/>
    </xf>
    <xf numFmtId="43" fontId="14" fillId="0" borderId="35" xfId="14" applyFont="1" applyBorder="1" applyAlignment="1">
      <alignment horizontal="center" vertical="center"/>
    </xf>
    <xf numFmtId="43" fontId="14" fillId="0" borderId="44" xfId="14" applyFont="1" applyBorder="1" applyAlignment="1"/>
    <xf numFmtId="164" fontId="1" fillId="0" borderId="0" xfId="13" applyNumberFormat="1"/>
    <xf numFmtId="0" fontId="14" fillId="0" borderId="39" xfId="12" applyFont="1" applyBorder="1"/>
    <xf numFmtId="0" fontId="14" fillId="0" borderId="40" xfId="12" applyFont="1" applyBorder="1"/>
    <xf numFmtId="0" fontId="14" fillId="0" borderId="41" xfId="12" applyFont="1" applyBorder="1"/>
    <xf numFmtId="0" fontId="14" fillId="0" borderId="42" xfId="12" applyFont="1" applyBorder="1"/>
    <xf numFmtId="43" fontId="14" fillId="0" borderId="43" xfId="12" applyNumberFormat="1" applyFont="1" applyBorder="1" applyAlignment="1">
      <alignment vertical="center" wrapText="1"/>
    </xf>
    <xf numFmtId="0" fontId="14" fillId="0" borderId="35" xfId="12" applyFont="1" applyBorder="1" applyAlignment="1">
      <alignment horizontal="left" vertical="center"/>
    </xf>
    <xf numFmtId="0" fontId="14" fillId="0" borderId="0" xfId="12" applyFont="1" applyAlignment="1">
      <alignment horizontal="left" vertical="center"/>
    </xf>
    <xf numFmtId="49" fontId="9" fillId="0" borderId="8" xfId="2" applyNumberFormat="1" applyFont="1" applyFill="1" applyBorder="1" applyAlignment="1">
      <alignment horizontal="center" vertical="center"/>
    </xf>
    <xf numFmtId="0" fontId="9" fillId="0" borderId="2" xfId="2" applyNumberFormat="1" applyFont="1" applyFill="1" applyBorder="1" applyAlignment="1">
      <alignment horizontal="center" vertical="center"/>
    </xf>
    <xf numFmtId="0" fontId="16" fillId="0" borderId="0" xfId="0" applyFont="1"/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7" xfId="0" applyBorder="1"/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1" fillId="0" borderId="18" xfId="0" applyFont="1" applyBorder="1"/>
    <xf numFmtId="165" fontId="1" fillId="0" borderId="19" xfId="0" applyNumberFormat="1" applyFont="1" applyBorder="1"/>
    <xf numFmtId="0" fontId="1" fillId="0" borderId="19" xfId="0" applyFont="1" applyBorder="1" applyAlignment="1">
      <alignment horizontal="center" vertical="center"/>
    </xf>
    <xf numFmtId="4" fontId="1" fillId="0" borderId="19" xfId="0" applyNumberFormat="1" applyFont="1" applyBorder="1" applyAlignment="1">
      <alignment horizontal="right"/>
    </xf>
    <xf numFmtId="4" fontId="0" fillId="0" borderId="19" xfId="0" applyNumberFormat="1" applyBorder="1" applyAlignment="1">
      <alignment horizontal="right"/>
    </xf>
    <xf numFmtId="0" fontId="1" fillId="0" borderId="7" xfId="0" applyFont="1" applyBorder="1"/>
    <xf numFmtId="0" fontId="1" fillId="0" borderId="3" xfId="0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right"/>
    </xf>
    <xf numFmtId="4" fontId="0" fillId="0" borderId="19" xfId="0" applyNumberFormat="1" applyBorder="1"/>
    <xf numFmtId="14" fontId="0" fillId="0" borderId="3" xfId="0" applyNumberFormat="1" applyBorder="1"/>
    <xf numFmtId="0" fontId="0" fillId="0" borderId="19" xfId="0" applyBorder="1"/>
    <xf numFmtId="14" fontId="1" fillId="0" borderId="3" xfId="0" applyNumberFormat="1" applyFont="1" applyBorder="1"/>
    <xf numFmtId="0" fontId="17" fillId="0" borderId="3" xfId="12" applyFont="1" applyBorder="1" applyAlignment="1">
      <alignment horizontal="center" vertical="center"/>
    </xf>
    <xf numFmtId="49" fontId="19" fillId="0" borderId="8" xfId="2" applyNumberFormat="1" applyFont="1" applyFill="1" applyBorder="1" applyAlignment="1">
      <alignment horizontal="center" vertical="center"/>
    </xf>
    <xf numFmtId="0" fontId="19" fillId="0" borderId="2" xfId="2" applyFont="1" applyFill="1" applyBorder="1" applyAlignment="1">
      <alignment horizontal="center" vertical="center"/>
    </xf>
    <xf numFmtId="0" fontId="19" fillId="0" borderId="2" xfId="2" applyFont="1" applyFill="1" applyBorder="1" applyAlignment="1">
      <alignment horizontal="center" vertical="center" wrapText="1"/>
    </xf>
    <xf numFmtId="0" fontId="19" fillId="0" borderId="2" xfId="2" applyNumberFormat="1" applyFont="1" applyFill="1" applyBorder="1" applyAlignment="1">
      <alignment horizontal="center" vertical="center"/>
    </xf>
    <xf numFmtId="9" fontId="19" fillId="0" borderId="2" xfId="6" applyFont="1" applyFill="1" applyBorder="1" applyAlignment="1">
      <alignment horizontal="center" vertical="center"/>
    </xf>
    <xf numFmtId="2" fontId="19" fillId="0" borderId="2" xfId="1" applyNumberFormat="1" applyFont="1" applyFill="1" applyBorder="1" applyAlignment="1">
      <alignment horizontal="center" vertical="center"/>
    </xf>
    <xf numFmtId="4" fontId="19" fillId="0" borderId="2" xfId="3" applyNumberFormat="1" applyFont="1" applyFill="1" applyBorder="1" applyAlignment="1">
      <alignment horizontal="center" vertical="center"/>
    </xf>
    <xf numFmtId="0" fontId="19" fillId="0" borderId="9" xfId="4" applyFont="1" applyFill="1" applyBorder="1" applyAlignment="1">
      <alignment horizontal="center" vertical="center"/>
    </xf>
    <xf numFmtId="0" fontId="20" fillId="0" borderId="45" xfId="12" applyFont="1" applyBorder="1" applyAlignment="1">
      <alignment horizontal="center" vertical="center" wrapText="1"/>
    </xf>
    <xf numFmtId="0" fontId="20" fillId="0" borderId="46" xfId="12" applyFont="1" applyBorder="1" applyAlignment="1">
      <alignment horizontal="center" vertical="center" wrapText="1"/>
    </xf>
    <xf numFmtId="4" fontId="20" fillId="0" borderId="47" xfId="12" applyNumberFormat="1" applyFont="1" applyBorder="1" applyAlignment="1">
      <alignment horizontal="center" vertical="center" wrapText="1"/>
    </xf>
    <xf numFmtId="0" fontId="17" fillId="0" borderId="48" xfId="12" applyFont="1" applyBorder="1" applyAlignment="1">
      <alignment horizontal="center" vertical="center"/>
    </xf>
    <xf numFmtId="4" fontId="17" fillId="0" borderId="49" xfId="12" applyNumberFormat="1" applyFont="1" applyBorder="1" applyAlignment="1">
      <alignment horizontal="center" vertical="center"/>
    </xf>
    <xf numFmtId="0" fontId="17" fillId="0" borderId="50" xfId="12" applyFont="1" applyBorder="1" applyAlignment="1">
      <alignment horizontal="center" vertical="center"/>
    </xf>
    <xf numFmtId="4" fontId="17" fillId="0" borderId="51" xfId="12" applyNumberFormat="1" applyFont="1" applyBorder="1" applyAlignment="1">
      <alignment horizontal="center" vertical="center"/>
    </xf>
    <xf numFmtId="14" fontId="9" fillId="0" borderId="0" xfId="0" applyNumberFormat="1" applyFont="1"/>
    <xf numFmtId="14" fontId="7" fillId="0" borderId="2" xfId="1" applyNumberFormat="1" applyFont="1" applyFill="1" applyBorder="1" applyAlignment="1">
      <alignment horizontal="center" vertical="center" wrapText="1"/>
    </xf>
    <xf numFmtId="14" fontId="19" fillId="0" borderId="2" xfId="1" applyNumberFormat="1" applyFont="1" applyFill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14" fontId="0" fillId="0" borderId="0" xfId="0" applyNumberFormat="1"/>
    <xf numFmtId="0" fontId="14" fillId="0" borderId="35" xfId="12" applyFont="1" applyBorder="1" applyAlignment="1">
      <alignment horizontal="center" vertical="center" wrapText="1"/>
    </xf>
    <xf numFmtId="0" fontId="14" fillId="0" borderId="39" xfId="12" applyFont="1" applyBorder="1" applyAlignment="1">
      <alignment horizontal="center" vertical="center" wrapText="1"/>
    </xf>
    <xf numFmtId="0" fontId="14" fillId="0" borderId="0" xfId="12" applyFont="1" applyAlignment="1">
      <alignment horizontal="center" vertical="center" wrapText="1"/>
    </xf>
    <xf numFmtId="0" fontId="13" fillId="0" borderId="35" xfId="12" applyFont="1" applyBorder="1" applyAlignment="1">
      <alignment vertical="center"/>
    </xf>
    <xf numFmtId="0" fontId="14" fillId="0" borderId="52" xfId="12" applyFont="1" applyBorder="1" applyAlignment="1">
      <alignment vertical="center"/>
    </xf>
    <xf numFmtId="14" fontId="14" fillId="0" borderId="14" xfId="12" applyNumberFormat="1" applyFont="1" applyBorder="1" applyAlignment="1">
      <alignment horizontal="left" vertical="center"/>
    </xf>
    <xf numFmtId="14" fontId="14" fillId="0" borderId="53" xfId="12" applyNumberFormat="1" applyFont="1" applyBorder="1" applyAlignment="1">
      <alignment horizontal="left" vertical="center"/>
    </xf>
    <xf numFmtId="4" fontId="19" fillId="7" borderId="2" xfId="3" applyNumberFormat="1" applyFont="1" applyFill="1" applyBorder="1" applyAlignment="1">
      <alignment horizontal="center" vertical="center"/>
    </xf>
    <xf numFmtId="4" fontId="19" fillId="7" borderId="4" xfId="3" applyNumberFormat="1" applyFont="1" applyFill="1" applyBorder="1" applyAlignment="1">
      <alignment horizontal="center" vertical="center"/>
    </xf>
    <xf numFmtId="4" fontId="19" fillId="7" borderId="11" xfId="3" applyNumberFormat="1" applyFont="1" applyFill="1" applyBorder="1" applyAlignment="1">
      <alignment horizontal="center" vertical="center"/>
    </xf>
    <xf numFmtId="0" fontId="23" fillId="7" borderId="4" xfId="3" applyFont="1" applyFill="1" applyBorder="1" applyAlignment="1">
      <alignment horizontal="center" vertical="center" wrapText="1"/>
    </xf>
    <xf numFmtId="0" fontId="19" fillId="7" borderId="0" xfId="3" applyFont="1" applyFill="1" applyAlignment="1">
      <alignment horizontal="center" vertical="center"/>
    </xf>
    <xf numFmtId="0" fontId="19" fillId="7" borderId="0" xfId="3" applyFont="1" applyFill="1" applyAlignment="1">
      <alignment horizontal="center" vertical="center" wrapText="1"/>
    </xf>
    <xf numFmtId="0" fontId="21" fillId="0" borderId="54" xfId="12" applyFont="1" applyBorder="1" applyAlignment="1">
      <alignment horizontal="center" vertical="center"/>
    </xf>
    <xf numFmtId="0" fontId="22" fillId="0" borderId="54" xfId="12" applyFont="1" applyBorder="1" applyAlignment="1">
      <alignment horizontal="center" vertical="center"/>
    </xf>
    <xf numFmtId="0" fontId="13" fillId="0" borderId="38" xfId="12" applyFont="1" applyBorder="1" applyAlignment="1">
      <alignment vertical="center"/>
    </xf>
    <xf numFmtId="0" fontId="14" fillId="0" borderId="38" xfId="12" applyFont="1" applyBorder="1" applyAlignment="1">
      <alignment vertical="center"/>
    </xf>
    <xf numFmtId="0" fontId="14" fillId="0" borderId="38" xfId="12" applyFont="1" applyBorder="1"/>
    <xf numFmtId="0" fontId="13" fillId="0" borderId="54" xfId="12" applyFont="1" applyBorder="1" applyAlignment="1">
      <alignment horizontal="left"/>
    </xf>
    <xf numFmtId="43" fontId="9" fillId="0" borderId="0" xfId="15" applyFont="1"/>
    <xf numFmtId="43" fontId="23" fillId="7" borderId="4" xfId="15" applyFont="1" applyFill="1" applyBorder="1" applyAlignment="1">
      <alignment horizontal="center" vertical="center" wrapText="1"/>
    </xf>
    <xf numFmtId="43" fontId="19" fillId="7" borderId="0" xfId="15" applyFont="1" applyFill="1" applyAlignment="1">
      <alignment horizontal="center" vertical="center"/>
    </xf>
    <xf numFmtId="43" fontId="9" fillId="0" borderId="11" xfId="15" applyFont="1" applyBorder="1" applyAlignment="1">
      <alignment horizontal="center" vertical="center"/>
    </xf>
    <xf numFmtId="43" fontId="19" fillId="7" borderId="0" xfId="3" applyNumberFormat="1" applyFont="1" applyFill="1" applyAlignment="1">
      <alignment horizontal="center" vertical="center"/>
    </xf>
    <xf numFmtId="0" fontId="12" fillId="0" borderId="57" xfId="0" applyFont="1" applyBorder="1"/>
    <xf numFmtId="0" fontId="14" fillId="0" borderId="15" xfId="12" applyFont="1" applyBorder="1" applyAlignment="1">
      <alignment horizontal="center" vertical="center"/>
    </xf>
    <xf numFmtId="0" fontId="14" fillId="0" borderId="16" xfId="12" applyFont="1" applyBorder="1" applyAlignment="1">
      <alignment horizontal="center" vertical="center"/>
    </xf>
    <xf numFmtId="0" fontId="14" fillId="0" borderId="15" xfId="12" applyFont="1" applyBorder="1" applyAlignment="1">
      <alignment horizontal="left" vertical="center"/>
    </xf>
    <xf numFmtId="0" fontId="14" fillId="0" borderId="16" xfId="12" applyFont="1" applyBorder="1" applyAlignment="1">
      <alignment horizontal="left" vertical="center"/>
    </xf>
    <xf numFmtId="0" fontId="14" fillId="0" borderId="17" xfId="12" applyFont="1" applyBorder="1" applyAlignment="1">
      <alignment horizontal="left" vertical="center"/>
    </xf>
    <xf numFmtId="0" fontId="14" fillId="0" borderId="35" xfId="12" applyFont="1" applyBorder="1" applyAlignment="1">
      <alignment horizontal="right"/>
    </xf>
    <xf numFmtId="0" fontId="14" fillId="0" borderId="0" xfId="12" applyFont="1" applyAlignment="1">
      <alignment horizontal="right"/>
    </xf>
    <xf numFmtId="0" fontId="14" fillId="0" borderId="39" xfId="12" applyFont="1" applyBorder="1" applyAlignment="1">
      <alignment horizontal="right"/>
    </xf>
    <xf numFmtId="0" fontId="14" fillId="0" borderId="35" xfId="12" applyFont="1" applyBorder="1" applyAlignment="1">
      <alignment horizontal="center"/>
    </xf>
    <xf numFmtId="0" fontId="14" fillId="0" borderId="0" xfId="12" applyFont="1" applyAlignment="1">
      <alignment horizontal="center"/>
    </xf>
    <xf numFmtId="0" fontId="14" fillId="0" borderId="39" xfId="12" applyFont="1" applyBorder="1" applyAlignment="1">
      <alignment horizontal="center"/>
    </xf>
    <xf numFmtId="0" fontId="14" fillId="0" borderId="30" xfId="12" applyFont="1" applyBorder="1" applyAlignment="1">
      <alignment horizontal="center" vertical="center" wrapText="1"/>
    </xf>
    <xf numFmtId="0" fontId="14" fillId="0" borderId="31" xfId="12" applyFont="1" applyBorder="1" applyAlignment="1">
      <alignment horizontal="center" vertical="center" wrapText="1"/>
    </xf>
    <xf numFmtId="0" fontId="14" fillId="0" borderId="30" xfId="12" applyFont="1" applyBorder="1" applyAlignment="1">
      <alignment horizontal="left" vertical="center" wrapText="1"/>
    </xf>
    <xf numFmtId="0" fontId="14" fillId="0" borderId="31" xfId="12" applyFont="1" applyBorder="1" applyAlignment="1">
      <alignment horizontal="left" vertical="center"/>
    </xf>
    <xf numFmtId="0" fontId="14" fillId="0" borderId="32" xfId="12" applyFont="1" applyBorder="1" applyAlignment="1">
      <alignment horizontal="left" vertical="center"/>
    </xf>
    <xf numFmtId="0" fontId="14" fillId="0" borderId="55" xfId="12" applyFont="1" applyBorder="1" applyAlignment="1">
      <alignment horizontal="center" vertical="center" wrapText="1"/>
    </xf>
    <xf numFmtId="0" fontId="14" fillId="0" borderId="56" xfId="12" applyFont="1" applyBorder="1" applyAlignment="1">
      <alignment horizontal="center" vertical="center" wrapText="1"/>
    </xf>
    <xf numFmtId="0" fontId="21" fillId="0" borderId="30" xfId="12" applyFont="1" applyBorder="1" applyAlignment="1">
      <alignment horizontal="center" vertical="center"/>
    </xf>
    <xf numFmtId="0" fontId="21" fillId="0" borderId="31" xfId="12" applyFont="1" applyBorder="1" applyAlignment="1">
      <alignment horizontal="center" vertical="center"/>
    </xf>
    <xf numFmtId="0" fontId="21" fillId="0" borderId="32" xfId="12" applyFont="1" applyBorder="1" applyAlignment="1">
      <alignment horizontal="center" vertical="center"/>
    </xf>
    <xf numFmtId="0" fontId="14" fillId="0" borderId="35" xfId="12" applyFont="1" applyBorder="1"/>
    <xf numFmtId="0" fontId="14" fillId="0" borderId="0" xfId="12" applyFont="1"/>
    <xf numFmtId="0" fontId="14" fillId="0" borderId="29" xfId="12" applyFont="1" applyBorder="1" applyAlignment="1">
      <alignment horizontal="left"/>
    </xf>
    <xf numFmtId="0" fontId="14" fillId="0" borderId="39" xfId="12" applyFont="1" applyBorder="1" applyAlignment="1">
      <alignment horizontal="left"/>
    </xf>
    <xf numFmtId="0" fontId="13" fillId="0" borderId="30" xfId="12" applyFont="1" applyBorder="1" applyAlignment="1">
      <alignment horizontal="left"/>
    </xf>
    <xf numFmtId="0" fontId="13" fillId="0" borderId="31" xfId="12" applyFont="1" applyBorder="1" applyAlignment="1">
      <alignment horizontal="left"/>
    </xf>
    <xf numFmtId="0" fontId="13" fillId="0" borderId="32" xfId="12" applyFont="1" applyBorder="1" applyAlignment="1">
      <alignment horizontal="left"/>
    </xf>
    <xf numFmtId="0" fontId="14" fillId="0" borderId="15" xfId="12" applyFont="1" applyBorder="1" applyAlignment="1">
      <alignment horizontal="center" vertical="center" wrapText="1"/>
    </xf>
    <xf numFmtId="0" fontId="14" fillId="0" borderId="16" xfId="12" applyFont="1" applyBorder="1" applyAlignment="1">
      <alignment horizontal="center" vertical="center" wrapText="1"/>
    </xf>
    <xf numFmtId="0" fontId="14" fillId="0" borderId="17" xfId="12" applyFont="1" applyBorder="1" applyAlignment="1">
      <alignment horizontal="center" vertical="center" wrapText="1"/>
    </xf>
    <xf numFmtId="0" fontId="14" fillId="0" borderId="40" xfId="12" applyFont="1" applyBorder="1" applyAlignment="1">
      <alignment horizontal="center" vertical="center" wrapText="1"/>
    </xf>
    <xf numFmtId="0" fontId="14" fillId="0" borderId="41" xfId="12" applyFont="1" applyBorder="1" applyAlignment="1">
      <alignment horizontal="center" vertical="center" wrapText="1"/>
    </xf>
    <xf numFmtId="0" fontId="14" fillId="0" borderId="42" xfId="12" applyFont="1" applyBorder="1" applyAlignment="1">
      <alignment horizontal="center" vertical="center" wrapText="1"/>
    </xf>
    <xf numFmtId="0" fontId="14" fillId="6" borderId="30" xfId="12" applyFont="1" applyFill="1" applyBorder="1" applyAlignment="1">
      <alignment horizontal="center" vertical="center"/>
    </xf>
    <xf numFmtId="0" fontId="14" fillId="6" borderId="31" xfId="12" applyFont="1" applyFill="1" applyBorder="1" applyAlignment="1">
      <alignment horizontal="center" vertical="center"/>
    </xf>
    <xf numFmtId="0" fontId="14" fillId="0" borderId="35" xfId="12" applyFont="1" applyBorder="1" applyAlignment="1">
      <alignment horizontal="center" vertical="center"/>
    </xf>
    <xf numFmtId="0" fontId="14" fillId="0" borderId="0" xfId="12" applyFont="1" applyAlignment="1">
      <alignment horizontal="center" vertical="center"/>
    </xf>
    <xf numFmtId="0" fontId="14" fillId="0" borderId="39" xfId="12" applyFont="1" applyBorder="1" applyAlignment="1">
      <alignment horizontal="center" vertical="center"/>
    </xf>
    <xf numFmtId="0" fontId="14" fillId="0" borderId="35" xfId="12" applyFont="1" applyBorder="1" applyAlignment="1">
      <alignment horizontal="center" vertical="center" wrapText="1"/>
    </xf>
    <xf numFmtId="0" fontId="14" fillId="0" borderId="0" xfId="12" applyFont="1" applyAlignment="1">
      <alignment horizontal="center" vertical="center" wrapText="1"/>
    </xf>
    <xf numFmtId="0" fontId="14" fillId="0" borderId="39" xfId="12" applyFont="1" applyBorder="1" applyAlignment="1">
      <alignment horizontal="center" vertical="center" wrapText="1"/>
    </xf>
    <xf numFmtId="0" fontId="22" fillId="0" borderId="30" xfId="12" applyFont="1" applyBorder="1" applyAlignment="1">
      <alignment horizontal="center" vertical="center"/>
    </xf>
    <xf numFmtId="0" fontId="22" fillId="0" borderId="31" xfId="12" applyFont="1" applyBorder="1" applyAlignment="1">
      <alignment horizontal="center" vertical="center"/>
    </xf>
    <xf numFmtId="0" fontId="22" fillId="0" borderId="32" xfId="12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</cellXfs>
  <cellStyles count="16">
    <cellStyle name="20% - Accent4" xfId="2" builtinId="42"/>
    <cellStyle name="40% - Accent3" xfId="1" builtinId="39"/>
    <cellStyle name="40% - Accent5" xfId="3" builtinId="47"/>
    <cellStyle name="40% - Accent6" xfId="4" builtinId="51"/>
    <cellStyle name="Comma" xfId="15" builtinId="3"/>
    <cellStyle name="Comma 2" xfId="5" xr:uid="{00000000-0005-0000-0000-000004000000}"/>
    <cellStyle name="Comma 2 2" xfId="8" xr:uid="{00000000-0005-0000-0000-000005000000}"/>
    <cellStyle name="Comma 2 3" xfId="14" xr:uid="{00000000-0005-0000-0000-000006000000}"/>
    <cellStyle name="Comma 3" xfId="9" xr:uid="{00000000-0005-0000-0000-000007000000}"/>
    <cellStyle name="Comma 4" xfId="7" xr:uid="{00000000-0005-0000-0000-000008000000}"/>
    <cellStyle name="Normal" xfId="0" builtinId="0"/>
    <cellStyle name="Normal 2" xfId="10" xr:uid="{00000000-0005-0000-0000-00000A000000}"/>
    <cellStyle name="Normal 2 2" xfId="12" xr:uid="{00000000-0005-0000-0000-00000B000000}"/>
    <cellStyle name="Normal 3" xfId="13" xr:uid="{00000000-0005-0000-0000-00000C000000}"/>
    <cellStyle name="Normal 6" xfId="11" xr:uid="{00000000-0005-0000-0000-00000D000000}"/>
    <cellStyle name="Percent" xfId="6" builtinId="5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top style="thin">
          <color theme="3" tint="0.39997558519241921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righ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5" formatCode="_(* #,##0.00_);_(* \(#,##0.00\);_(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border outline="0">
        <top style="thin">
          <color theme="3" tint="-0.249977111117893"/>
        </top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left style="thin">
          <color theme="3" tint="-0.249977111117893"/>
        </left>
        <right style="thin">
          <color theme="3" tint="-0.249977111117893"/>
        </right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3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/>
        <bottom/>
      </border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694766</xdr:colOff>
      <xdr:row>1</xdr:row>
      <xdr:rowOff>228920</xdr:rowOff>
    </xdr:from>
    <xdr:to>
      <xdr:col>27</xdr:col>
      <xdr:colOff>1556818</xdr:colOff>
      <xdr:row>7</xdr:row>
      <xdr:rowOff>34313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51854" y="408214"/>
          <a:ext cx="1915405" cy="10492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20\TAS_Projects\Users\Danreb%20Pastorin\Desktop\May'17\Ajman%20City%20Centre_May'2017%20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July'2019/LOR%20EXPO2020%20Dayworks%20July'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Payment%20Application%20Form%20K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E11.Rev1"/>
      <sheetName val="Dayworks - May'17"/>
      <sheetName val="Frontsheet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Ajman City Centre_May'2017 In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Dayworks"/>
      <sheetName val="Summary"/>
      <sheetName val="Masterkey"/>
      <sheetName val="LOR EXPO2020 Dayworks July'2019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g Details Checking"/>
      <sheetName val="OHC no HOC"/>
      <sheetName val="Scientechnic"/>
      <sheetName val="ACC"/>
      <sheetName val="jumeirah villa"/>
      <sheetName val="Jadaf"/>
      <sheetName val="leader sports (2)"/>
      <sheetName val="leader sports"/>
      <sheetName val="leader sports Manpower Supply"/>
      <sheetName val="DIFC"/>
      <sheetName val="MAF VILLA"/>
      <sheetName val="Jadaf (2)"/>
      <sheetName val="OH Paper"/>
      <sheetName val="E11"/>
      <sheetName val="CR#4"/>
      <sheetName val="ERP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Payment Application Form K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AF20" totalsRowCount="1" headerRowDxfId="121" dataDxfId="119" totalsRowDxfId="117" headerRowBorderDxfId="120" tableBorderDxfId="118" totalsRowBorderDxfId="116" headerRowCellStyle="40% - Accent5" dataCellStyle="40% - Accent5">
  <autoFilter ref="A9:AF19" xr:uid="{00000000-0009-0000-0100-000001000000}">
    <filterColumn colId="0">
      <filters>
        <filter val="E11/K149/SK/dm/213"/>
        <filter val="E11/K149/SK/dm/216"/>
        <filter val="E11/K149/SK/dm/257"/>
      </filters>
    </filterColumn>
  </autoFilter>
  <tableColumns count="32">
    <tableColumn id="1" xr3:uid="{00000000-0010-0000-0000-000001000000}" name="Billing Reference" totalsRowLabel="Total" dataDxfId="115" totalsRowDxfId="114" dataCellStyle="20% - Accent4"/>
    <tableColumn id="17" xr3:uid="{3BFE6B37-D398-4E64-9F1E-A43AB98608D8}" name="Location" dataDxfId="113" totalsRowDxfId="112" dataCellStyle="20% - Accent4"/>
    <tableColumn id="2" xr3:uid="{00000000-0010-0000-0000-000002000000}" name="Tag No." dataDxfId="111" totalsRowDxfId="110" dataCellStyle="20% - Accent4"/>
    <tableColumn id="3" xr3:uid="{00000000-0010-0000-0000-000003000000}" name="HOC" totalsRowFunction="count" dataDxfId="109" totalsRowDxfId="108" dataCellStyle="20% - Accent4"/>
    <tableColumn id="4" xr3:uid="{00000000-0010-0000-0000-000004000000}" name="OHC" totalsRowFunction="count" dataDxfId="107" totalsRowDxfId="106" dataCellStyle="20% - Accent4"/>
    <tableColumn id="6" xr3:uid="{00000000-0010-0000-0000-000006000000}" name="Description" dataDxfId="105" totalsRowDxfId="104" dataCellStyle="20% - Accent4"/>
    <tableColumn id="14" xr3:uid="{89D346EA-51BD-4437-ADE1-726CB91CC5B2}" name="Founding Level" dataDxfId="103" totalsRowDxfId="102" dataCellStyle="20% - Accent4"/>
    <tableColumn id="7" xr3:uid="{00000000-0010-0000-0000-000007000000}" name="Scaffold Type" dataDxfId="101" totalsRowDxfId="100" dataCellStyle="20% - Accent4"/>
    <tableColumn id="8" xr3:uid="{00000000-0010-0000-0000-000008000000}" name="Number" dataDxfId="99" totalsRowDxfId="98" dataCellStyle="20% - Accent4"/>
    <tableColumn id="9" xr3:uid="{00000000-0010-0000-0000-000009000000}" name="Length" dataDxfId="97" totalsRowDxfId="96" dataCellStyle="20% - Accent4"/>
    <tableColumn id="10" xr3:uid="{00000000-0010-0000-0000-00000A000000}" name="Width" dataDxfId="95" totalsRowDxfId="94" dataCellStyle="20% - Accent4"/>
    <tableColumn id="11" xr3:uid="{00000000-0010-0000-0000-00000B000000}" name="Height" dataDxfId="93" totalsRowDxfId="92" dataCellStyle="20% - Accent4"/>
    <tableColumn id="12" xr3:uid="{00000000-0010-0000-0000-00000C000000}" name="Board  Lift" dataDxfId="91" totalsRowDxfId="90" dataCellStyle="20% - Accent4"/>
    <tableColumn id="16" xr3:uid="{00000000-0010-0000-0000-000010000000}" name="Unit of Measure" dataDxfId="89" totalsRowDxfId="88" dataCellStyle="20% - Accent4"/>
    <tableColumn id="15" xr3:uid="{00000000-0010-0000-0000-00000F000000}" name="Quantity" dataDxfId="87" totalsRowDxfId="86" dataCellStyle="20% - Accent4">
      <calculatedColumnFormula>ROUND(IF(N10="m3",I10*J10*K10*L10,IF(N10="m2-LxH",I10*J10*L10,IF(N10="m2-LxW",I10*J10*K10,IF(N10="rm",I10*L10,IF(N10="lm",I10*J10,IF(N10="unit",I10,"NA")))))),2)</calculatedColumnFormula>
    </tableColumn>
    <tableColumn id="18" xr3:uid="{00000000-0010-0000-0000-000012000000}" name="HOC Date" dataDxfId="85" totalsRowDxfId="84" dataCellStyle="40% - Accent3"/>
    <tableColumn id="19" xr3:uid="{00000000-0010-0000-0000-000013000000}" name="OHC Date" dataDxfId="83" totalsRowDxfId="82" dataCellStyle="40% - Accent3"/>
    <tableColumn id="20" xr3:uid="{00000000-0010-0000-0000-000014000000}" name="Erection %" dataDxfId="81" totalsRowDxfId="80" dataCellStyle="Percent"/>
    <tableColumn id="22" xr3:uid="{00000000-0010-0000-0000-000016000000}" name="Hire %" dataDxfId="79" totalsRowDxfId="78" dataCellStyle="Percent"/>
    <tableColumn id="21" xr3:uid="{00000000-0010-0000-0000-000015000000}" name="Dismantle %" dataDxfId="77" totalsRowDxfId="76" dataCellStyle="Percent"/>
    <tableColumn id="24" xr3:uid="{00000000-0010-0000-0000-000018000000}" name="Hire Weeks" dataDxfId="75" totalsRowDxfId="74" dataCellStyle="40% - Accent3">
      <calculatedColumnFormula>IF(ISBLANK(Table1[[#This Row],[OHC Date]]),$B$7-Table1[[#This Row],[HOC Date]]+1,Table1[[#This Row],[OHC Date]]-Table1[[#This Row],[HOC Date]]+1)/7</calculatedColumnFormula>
    </tableColumn>
    <tableColumn id="25" xr3:uid="{00000000-0010-0000-0000-000019000000}" name="E&amp;D Rate per unit" dataDxfId="73" totalsRowDxfId="72" dataCellStyle="40% - Accent5"/>
    <tableColumn id="26" xr3:uid="{00000000-0010-0000-0000-00001A000000}" name="Hire Rate per week" dataDxfId="71" totalsRowDxfId="70" dataCellStyle="40% - Accent5"/>
    <tableColumn id="28" xr3:uid="{00000000-0010-0000-0000-00001C000000}" name="Erect Charges" totalsRowFunction="sum" dataDxfId="69" totalsRowDxfId="68" dataCellStyle="40% - Accent5">
      <calculatedColumnFormula>ROUND(0.7*Table1[[#This Row],[E&amp;D Rate per unit]]*R10,2)</calculatedColumnFormula>
    </tableColumn>
    <tableColumn id="30" xr3:uid="{00000000-0010-0000-0000-00001E000000}" name="Hire Charges" totalsRowFunction="sum" dataDxfId="67" totalsRowDxfId="66" dataCellStyle="40% - Accent5">
      <calculatedColumnFormula>ROUND(O10*U10*W10*S10,2)</calculatedColumnFormula>
    </tableColumn>
    <tableColumn id="29" xr3:uid="{00000000-0010-0000-0000-00001D000000}" name="Dismantle Charges" totalsRowFunction="sum" dataDxfId="65" totalsRowDxfId="64" dataCellStyle="40% - Accent5">
      <calculatedColumnFormula>ROUND(0.3*T10*Table1[[#This Row],[E&amp;D Rate per unit]],2)</calculatedColumnFormula>
    </tableColumn>
    <tableColumn id="33" xr3:uid="{00000000-0010-0000-0000-000021000000}" name="Total Amount" totalsRowFunction="sum" dataDxfId="63" totalsRowDxfId="62" dataCellStyle="40% - Accent5">
      <calculatedColumnFormula>ROUND(X10+Z10+Y10,2)</calculatedColumnFormula>
    </tableColumn>
    <tableColumn id="36" xr3:uid="{00000000-0010-0000-0000-000024000000}" name="Remarks" dataDxfId="61" totalsRowDxfId="60" dataCellStyle="40% - Accent6"/>
    <tableColumn id="5" xr3:uid="{23665D78-78D7-43CA-9DA3-A0064A38B0E2}" name="Certified Amount" totalsRowFunction="sum" dataDxfId="59" totalsRowDxfId="58" dataCellStyle="40% - Accent5">
      <calculatedColumnFormula>Table1[[#This Row],[Total Amount]]</calculatedColumnFormula>
    </tableColumn>
    <tableColumn id="13" xr3:uid="{620F1A8B-2CDF-4741-924F-8D1FC52F91CF}" name="Remarks2" dataDxfId="57" totalsRowDxfId="56" dataCellStyle="40% - Accent5"/>
    <tableColumn id="23" xr3:uid="{98AC4036-CAAB-48D2-BEED-D4169452BF1D}" name="Payment Limit" dataDxfId="55" totalsRowDxfId="54" dataCellStyle="Comma" totalsRowCellStyle="Comma"/>
    <tableColumn id="27" xr3:uid="{6F1796B7-2BED-4228-AD70-14ADCC27AA7D}" name="Remaining Amount" dataDxfId="53" totalsRowDxfId="52" dataCellStyle="40% - Accent5">
      <calculatedColumnFormula>Table1[[#This Row],[Payment Limit]]-Table1[[#This Row],[Total Amount]]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A71828-8CF2-4F39-BBB9-A9B56F351B60}" name="Table37" displayName="Table37" ref="A6:E15" totalsRowCount="1" headerRowDxfId="51" headerRowBorderDxfId="50" tableBorderDxfId="49" totalsRowBorderDxfId="48">
  <autoFilter ref="A6:E14" xr:uid="{87A71828-8CF2-4F39-BBB9-A9B56F351B60}"/>
  <tableColumns count="5">
    <tableColumn id="1" xr3:uid="{9DFD6B60-EFCC-44DC-9526-28177157DC4D}" name="DTS" totalsRowLabel="Total" dataDxfId="47" totalsRowDxfId="46"/>
    <tableColumn id="2" xr3:uid="{3214119C-8E47-4625-A5C7-3C0351EF2569}" name="Date" dataDxfId="45" totalsRowDxfId="44"/>
    <tableColumn id="3" xr3:uid="{52AAA9B6-8D47-40F3-A57E-8AFC83DFBE1B}" name="Hrs" totalsRowFunction="sum" dataDxfId="43" totalsRowDxfId="42"/>
    <tableColumn id="5" xr3:uid="{8D44D0A9-1928-4382-9EDA-077FC764060C}" name="Total" totalsRowFunction="sum" dataDxfId="41" totalsRowDxfId="40">
      <calculatedColumnFormula>20.5*C7</calculatedColumnFormula>
    </tableColumn>
    <tableColumn id="7" xr3:uid="{4BC987A9-6C9A-4A27-96DE-C408F67F5E1A}" name="Net" totalsRowFunction="sum" dataDxfId="39" totalsRowDxfId="38">
      <calculatedColumnFormula>Table37[[#This Row],[Total]]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:G12" totalsRowCount="1" headerRowDxfId="37" dataDxfId="35" totalsRowDxfId="33" headerRowBorderDxfId="36" tableBorderDxfId="34" totalsRowBorderDxfId="32">
  <autoFilter ref="A8:G11" xr:uid="{00000000-0009-0000-0100-000002000000}"/>
  <tableColumns count="7">
    <tableColumn id="1" xr3:uid="{00000000-0010-0000-0100-000001000000}" name="DTS" totalsRowLabel="Total" dataDxfId="31" totalsRowDxfId="30"/>
    <tableColumn id="2" xr3:uid="{00000000-0010-0000-0100-000002000000}" name="Date" dataDxfId="29" totalsRowDxfId="28"/>
    <tableColumn id="3" xr3:uid="{00000000-0010-0000-0100-000003000000}" name="Scaffolder" dataDxfId="27" totalsRowDxfId="26"/>
    <tableColumn id="4" xr3:uid="{00000000-0010-0000-0100-000004000000}" name="Foreman" dataDxfId="25" totalsRowDxfId="24"/>
    <tableColumn id="7" xr3:uid="{00000000-0010-0000-0100-000007000000}" name="Cumulative" totalsRowFunction="sum" dataDxfId="23" totalsRowDxfId="22"/>
    <tableColumn id="6" xr3:uid="{00000000-0010-0000-0100-000006000000}" name="Previous" totalsRowFunction="sum" dataDxfId="21" totalsRowDxfId="20"/>
    <tableColumn id="5" xr3:uid="{00000000-0010-0000-0100-000005000000}" name="Net" totalsRowFunction="count" dataDxfId="19" totalsRowDxfId="1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2:J12" totalsRowShown="0">
  <autoFilter ref="A2:J12" xr:uid="{00000000-0009-0000-0100-000004000000}"/>
  <tableColumns count="10">
    <tableColumn id="1" xr3:uid="{00000000-0010-0000-0200-000001000000}" name="Reference"/>
    <tableColumn id="2" xr3:uid="{00000000-0010-0000-0200-000002000000}" name="Description"/>
    <tableColumn id="3" xr3:uid="{00000000-0010-0000-0200-000003000000}" name="Number"/>
    <tableColumn id="4" xr3:uid="{00000000-0010-0000-0200-000004000000}" name="L"/>
    <tableColumn id="5" xr3:uid="{00000000-0010-0000-0200-000005000000}" name="W"/>
    <tableColumn id="6" xr3:uid="{00000000-0010-0000-0200-000006000000}" name="H"/>
    <tableColumn id="7" xr3:uid="{00000000-0010-0000-0200-000007000000}" name="BL"/>
    <tableColumn id="8" xr3:uid="{00000000-0010-0000-0200-000008000000}" name="Item Price"/>
    <tableColumn id="9" xr3:uid="{00000000-0010-0000-0200-000009000000}" name="Period (Wks)"/>
    <tableColumn id="10" xr3:uid="{00000000-0010-0000-0200-00000A000000}" name="Extra Hire per Week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8:F17" totalsRowCount="1" headerRowDxfId="17" dataDxfId="15" totalsRowDxfId="13" headerRowBorderDxfId="16" tableBorderDxfId="14" totalsRowBorderDxfId="12">
  <autoFilter ref="A8:F16" xr:uid="{00000000-0009-0000-0100-000003000000}"/>
  <tableColumns count="6">
    <tableColumn id="1" xr3:uid="{00000000-0010-0000-0300-000001000000}" name="Application No." totalsRowLabel="Total" dataDxfId="11" totalsRowDxfId="10"/>
    <tableColumn id="2" xr3:uid="{00000000-0010-0000-0300-000002000000}" name="Application Date" dataDxfId="9" totalsRowDxfId="8"/>
    <tableColumn id="3" xr3:uid="{00000000-0010-0000-0300-000003000000}" name="Works Carried Out" totalsRowFunction="sum" dataDxfId="7" totalsRowDxfId="6"/>
    <tableColumn id="5" xr3:uid="{00000000-0010-0000-0300-000005000000}" name="Day Works" totalsRowFunction="sum" dataDxfId="5" totalsRowDxfId="4"/>
    <tableColumn id="6" xr3:uid="{00000000-0010-0000-0300-000006000000}" name="Total" totalsRowFunction="sum" dataDxfId="3" totalsRowDxfId="2"/>
    <tableColumn id="7" xr3:uid="{00000000-0010-0000-0300-000007000000}" name="Remarks" totalsRowFunction="count" dataDxfId="1" totalsRow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tabSelected="1" view="pageBreakPreview" zoomScale="60" zoomScaleNormal="100" workbookViewId="0">
      <selection sqref="A1:G1"/>
    </sheetView>
  </sheetViews>
  <sheetFormatPr defaultColWidth="9.109375" defaultRowHeight="14.4" x14ac:dyDescent="0.3"/>
  <cols>
    <col min="1" max="3" width="9.109375" style="58"/>
    <col min="4" max="4" width="13.44140625" style="58" customWidth="1"/>
    <col min="5" max="5" width="17.33203125" style="58" customWidth="1"/>
    <col min="6" max="6" width="15.88671875" style="58" customWidth="1"/>
    <col min="7" max="7" width="16.88671875" style="58" customWidth="1"/>
    <col min="8" max="8" width="18.88671875" style="58" customWidth="1"/>
    <col min="9" max="9" width="9.109375" style="58"/>
    <col min="10" max="10" width="10.5546875" style="58" bestFit="1" customWidth="1"/>
    <col min="11" max="12" width="9.109375" style="58"/>
    <col min="13" max="13" width="0" style="58" hidden="1" customWidth="1"/>
    <col min="14" max="16384" width="9.109375" style="58"/>
  </cols>
  <sheetData>
    <row r="1" spans="1:13" ht="30.75" customHeight="1" thickBot="1" x14ac:dyDescent="0.35">
      <c r="A1" s="179" t="s">
        <v>179</v>
      </c>
      <c r="B1" s="180"/>
      <c r="C1" s="180"/>
      <c r="D1" s="180"/>
      <c r="E1" s="180"/>
      <c r="F1" s="180"/>
      <c r="G1" s="181"/>
      <c r="H1" s="149"/>
    </row>
    <row r="2" spans="1:13" ht="30.75" customHeight="1" thickBot="1" x14ac:dyDescent="0.35">
      <c r="A2" s="203" t="s">
        <v>180</v>
      </c>
      <c r="B2" s="204"/>
      <c r="C2" s="204"/>
      <c r="D2" s="204"/>
      <c r="E2" s="204"/>
      <c r="F2" s="204"/>
      <c r="G2" s="205"/>
      <c r="H2" s="150"/>
    </row>
    <row r="3" spans="1:13" x14ac:dyDescent="0.3">
      <c r="A3" s="139" t="s">
        <v>58</v>
      </c>
      <c r="B3" s="62"/>
      <c r="C3" s="62"/>
      <c r="D3" s="62"/>
      <c r="E3" s="140" t="s">
        <v>31</v>
      </c>
      <c r="F3" s="141">
        <v>44834</v>
      </c>
      <c r="G3" s="142"/>
      <c r="H3" s="151"/>
      <c r="M3" s="58" t="s">
        <v>101</v>
      </c>
    </row>
    <row r="4" spans="1:13" x14ac:dyDescent="0.3">
      <c r="A4" s="61" t="s">
        <v>59</v>
      </c>
      <c r="B4" s="62"/>
      <c r="C4" s="62"/>
      <c r="D4" s="62"/>
      <c r="E4" s="59" t="s">
        <v>60</v>
      </c>
      <c r="F4" s="60">
        <v>44834</v>
      </c>
      <c r="G4" s="63"/>
      <c r="H4" s="152"/>
      <c r="M4" s="58" t="s">
        <v>102</v>
      </c>
    </row>
    <row r="5" spans="1:13" x14ac:dyDescent="0.3">
      <c r="A5" s="61" t="s">
        <v>61</v>
      </c>
      <c r="B5" s="62"/>
      <c r="C5" s="62"/>
      <c r="D5" s="62"/>
      <c r="E5" s="59" t="s">
        <v>62</v>
      </c>
      <c r="F5" s="64" t="s">
        <v>63</v>
      </c>
      <c r="G5" s="65"/>
      <c r="H5" s="152"/>
    </row>
    <row r="6" spans="1:13" x14ac:dyDescent="0.3">
      <c r="A6" s="182" t="s">
        <v>64</v>
      </c>
      <c r="B6" s="183"/>
      <c r="C6" s="183"/>
      <c r="D6" s="183"/>
      <c r="E6" s="66" t="s">
        <v>65</v>
      </c>
      <c r="F6" s="67" t="s">
        <v>66</v>
      </c>
      <c r="G6" s="68"/>
      <c r="H6" s="153"/>
    </row>
    <row r="7" spans="1:13" x14ac:dyDescent="0.3">
      <c r="A7" s="182" t="s">
        <v>67</v>
      </c>
      <c r="B7" s="183"/>
      <c r="C7" s="183"/>
      <c r="D7" s="183"/>
      <c r="E7" s="69"/>
      <c r="F7" s="70"/>
      <c r="G7" s="71"/>
      <c r="H7" s="153"/>
    </row>
    <row r="8" spans="1:13" ht="15" thickBot="1" x14ac:dyDescent="0.35">
      <c r="A8" s="72" t="s">
        <v>68</v>
      </c>
      <c r="B8" s="73"/>
      <c r="C8" s="73"/>
      <c r="D8" s="73"/>
      <c r="E8" s="74" t="s">
        <v>69</v>
      </c>
      <c r="F8" s="184" t="s">
        <v>70</v>
      </c>
      <c r="G8" s="185"/>
      <c r="H8" s="153"/>
    </row>
    <row r="9" spans="1:13" ht="15" thickBot="1" x14ac:dyDescent="0.35">
      <c r="A9" s="186" t="s">
        <v>176</v>
      </c>
      <c r="B9" s="187"/>
      <c r="C9" s="187"/>
      <c r="D9" s="187"/>
      <c r="E9" s="187"/>
      <c r="F9" s="187"/>
      <c r="G9" s="188"/>
      <c r="H9" s="154"/>
    </row>
    <row r="10" spans="1:13" ht="15.75" customHeight="1" x14ac:dyDescent="0.3">
      <c r="A10" s="189" t="s">
        <v>177</v>
      </c>
      <c r="B10" s="190"/>
      <c r="C10" s="190"/>
      <c r="D10" s="190"/>
      <c r="E10" s="190"/>
      <c r="F10" s="190"/>
      <c r="G10" s="191"/>
      <c r="H10" s="177"/>
    </row>
    <row r="11" spans="1:13" ht="15.75" customHeight="1" thickBot="1" x14ac:dyDescent="0.35">
      <c r="A11" s="192"/>
      <c r="B11" s="193"/>
      <c r="C11" s="193"/>
      <c r="D11" s="193"/>
      <c r="E11" s="193"/>
      <c r="F11" s="193"/>
      <c r="G11" s="194"/>
      <c r="H11" s="178"/>
    </row>
    <row r="12" spans="1:13" ht="48" customHeight="1" thickBot="1" x14ac:dyDescent="0.35">
      <c r="A12" s="195" t="s">
        <v>6</v>
      </c>
      <c r="B12" s="196"/>
      <c r="C12" s="196"/>
      <c r="D12" s="196"/>
      <c r="E12" s="75" t="s">
        <v>71</v>
      </c>
      <c r="F12" s="76" t="s">
        <v>72</v>
      </c>
      <c r="G12" s="77" t="s">
        <v>73</v>
      </c>
      <c r="H12" s="77" t="s">
        <v>185</v>
      </c>
    </row>
    <row r="13" spans="1:13" x14ac:dyDescent="0.3">
      <c r="A13" s="197"/>
      <c r="B13" s="198"/>
      <c r="C13" s="198"/>
      <c r="D13" s="198"/>
      <c r="E13" s="78"/>
      <c r="F13" s="78"/>
      <c r="G13" s="79"/>
      <c r="H13" s="79"/>
    </row>
    <row r="14" spans="1:13" x14ac:dyDescent="0.3">
      <c r="A14" s="197" t="s">
        <v>178</v>
      </c>
      <c r="B14" s="198"/>
      <c r="C14" s="198"/>
      <c r="D14" s="199"/>
      <c r="E14" s="79"/>
      <c r="F14" s="79"/>
      <c r="G14" s="79"/>
      <c r="H14" s="79"/>
    </row>
    <row r="15" spans="1:13" x14ac:dyDescent="0.3">
      <c r="A15" s="80"/>
      <c r="B15" s="81"/>
      <c r="C15" s="81"/>
      <c r="D15" s="81"/>
      <c r="E15" s="79"/>
      <c r="F15" s="79"/>
      <c r="G15" s="79"/>
      <c r="H15" s="79"/>
    </row>
    <row r="16" spans="1:13" ht="21.75" customHeight="1" x14ac:dyDescent="0.3">
      <c r="A16" s="200" t="s">
        <v>74</v>
      </c>
      <c r="B16" s="201"/>
      <c r="C16" s="201"/>
      <c r="D16" s="202"/>
      <c r="E16" s="82">
        <v>0</v>
      </c>
      <c r="F16" s="79">
        <v>86977.8</v>
      </c>
      <c r="G16" s="79">
        <f>E16+F16</f>
        <v>86977.8</v>
      </c>
      <c r="H16" s="79">
        <f>Evaluation!AC12</f>
        <v>86977.8</v>
      </c>
    </row>
    <row r="17" spans="1:10" ht="21.75" customHeight="1" x14ac:dyDescent="0.3">
      <c r="A17" s="200" t="s">
        <v>85</v>
      </c>
      <c r="B17" s="201"/>
      <c r="C17" s="201"/>
      <c r="D17" s="202"/>
      <c r="E17" s="82">
        <v>0</v>
      </c>
      <c r="F17" s="79">
        <v>38309.549999999996</v>
      </c>
      <c r="G17" s="79">
        <f>E17+F17</f>
        <v>38309.549999999996</v>
      </c>
      <c r="H17" s="79">
        <f>SUM(Evaluation!AC10,Evaluation!AC13:AC19)</f>
        <v>37852.409999999996</v>
      </c>
    </row>
    <row r="18" spans="1:10" ht="21.75" customHeight="1" x14ac:dyDescent="0.3">
      <c r="A18" s="200" t="s">
        <v>81</v>
      </c>
      <c r="B18" s="201"/>
      <c r="C18" s="201"/>
      <c r="D18" s="202"/>
      <c r="E18" s="82">
        <v>0</v>
      </c>
      <c r="F18" s="79">
        <v>0</v>
      </c>
      <c r="G18" s="79">
        <f>E18+F18</f>
        <v>0</v>
      </c>
      <c r="H18" s="79"/>
    </row>
    <row r="19" spans="1:10" ht="21.75" customHeight="1" x14ac:dyDescent="0.3">
      <c r="A19" s="136"/>
      <c r="B19" s="138"/>
      <c r="C19" s="138"/>
      <c r="D19" s="137"/>
      <c r="E19" s="82"/>
      <c r="F19" s="79"/>
      <c r="G19" s="79"/>
      <c r="H19" s="79"/>
    </row>
    <row r="20" spans="1:10" ht="21.75" customHeight="1" x14ac:dyDescent="0.3">
      <c r="A20" s="136"/>
      <c r="B20" s="138"/>
      <c r="C20" s="138"/>
      <c r="D20" s="137"/>
      <c r="E20" s="82"/>
      <c r="F20" s="79"/>
      <c r="G20" s="79"/>
      <c r="H20" s="79"/>
    </row>
    <row r="21" spans="1:10" ht="21.75" customHeight="1" x14ac:dyDescent="0.3">
      <c r="A21" s="136"/>
      <c r="B21" s="138"/>
      <c r="C21" s="138"/>
      <c r="D21" s="137"/>
      <c r="E21" s="82"/>
      <c r="F21" s="79"/>
      <c r="G21" s="79"/>
      <c r="H21" s="79"/>
    </row>
    <row r="22" spans="1:10" ht="21.75" customHeight="1" x14ac:dyDescent="0.3">
      <c r="A22" s="136"/>
      <c r="B22" s="138"/>
      <c r="C22" s="138"/>
      <c r="D22" s="137"/>
      <c r="E22" s="82"/>
      <c r="F22" s="79"/>
      <c r="G22" s="79"/>
      <c r="H22" s="79"/>
    </row>
    <row r="23" spans="1:10" x14ac:dyDescent="0.3">
      <c r="A23" s="166"/>
      <c r="B23" s="167"/>
      <c r="C23" s="167"/>
      <c r="D23" s="168"/>
      <c r="E23" s="83"/>
      <c r="F23" s="79"/>
      <c r="G23" s="79"/>
      <c r="H23" s="79"/>
      <c r="J23" s="84"/>
    </row>
    <row r="24" spans="1:10" ht="16.95" customHeight="1" x14ac:dyDescent="0.3">
      <c r="A24" s="166"/>
      <c r="B24" s="167"/>
      <c r="C24" s="167"/>
      <c r="D24" s="168"/>
      <c r="E24" s="79"/>
      <c r="F24" s="83"/>
      <c r="G24" s="79"/>
      <c r="H24" s="79"/>
    </row>
    <row r="25" spans="1:10" x14ac:dyDescent="0.3">
      <c r="A25" s="166"/>
      <c r="B25" s="167"/>
      <c r="C25" s="167"/>
      <c r="D25" s="168"/>
      <c r="E25" s="79"/>
      <c r="F25" s="83"/>
      <c r="G25" s="79"/>
      <c r="H25" s="79"/>
    </row>
    <row r="26" spans="1:10" ht="15" thickBot="1" x14ac:dyDescent="0.35">
      <c r="A26" s="169"/>
      <c r="B26" s="170"/>
      <c r="C26" s="170"/>
      <c r="D26" s="171"/>
      <c r="E26" s="79"/>
      <c r="F26" s="83"/>
      <c r="G26" s="79"/>
      <c r="H26" s="79"/>
    </row>
    <row r="27" spans="1:10" ht="34.950000000000003" customHeight="1" thickBot="1" x14ac:dyDescent="0.35">
      <c r="A27" s="172" t="s">
        <v>34</v>
      </c>
      <c r="B27" s="173"/>
      <c r="C27" s="173"/>
      <c r="D27" s="173"/>
      <c r="E27" s="89">
        <f>SUM(E16:E26)</f>
        <v>0</v>
      </c>
      <c r="F27" s="89">
        <f>SUM(F16:F26)</f>
        <v>125287.35</v>
      </c>
      <c r="G27" s="89">
        <f>SUM(G16:G26)</f>
        <v>125287.35</v>
      </c>
      <c r="H27" s="89">
        <f>SUM(H16:H17)</f>
        <v>124830.20999999999</v>
      </c>
    </row>
    <row r="28" spans="1:10" ht="34.950000000000003" customHeight="1" thickBot="1" x14ac:dyDescent="0.35">
      <c r="A28" s="174" t="s">
        <v>181</v>
      </c>
      <c r="B28" s="175"/>
      <c r="C28" s="175"/>
      <c r="D28" s="175"/>
      <c r="E28" s="175"/>
      <c r="F28" s="175"/>
      <c r="G28" s="176"/>
    </row>
    <row r="29" spans="1:10" x14ac:dyDescent="0.3">
      <c r="A29" s="161" t="s">
        <v>75</v>
      </c>
      <c r="B29" s="162"/>
      <c r="C29" s="162"/>
      <c r="D29" s="162"/>
      <c r="E29" s="163" t="s">
        <v>76</v>
      </c>
      <c r="F29" s="164"/>
      <c r="G29" s="165"/>
    </row>
    <row r="30" spans="1:10" x14ac:dyDescent="0.3">
      <c r="A30" s="80"/>
      <c r="B30" s="81"/>
      <c r="C30" s="81"/>
      <c r="D30" s="81"/>
      <c r="E30" s="90"/>
      <c r="F30" s="91"/>
      <c r="G30" s="71"/>
    </row>
    <row r="31" spans="1:10" x14ac:dyDescent="0.3">
      <c r="A31" s="80"/>
      <c r="B31" s="81"/>
      <c r="C31" s="81"/>
      <c r="D31" s="81"/>
      <c r="E31" s="90"/>
      <c r="F31" s="91"/>
      <c r="G31" s="71"/>
    </row>
    <row r="32" spans="1:10" x14ac:dyDescent="0.3">
      <c r="A32" s="80"/>
      <c r="B32" s="81"/>
      <c r="C32" s="81"/>
      <c r="D32" s="81"/>
      <c r="E32" s="90"/>
      <c r="F32" s="91"/>
      <c r="G32" s="71"/>
    </row>
    <row r="33" spans="1:7" x14ac:dyDescent="0.3">
      <c r="A33" s="80"/>
      <c r="B33" s="81"/>
      <c r="C33" s="81"/>
      <c r="D33" s="81"/>
      <c r="E33" s="90"/>
      <c r="F33" s="91"/>
      <c r="G33" s="71"/>
    </row>
    <row r="34" spans="1:7" x14ac:dyDescent="0.3">
      <c r="A34" s="80"/>
      <c r="B34" s="81"/>
      <c r="C34" s="81"/>
      <c r="D34" s="81"/>
      <c r="E34" s="90"/>
      <c r="F34" s="91"/>
      <c r="G34" s="71"/>
    </row>
    <row r="35" spans="1:7" x14ac:dyDescent="0.3">
      <c r="A35" s="80"/>
      <c r="B35" s="81"/>
      <c r="C35" s="81"/>
      <c r="D35" s="81"/>
      <c r="E35" s="90"/>
      <c r="F35" s="91"/>
      <c r="G35" s="71"/>
    </row>
    <row r="36" spans="1:7" x14ac:dyDescent="0.3">
      <c r="A36" s="72"/>
      <c r="B36" s="73"/>
      <c r="C36" s="73"/>
      <c r="D36" s="73"/>
      <c r="E36" s="72"/>
      <c r="F36" s="73"/>
      <c r="G36" s="85"/>
    </row>
    <row r="37" spans="1:7" ht="15" thickBot="1" x14ac:dyDescent="0.35">
      <c r="A37" s="86"/>
      <c r="B37" s="87"/>
      <c r="C37" s="87"/>
      <c r="D37" s="87"/>
      <c r="E37" s="86" t="s">
        <v>77</v>
      </c>
      <c r="F37" s="87"/>
      <c r="G37" s="88"/>
    </row>
    <row r="38" spans="1:7" x14ac:dyDescent="0.3">
      <c r="A38" s="73" t="s">
        <v>78</v>
      </c>
      <c r="B38" s="73"/>
      <c r="C38" s="73"/>
      <c r="D38" s="73"/>
      <c r="E38" s="73"/>
      <c r="F38" s="73"/>
      <c r="G38" s="73"/>
    </row>
  </sheetData>
  <protectedRanges>
    <protectedRange sqref="H1:H1048576" name="Range1" securityDescriptor="O:WDG:WDD:(A;;CC;;;S-1-5-21-2162722240-155571142-4159933717-1001)"/>
  </protectedRanges>
  <mergeCells count="22">
    <mergeCell ref="H10:H11"/>
    <mergeCell ref="A24:D24"/>
    <mergeCell ref="A1:G1"/>
    <mergeCell ref="A6:D6"/>
    <mergeCell ref="A7:D7"/>
    <mergeCell ref="F8:G8"/>
    <mergeCell ref="A9:G9"/>
    <mergeCell ref="A10:G11"/>
    <mergeCell ref="A12:D12"/>
    <mergeCell ref="A13:D13"/>
    <mergeCell ref="A14:D14"/>
    <mergeCell ref="A16:D16"/>
    <mergeCell ref="A23:D23"/>
    <mergeCell ref="A17:D17"/>
    <mergeCell ref="A18:D18"/>
    <mergeCell ref="A2:G2"/>
    <mergeCell ref="A29:D29"/>
    <mergeCell ref="E29:G29"/>
    <mergeCell ref="A25:D25"/>
    <mergeCell ref="A26:D26"/>
    <mergeCell ref="A27:D27"/>
    <mergeCell ref="A28:G28"/>
  </mergeCells>
  <printOptions horizontalCentered="1" verticalCentered="1"/>
  <pageMargins left="0.70866141732283505" right="0.70866141732283505" top="1.04270833333333" bottom="0.74803149606299202" header="0.31496062992126" footer="0.31496062992126"/>
  <pageSetup paperSize="9" scale="79" orientation="portrait" verticalDpi="4294967293" r:id="rId1"/>
  <headerFooter>
    <oddHeader>&amp;R&amp;G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4"/>
  <sheetViews>
    <sheetView view="pageBreakPreview" zoomScale="85" zoomScaleNormal="85" zoomScaleSheetLayoutView="85" workbookViewId="0"/>
  </sheetViews>
  <sheetFormatPr defaultColWidth="9.109375" defaultRowHeight="14.4" x14ac:dyDescent="0.3"/>
  <cols>
    <col min="1" max="1" width="30.5546875" style="8" customWidth="1"/>
    <col min="2" max="2" width="22.88671875" style="8" customWidth="1"/>
    <col min="3" max="3" width="9.88671875" style="8" customWidth="1"/>
    <col min="4" max="5" width="12.88671875" style="8" customWidth="1"/>
    <col min="6" max="6" width="31.6640625" style="13" bestFit="1" customWidth="1"/>
    <col min="7" max="7" width="14" style="13" customWidth="1"/>
    <col min="8" max="8" width="28.33203125" style="8" bestFit="1" customWidth="1"/>
    <col min="9" max="13" width="10.6640625" style="8" customWidth="1"/>
    <col min="14" max="15" width="15.6640625" style="8" customWidth="1"/>
    <col min="16" max="16" width="11.88671875" style="135" bestFit="1" customWidth="1"/>
    <col min="17" max="17" width="15.6640625" style="131" customWidth="1"/>
    <col min="18" max="20" width="10.88671875" style="8" customWidth="1"/>
    <col min="21" max="21" width="10.109375" style="8" customWidth="1"/>
    <col min="22" max="22" width="14.44140625" customWidth="1"/>
    <col min="23" max="27" width="15.6640625" style="8" customWidth="1"/>
    <col min="28" max="28" width="24.88671875" style="8" bestFit="1" customWidth="1"/>
    <col min="29" max="29" width="35.6640625" style="8" customWidth="1"/>
    <col min="30" max="30" width="17.21875" style="8" bestFit="1" customWidth="1"/>
    <col min="31" max="31" width="17.88671875" style="155" bestFit="1" customWidth="1"/>
    <col min="32" max="32" width="16.109375" style="8" bestFit="1" customWidth="1"/>
    <col min="33" max="16384" width="9.109375" style="8"/>
  </cols>
  <sheetData>
    <row r="1" spans="1:32" ht="13.8" x14ac:dyDescent="0.25">
      <c r="P1" s="131"/>
      <c r="V1" s="8"/>
    </row>
    <row r="2" spans="1:32" ht="24.6" x14ac:dyDescent="0.4">
      <c r="A2" s="206" t="s">
        <v>19</v>
      </c>
      <c r="B2" s="206"/>
      <c r="C2" s="206"/>
      <c r="D2" s="206"/>
      <c r="E2" s="206"/>
      <c r="F2" s="8"/>
      <c r="G2" s="8"/>
      <c r="P2" s="131"/>
      <c r="V2" s="8"/>
    </row>
    <row r="3" spans="1:32" ht="13.8" x14ac:dyDescent="0.25">
      <c r="A3" s="207" t="s">
        <v>57</v>
      </c>
      <c r="B3" s="207"/>
      <c r="C3" s="207"/>
      <c r="D3" s="207"/>
      <c r="E3" s="207"/>
      <c r="F3" s="8"/>
      <c r="G3" s="8"/>
      <c r="P3" s="131"/>
      <c r="V3" s="8"/>
    </row>
    <row r="4" spans="1:32" ht="13.8" x14ac:dyDescent="0.25">
      <c r="A4" s="9" t="s">
        <v>20</v>
      </c>
      <c r="B4" s="9">
        <v>1</v>
      </c>
      <c r="F4" s="8"/>
      <c r="G4" s="8"/>
      <c r="P4" s="131"/>
      <c r="V4" s="8"/>
    </row>
    <row r="5" spans="1:32" ht="13.8" x14ac:dyDescent="0.25">
      <c r="A5" s="9" t="s">
        <v>16</v>
      </c>
      <c r="B5" s="9" t="s">
        <v>91</v>
      </c>
      <c r="F5" s="8"/>
      <c r="G5" s="8"/>
      <c r="P5" s="131"/>
      <c r="V5" s="8"/>
    </row>
    <row r="6" spans="1:32" ht="13.8" x14ac:dyDescent="0.25">
      <c r="A6" s="9" t="s">
        <v>55</v>
      </c>
      <c r="B6" s="9" t="s">
        <v>90</v>
      </c>
      <c r="F6" s="8"/>
      <c r="G6" s="8"/>
      <c r="I6" s="9"/>
      <c r="P6" s="131"/>
      <c r="V6" s="8"/>
    </row>
    <row r="7" spans="1:32" ht="13.8" x14ac:dyDescent="0.25">
      <c r="A7" s="9" t="s">
        <v>92</v>
      </c>
      <c r="B7" s="10">
        <v>44834</v>
      </c>
      <c r="D7" s="9"/>
      <c r="E7" s="9"/>
      <c r="F7" s="8"/>
      <c r="G7" s="8"/>
      <c r="H7" s="11"/>
      <c r="I7" s="12"/>
      <c r="P7" s="131"/>
      <c r="V7" s="8"/>
    </row>
    <row r="8" spans="1:32" ht="13.8" x14ac:dyDescent="0.25">
      <c r="A8" s="9"/>
      <c r="B8" s="9"/>
      <c r="C8" s="10"/>
      <c r="D8" s="9"/>
      <c r="E8" s="9"/>
      <c r="F8" s="8"/>
      <c r="G8" s="8"/>
      <c r="H8" s="11"/>
      <c r="I8" s="12"/>
      <c r="P8" s="131"/>
      <c r="V8" s="8"/>
    </row>
    <row r="9" spans="1:32" s="15" customFormat="1" ht="30" customHeight="1" x14ac:dyDescent="0.3">
      <c r="A9" s="7" t="s">
        <v>13</v>
      </c>
      <c r="B9" s="7" t="s">
        <v>93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87</v>
      </c>
      <c r="H9" s="3" t="s">
        <v>18</v>
      </c>
      <c r="I9" s="3" t="s">
        <v>22</v>
      </c>
      <c r="J9" s="3" t="s">
        <v>0</v>
      </c>
      <c r="K9" s="3" t="s">
        <v>1</v>
      </c>
      <c r="L9" s="3" t="s">
        <v>2</v>
      </c>
      <c r="M9" s="3" t="s">
        <v>7</v>
      </c>
      <c r="N9" s="3" t="s">
        <v>9</v>
      </c>
      <c r="O9" s="3" t="s">
        <v>8</v>
      </c>
      <c r="P9" s="132" t="s">
        <v>10</v>
      </c>
      <c r="Q9" s="132" t="s">
        <v>11</v>
      </c>
      <c r="R9" s="4" t="s">
        <v>28</v>
      </c>
      <c r="S9" s="4" t="s">
        <v>29</v>
      </c>
      <c r="T9" s="4" t="s">
        <v>27</v>
      </c>
      <c r="U9" s="4" t="s">
        <v>104</v>
      </c>
      <c r="V9" s="5" t="s">
        <v>12</v>
      </c>
      <c r="W9" s="5" t="s">
        <v>38</v>
      </c>
      <c r="X9" s="5" t="s">
        <v>23</v>
      </c>
      <c r="Y9" s="5" t="s">
        <v>25</v>
      </c>
      <c r="Z9" s="5" t="s">
        <v>24</v>
      </c>
      <c r="AA9" s="6" t="s">
        <v>26</v>
      </c>
      <c r="AB9" s="14" t="s">
        <v>14</v>
      </c>
      <c r="AC9" s="146" t="s">
        <v>182</v>
      </c>
      <c r="AD9" s="146" t="s">
        <v>183</v>
      </c>
      <c r="AE9" s="156" t="s">
        <v>186</v>
      </c>
      <c r="AF9" s="146" t="s">
        <v>187</v>
      </c>
    </row>
    <row r="10" spans="1:32" ht="30" customHeight="1" x14ac:dyDescent="0.25">
      <c r="A10" s="92" t="s">
        <v>99</v>
      </c>
      <c r="B10" s="92" t="s">
        <v>101</v>
      </c>
      <c r="C10" s="16">
        <v>1</v>
      </c>
      <c r="D10" s="16">
        <v>74602</v>
      </c>
      <c r="E10" s="16"/>
      <c r="F10" s="17" t="s">
        <v>86</v>
      </c>
      <c r="G10" s="17" t="s">
        <v>89</v>
      </c>
      <c r="H10" s="17" t="s">
        <v>103</v>
      </c>
      <c r="I10" s="16">
        <v>1</v>
      </c>
      <c r="J10" s="16"/>
      <c r="K10" s="16"/>
      <c r="L10" s="16"/>
      <c r="M10" s="16"/>
      <c r="N10" s="93" t="s">
        <v>56</v>
      </c>
      <c r="O10" s="16">
        <f>ROUND(IF(N10="m3",I10*J10*K10*L10,IF(N10="m2-LxH",I10*J10*L10,IF(N10="m2-LxW",I10*J10*K10,IF(N10="rm",I10*L10,IF(N10="lm",I10*J10,IF(N10="unit",I10,"NA")))))),2)</f>
        <v>1</v>
      </c>
      <c r="P10" s="18">
        <v>44830</v>
      </c>
      <c r="Q10" s="18"/>
      <c r="R10" s="19">
        <v>1</v>
      </c>
      <c r="S10" s="19">
        <v>1</v>
      </c>
      <c r="T10" s="19">
        <v>0</v>
      </c>
      <c r="U10" s="20">
        <f>IF(ISBLANK(Table1[[#This Row],[OHC Date]]),$B$7-Table1[[#This Row],[HOC Date]]+1,Table1[[#This Row],[OHC Date]]-Table1[[#This Row],[HOC Date]]+1)/7</f>
        <v>0.7142857142857143</v>
      </c>
      <c r="V10" s="21">
        <v>50703.26</v>
      </c>
      <c r="W10" s="21">
        <v>2807</v>
      </c>
      <c r="X10" s="21">
        <f>ROUND(0.7*Table1[[#This Row],[E&amp;D Rate per unit]]*R10,2)</f>
        <v>35492.28</v>
      </c>
      <c r="Y10" s="21">
        <f>ROUND(O10*U10*W10*S10,2)</f>
        <v>2005</v>
      </c>
      <c r="Z10" s="21">
        <f>ROUND(0.3*T10*Table1[[#This Row],[E&amp;D Rate per unit]],2)</f>
        <v>0</v>
      </c>
      <c r="AA10" s="21">
        <f t="shared" ref="AA10:AA11" si="0">ROUND(X10+Z10+Y10,2)</f>
        <v>37497.279999999999</v>
      </c>
      <c r="AB10" s="16" t="s">
        <v>88</v>
      </c>
      <c r="AC10" s="144">
        <f>Table1[[#This Row],[Total Amount]]</f>
        <v>37497.279999999999</v>
      </c>
      <c r="AD10" s="147"/>
      <c r="AE10" s="157">
        <v>70352.259999999995</v>
      </c>
      <c r="AF10" s="159">
        <f>Table1[[#This Row],[Payment Limit]]-Table1[[#This Row],[Total Amount]]</f>
        <v>32854.979999999996</v>
      </c>
    </row>
    <row r="11" spans="1:32" ht="30" customHeight="1" x14ac:dyDescent="0.25">
      <c r="A11" s="92" t="s">
        <v>95</v>
      </c>
      <c r="B11" s="92" t="s">
        <v>102</v>
      </c>
      <c r="C11" s="16"/>
      <c r="D11" s="16"/>
      <c r="E11" s="16"/>
      <c r="F11" s="17" t="s">
        <v>105</v>
      </c>
      <c r="G11" s="17" t="s">
        <v>106</v>
      </c>
      <c r="H11" s="16" t="s">
        <v>106</v>
      </c>
      <c r="I11" s="16">
        <v>1</v>
      </c>
      <c r="J11" s="16"/>
      <c r="K11" s="16"/>
      <c r="L11" s="16"/>
      <c r="M11" s="16"/>
      <c r="N11" s="93" t="s">
        <v>56</v>
      </c>
      <c r="O11" s="16">
        <f>ROUND(IF(N11="m3",I11*J11*K11*L11,IF(N11="m2-LxH",I11*J11*L11,IF(N11="m2-LxW",I11*J11*K11,IF(N11="rm",I11*L11,IF(N11="lm",I11*J11,IF(N11="unit",I11,"NA")))))),2)</f>
        <v>1</v>
      </c>
      <c r="P11" s="18">
        <v>44819</v>
      </c>
      <c r="Q11" s="18"/>
      <c r="R11" s="19">
        <v>0</v>
      </c>
      <c r="S11" s="19">
        <v>1</v>
      </c>
      <c r="T11" s="19">
        <v>0</v>
      </c>
      <c r="U11" s="20">
        <f>IF(ISBLANK(Table1[[#This Row],[OHC Date]]),$B$7-Table1[[#This Row],[HOC Date]]+1,Table1[[#This Row],[OHC Date]]-Table1[[#This Row],[HOC Date]]+1)/7</f>
        <v>2.2857142857142856</v>
      </c>
      <c r="V11" s="21">
        <v>0</v>
      </c>
      <c r="W11" s="21">
        <v>200</v>
      </c>
      <c r="X11" s="21">
        <f>ROUND(0.7*Table1[[#This Row],[E&amp;D Rate per unit]]*R11,2)</f>
        <v>0</v>
      </c>
      <c r="Y11" s="21">
        <f>ROUND(O11*U11*W11*S11,2)</f>
        <v>457.14</v>
      </c>
      <c r="Z11" s="21">
        <f>ROUND(0.3*T11*Table1[[#This Row],[E&amp;D Rate per unit]],2)</f>
        <v>0</v>
      </c>
      <c r="AA11" s="21">
        <f t="shared" si="0"/>
        <v>457.14</v>
      </c>
      <c r="AB11" s="16" t="s">
        <v>107</v>
      </c>
      <c r="AC11" s="143">
        <v>0</v>
      </c>
      <c r="AD11" s="148" t="s">
        <v>184</v>
      </c>
      <c r="AE11" s="157"/>
      <c r="AF11" s="159"/>
    </row>
    <row r="12" spans="1:32" ht="30" customHeight="1" x14ac:dyDescent="0.25">
      <c r="A12" s="116" t="s">
        <v>164</v>
      </c>
      <c r="B12" s="92" t="s">
        <v>102</v>
      </c>
      <c r="C12" s="117"/>
      <c r="D12" s="117"/>
      <c r="E12" s="117"/>
      <c r="F12" s="118" t="s">
        <v>165</v>
      </c>
      <c r="G12" s="17"/>
      <c r="H12" s="117"/>
      <c r="I12" s="117">
        <v>1</v>
      </c>
      <c r="J12" s="16"/>
      <c r="K12" s="16"/>
      <c r="L12" s="16"/>
      <c r="M12" s="16"/>
      <c r="N12" s="119" t="s">
        <v>56</v>
      </c>
      <c r="O12" s="16">
        <f>ROUND(IF(N12="m3",I12*J12*K12*L12,IF(N12="m2-LxH",I12*J12*L12,IF(N12="m2-LxW",I12*J12*K12,IF(N12="rm",I12*L12,IF(N12="lm",I12*J12,IF(N12="unit",I12,"NA")))))),2)</f>
        <v>1</v>
      </c>
      <c r="P12" s="18">
        <v>44824</v>
      </c>
      <c r="Q12" s="133"/>
      <c r="R12" s="120">
        <v>0.65</v>
      </c>
      <c r="S12" s="120">
        <v>0</v>
      </c>
      <c r="T12" s="120">
        <v>0</v>
      </c>
      <c r="U12" s="121">
        <f>IF(ISBLANK(Table1[[#This Row],[OHC Date]]),$B$7-Table1[[#This Row],[HOC Date]]+1,Table1[[#This Row],[OHC Date]]-Table1[[#This Row],[HOC Date]]+1)/7</f>
        <v>1.5714285714285714</v>
      </c>
      <c r="V12" s="122">
        <v>191160</v>
      </c>
      <c r="W12" s="122">
        <v>0</v>
      </c>
      <c r="X12" s="122">
        <f>ROUND(0.7*Table1[[#This Row],[E&amp;D Rate per unit]]*R12,2)</f>
        <v>86977.8</v>
      </c>
      <c r="Y12" s="122">
        <f>ROUND(O12*U12*W12*S12,2)</f>
        <v>0</v>
      </c>
      <c r="Z12" s="122">
        <f>ROUND(0.3*T12*Table1[[#This Row],[E&amp;D Rate per unit]],2)</f>
        <v>0</v>
      </c>
      <c r="AA12" s="122">
        <f t="shared" ref="AA12" si="1">ROUND(X12+Z12+Y12,2)</f>
        <v>86977.8</v>
      </c>
      <c r="AB12" s="123"/>
      <c r="AC12" s="143">
        <f>Table1[[#This Row],[Total Amount]]</f>
        <v>86977.8</v>
      </c>
      <c r="AD12" s="147"/>
      <c r="AE12" s="157">
        <v>265036</v>
      </c>
      <c r="AF12" s="159">
        <f>Table1[[#This Row],[Payment Limit]]-Table1[[#This Row],[Total Amount]]</f>
        <v>178058.2</v>
      </c>
    </row>
    <row r="13" spans="1:32" ht="30" customHeight="1" x14ac:dyDescent="0.25">
      <c r="A13" s="116" t="s">
        <v>94</v>
      </c>
      <c r="B13" s="92" t="s">
        <v>102</v>
      </c>
      <c r="C13" s="117" t="s">
        <v>79</v>
      </c>
      <c r="D13" s="117">
        <v>74653</v>
      </c>
      <c r="E13" s="117">
        <v>76751</v>
      </c>
      <c r="F13" s="118" t="s">
        <v>169</v>
      </c>
      <c r="G13" s="17" t="s">
        <v>166</v>
      </c>
      <c r="H13" s="117" t="s">
        <v>133</v>
      </c>
      <c r="I13" s="117">
        <v>1</v>
      </c>
      <c r="J13" s="117">
        <v>25.2</v>
      </c>
      <c r="K13" s="117">
        <v>1.2</v>
      </c>
      <c r="L13" s="117">
        <v>1</v>
      </c>
      <c r="M13" s="117">
        <v>1</v>
      </c>
      <c r="N13" s="119" t="s">
        <v>167</v>
      </c>
      <c r="O13" s="16">
        <f>ROUND(IF(N13="m3",I13*J13*K13*L13,IF(N13="m2-LxH",I13*J13*L13,IF(N13="m2-LxW",I13*J13*K13,IF(N13="rm",I13*L13,IF(N13="lm",I13*J13,IF(N13="unit",I13,"NA")))))),2)</f>
        <v>30.24</v>
      </c>
      <c r="P13" s="18">
        <v>44824</v>
      </c>
      <c r="Q13" s="133">
        <v>44830</v>
      </c>
      <c r="R13" s="120">
        <v>1</v>
      </c>
      <c r="S13" s="120">
        <v>1</v>
      </c>
      <c r="T13" s="120">
        <v>1</v>
      </c>
      <c r="U13" s="121">
        <f>IF(ISBLANK(Table1[[#This Row],[OHC Date]]),$B$7-Table1[[#This Row],[HOC Date]]+1,Table1[[#This Row],[OHC Date]]-Table1[[#This Row],[HOC Date]]+1)/7</f>
        <v>1</v>
      </c>
      <c r="V13" s="122">
        <v>36.520000000000003</v>
      </c>
      <c r="W13" s="122">
        <f>0.42*7</f>
        <v>2.94</v>
      </c>
      <c r="X13" s="122">
        <f>ROUND(0.7*Table1[[#This Row],[E&amp;D Rate per unit]]*R13,2)</f>
        <v>25.56</v>
      </c>
      <c r="Y13" s="122">
        <f>ROUND(O13*U13*W13*S13,2)</f>
        <v>88.91</v>
      </c>
      <c r="Z13" s="122">
        <f>ROUND(0.3*T13*Table1[[#This Row],[E&amp;D Rate per unit]],2)</f>
        <v>10.96</v>
      </c>
      <c r="AA13" s="122">
        <f t="shared" ref="AA13:AA18" si="2">ROUND(X13+Z13+Y13,2)</f>
        <v>125.43</v>
      </c>
      <c r="AB13" s="123"/>
      <c r="AC13" s="143">
        <f>Table1[[#This Row],[Total Amount]]</f>
        <v>125.43</v>
      </c>
      <c r="AD13" s="147"/>
      <c r="AE13" s="157"/>
      <c r="AF13" s="159"/>
    </row>
    <row r="14" spans="1:32" ht="30" customHeight="1" x14ac:dyDescent="0.25">
      <c r="A14" s="116" t="s">
        <v>94</v>
      </c>
      <c r="B14" s="92" t="s">
        <v>102</v>
      </c>
      <c r="C14" s="117" t="s">
        <v>168</v>
      </c>
      <c r="D14" s="117">
        <v>74654</v>
      </c>
      <c r="E14" s="117"/>
      <c r="F14" s="118" t="s">
        <v>169</v>
      </c>
      <c r="G14" s="17" t="s">
        <v>170</v>
      </c>
      <c r="H14" s="117" t="s">
        <v>132</v>
      </c>
      <c r="I14" s="117">
        <v>1</v>
      </c>
      <c r="J14" s="117">
        <v>5</v>
      </c>
      <c r="K14" s="117">
        <v>0.5</v>
      </c>
      <c r="L14" s="117">
        <v>1</v>
      </c>
      <c r="M14" s="117">
        <v>1</v>
      </c>
      <c r="N14" s="119" t="s">
        <v>167</v>
      </c>
      <c r="O14" s="16">
        <f>ROUND(IF(N14="m3",I14*J14*K14*L14,IF(N14="m2-LxH",I14*J14*L14,IF(N14="m2-LxW",I14*J14*K14,IF(N14="rm",I14*L14,IF(N14="lm",I14*J14,IF(N14="unit",I14,"NA")))))),2)</f>
        <v>2.5</v>
      </c>
      <c r="P14" s="18">
        <v>44824</v>
      </c>
      <c r="Q14" s="133"/>
      <c r="R14" s="120">
        <v>1</v>
      </c>
      <c r="S14" s="120">
        <v>1</v>
      </c>
      <c r="T14" s="120">
        <v>0</v>
      </c>
      <c r="U14" s="121">
        <f>IF(ISBLANK(Table1[[#This Row],[OHC Date]]),$B$7-Table1[[#This Row],[HOC Date]]+1,Table1[[#This Row],[OHC Date]]-Table1[[#This Row],[HOC Date]]+1)/7</f>
        <v>1.5714285714285714</v>
      </c>
      <c r="V14" s="122">
        <v>32.75</v>
      </c>
      <c r="W14" s="122">
        <v>1.05</v>
      </c>
      <c r="X14" s="122">
        <f>ROUND(0.7*Table1[[#This Row],[E&amp;D Rate per unit]]*R14,2)</f>
        <v>22.93</v>
      </c>
      <c r="Y14" s="122">
        <f>ROUND(O14*U14*W14*S14,2)</f>
        <v>4.13</v>
      </c>
      <c r="Z14" s="122">
        <f>ROUND(0.3*T14*Table1[[#This Row],[E&amp;D Rate per unit]],2)</f>
        <v>0</v>
      </c>
      <c r="AA14" s="122">
        <f t="shared" si="2"/>
        <v>27.06</v>
      </c>
      <c r="AB14" s="123"/>
      <c r="AC14" s="143">
        <f>Table1[[#This Row],[Total Amount]]</f>
        <v>27.06</v>
      </c>
      <c r="AD14" s="147"/>
      <c r="AE14" s="157"/>
      <c r="AF14" s="159"/>
    </row>
    <row r="15" spans="1:32" ht="30" customHeight="1" x14ac:dyDescent="0.25">
      <c r="A15" s="116" t="s">
        <v>94</v>
      </c>
      <c r="B15" s="92" t="s">
        <v>102</v>
      </c>
      <c r="C15" s="117" t="s">
        <v>171</v>
      </c>
      <c r="D15" s="117">
        <v>74655</v>
      </c>
      <c r="E15" s="117">
        <v>76752</v>
      </c>
      <c r="F15" s="118" t="s">
        <v>169</v>
      </c>
      <c r="G15" s="17" t="s">
        <v>166</v>
      </c>
      <c r="H15" s="117" t="s">
        <v>132</v>
      </c>
      <c r="I15" s="117">
        <v>1</v>
      </c>
      <c r="J15" s="117">
        <v>16.2</v>
      </c>
      <c r="K15" s="117">
        <v>0.5</v>
      </c>
      <c r="L15" s="117">
        <v>1</v>
      </c>
      <c r="M15" s="117">
        <v>1</v>
      </c>
      <c r="N15" s="119" t="s">
        <v>167</v>
      </c>
      <c r="O15" s="119">
        <f t="shared" ref="O15:O16" si="3">ROUND(IF(N15="m3",I15*J15*K15*L15,IF(N15="m2-LxH",I15*J15*L15,IF(N15="m2-LxW",I15*J15*K15,IF(N15="rm",I15*L15,IF(N15="lm",I15*J15,IF(N15="unit",I15,"NA")))))),2)</f>
        <v>8.1</v>
      </c>
      <c r="P15" s="18">
        <v>44825</v>
      </c>
      <c r="Q15" s="133">
        <v>44831</v>
      </c>
      <c r="R15" s="120">
        <v>1</v>
      </c>
      <c r="S15" s="120">
        <v>1</v>
      </c>
      <c r="T15" s="120">
        <v>1</v>
      </c>
      <c r="U15" s="121">
        <f>IF(ISBLANK(Table1[[#This Row],[OHC Date]]),$B$7-Table1[[#This Row],[HOC Date]]+1,Table1[[#This Row],[OHC Date]]-Table1[[#This Row],[HOC Date]]+1)/7</f>
        <v>1</v>
      </c>
      <c r="V15" s="122">
        <v>32.75</v>
      </c>
      <c r="W15" s="122">
        <v>1.05</v>
      </c>
      <c r="X15" s="122">
        <f>ROUND(0.7*Table1[[#This Row],[E&amp;D Rate per unit]]*R15,2)</f>
        <v>22.93</v>
      </c>
      <c r="Y15" s="122">
        <f t="shared" ref="Y15:Y16" si="4">ROUND(O15*U15*W15*S15,2)</f>
        <v>8.51</v>
      </c>
      <c r="Z15" s="122">
        <f>ROUND(0.3*T15*Table1[[#This Row],[E&amp;D Rate per unit]],2)</f>
        <v>9.83</v>
      </c>
      <c r="AA15" s="122">
        <f t="shared" ref="AA15:AA16" si="5">ROUND(X15+Z15+Y15,2)</f>
        <v>41.27</v>
      </c>
      <c r="AB15" s="123"/>
      <c r="AC15" s="143">
        <f>Table1[[#This Row],[Total Amount]]</f>
        <v>41.27</v>
      </c>
      <c r="AD15" s="147"/>
      <c r="AE15" s="157"/>
      <c r="AF15" s="159"/>
    </row>
    <row r="16" spans="1:32" ht="30" customHeight="1" x14ac:dyDescent="0.25">
      <c r="A16" s="116" t="s">
        <v>94</v>
      </c>
      <c r="B16" s="92" t="s">
        <v>102</v>
      </c>
      <c r="C16" s="117" t="s">
        <v>172</v>
      </c>
      <c r="D16" s="117">
        <v>74660</v>
      </c>
      <c r="E16" s="117">
        <v>76753</v>
      </c>
      <c r="F16" s="118" t="s">
        <v>169</v>
      </c>
      <c r="G16" s="17" t="s">
        <v>166</v>
      </c>
      <c r="H16" s="117" t="s">
        <v>133</v>
      </c>
      <c r="I16" s="117">
        <v>1</v>
      </c>
      <c r="J16" s="117">
        <v>1.8</v>
      </c>
      <c r="K16" s="117">
        <v>1</v>
      </c>
      <c r="L16" s="117">
        <v>1</v>
      </c>
      <c r="M16" s="117">
        <v>1</v>
      </c>
      <c r="N16" s="119" t="s">
        <v>167</v>
      </c>
      <c r="O16" s="119">
        <f t="shared" si="3"/>
        <v>1.8</v>
      </c>
      <c r="P16" s="18">
        <v>44828</v>
      </c>
      <c r="Q16" s="133">
        <v>44830</v>
      </c>
      <c r="R16" s="120">
        <v>1</v>
      </c>
      <c r="S16" s="120">
        <v>1</v>
      </c>
      <c r="T16" s="120">
        <v>1</v>
      </c>
      <c r="U16" s="121">
        <f>IF(ISBLANK(Table1[[#This Row],[OHC Date]]),$B$7-Table1[[#This Row],[HOC Date]]+1,Table1[[#This Row],[OHC Date]]-Table1[[#This Row],[HOC Date]]+1)/7</f>
        <v>0.42857142857142855</v>
      </c>
      <c r="V16" s="122">
        <v>36.520000000000003</v>
      </c>
      <c r="W16" s="122">
        <f>0.42*7</f>
        <v>2.94</v>
      </c>
      <c r="X16" s="122">
        <f>ROUND(0.7*Table1[[#This Row],[E&amp;D Rate per unit]]*R16,2)</f>
        <v>25.56</v>
      </c>
      <c r="Y16" s="122">
        <f t="shared" si="4"/>
        <v>2.27</v>
      </c>
      <c r="Z16" s="122">
        <f>ROUND(0.3*T16*Table1[[#This Row],[E&amp;D Rate per unit]],2)</f>
        <v>10.96</v>
      </c>
      <c r="AA16" s="122">
        <f t="shared" si="5"/>
        <v>38.79</v>
      </c>
      <c r="AB16" s="123"/>
      <c r="AC16" s="143">
        <f>Table1[[#This Row],[Total Amount]]</f>
        <v>38.79</v>
      </c>
      <c r="AD16" s="147"/>
      <c r="AE16" s="157"/>
      <c r="AF16" s="159"/>
    </row>
    <row r="17" spans="1:32" ht="30" customHeight="1" x14ac:dyDescent="0.25">
      <c r="A17" s="116" t="s">
        <v>94</v>
      </c>
      <c r="B17" s="92" t="s">
        <v>102</v>
      </c>
      <c r="C17" s="117" t="s">
        <v>173</v>
      </c>
      <c r="D17" s="117">
        <v>74666</v>
      </c>
      <c r="E17" s="117">
        <v>76754</v>
      </c>
      <c r="F17" s="118" t="s">
        <v>169</v>
      </c>
      <c r="G17" s="17" t="s">
        <v>166</v>
      </c>
      <c r="H17" s="117" t="s">
        <v>133</v>
      </c>
      <c r="I17" s="117">
        <v>1</v>
      </c>
      <c r="J17" s="117">
        <v>23.4</v>
      </c>
      <c r="K17" s="117">
        <v>0.75</v>
      </c>
      <c r="L17" s="117">
        <v>1</v>
      </c>
      <c r="M17" s="117">
        <v>1</v>
      </c>
      <c r="N17" s="119" t="s">
        <v>167</v>
      </c>
      <c r="O17" s="16">
        <f>ROUND(IF(N17="m3",I17*J17*K17*L17,IF(N17="m2-LxH",I17*J17*L17,IF(N17="m2-LxW",I17*J17*K17,IF(N17="rm",I17*L17,IF(N17="lm",I17*J17,IF(N17="unit",I17,"NA")))))),2)</f>
        <v>17.55</v>
      </c>
      <c r="P17" s="18">
        <v>44830</v>
      </c>
      <c r="Q17" s="133">
        <v>44832</v>
      </c>
      <c r="R17" s="120">
        <v>1</v>
      </c>
      <c r="S17" s="120">
        <v>1</v>
      </c>
      <c r="T17" s="120">
        <v>1</v>
      </c>
      <c r="U17" s="121">
        <f>IF(ISBLANK(Table1[[#This Row],[OHC Date]]),$B$7-Table1[[#This Row],[HOC Date]]+1,Table1[[#This Row],[OHC Date]]-Table1[[#This Row],[HOC Date]]+1)/7</f>
        <v>0.42857142857142855</v>
      </c>
      <c r="V17" s="122">
        <v>36.520000000000003</v>
      </c>
      <c r="W17" s="122">
        <f>0.42*7</f>
        <v>2.94</v>
      </c>
      <c r="X17" s="122">
        <f>ROUND(0.7*Table1[[#This Row],[E&amp;D Rate per unit]]*R17,2)</f>
        <v>25.56</v>
      </c>
      <c r="Y17" s="122">
        <f>ROUND(O17*U17*W17*S17,2)</f>
        <v>22.11</v>
      </c>
      <c r="Z17" s="122">
        <f>ROUND(0.3*T17*Table1[[#This Row],[E&amp;D Rate per unit]],2)</f>
        <v>10.96</v>
      </c>
      <c r="AA17" s="122">
        <f t="shared" si="2"/>
        <v>58.63</v>
      </c>
      <c r="AB17" s="123"/>
      <c r="AC17" s="143">
        <f>Table1[[#This Row],[Total Amount]]</f>
        <v>58.63</v>
      </c>
      <c r="AD17" s="147"/>
      <c r="AE17" s="157"/>
      <c r="AF17" s="159"/>
    </row>
    <row r="18" spans="1:32" ht="30" customHeight="1" x14ac:dyDescent="0.25">
      <c r="A18" s="116" t="s">
        <v>94</v>
      </c>
      <c r="B18" s="92" t="s">
        <v>102</v>
      </c>
      <c r="C18" s="117" t="s">
        <v>174</v>
      </c>
      <c r="D18" s="117">
        <v>74670</v>
      </c>
      <c r="E18" s="117"/>
      <c r="F18" s="118" t="s">
        <v>169</v>
      </c>
      <c r="G18" s="17" t="s">
        <v>166</v>
      </c>
      <c r="H18" s="117" t="s">
        <v>132</v>
      </c>
      <c r="I18" s="117">
        <v>2</v>
      </c>
      <c r="J18" s="117">
        <v>9.8000000000000007</v>
      </c>
      <c r="K18" s="117">
        <v>0.5</v>
      </c>
      <c r="L18" s="117">
        <v>1</v>
      </c>
      <c r="M18" s="117">
        <v>1</v>
      </c>
      <c r="N18" s="119" t="s">
        <v>167</v>
      </c>
      <c r="O18" s="16">
        <f>ROUND(IF(N18="m3",I18*J18*K18*L18,IF(N18="m2-LxH",I18*J18*L18,IF(N18="m2-LxW",I18*J18*K18,IF(N18="rm",I18*L18,IF(N18="lm",I18*J18,IF(N18="unit",I18,"NA")))))),2)</f>
        <v>9.8000000000000007</v>
      </c>
      <c r="P18" s="18">
        <v>44832</v>
      </c>
      <c r="Q18" s="133"/>
      <c r="R18" s="120">
        <v>1</v>
      </c>
      <c r="S18" s="120">
        <v>1</v>
      </c>
      <c r="T18" s="120">
        <v>0</v>
      </c>
      <c r="U18" s="121">
        <f>IF(ISBLANK(Table1[[#This Row],[OHC Date]]),$B$7-Table1[[#This Row],[HOC Date]]+1,Table1[[#This Row],[OHC Date]]-Table1[[#This Row],[HOC Date]]+1)/7</f>
        <v>0.42857142857142855</v>
      </c>
      <c r="V18" s="122">
        <v>36.520000000000003</v>
      </c>
      <c r="W18" s="122">
        <f>0.42*7</f>
        <v>2.94</v>
      </c>
      <c r="X18" s="122">
        <f>ROUND(0.7*Table1[[#This Row],[E&amp;D Rate per unit]]*R18,2)</f>
        <v>25.56</v>
      </c>
      <c r="Y18" s="122">
        <f>ROUND(O18*U18*W18*S18,2)</f>
        <v>12.35</v>
      </c>
      <c r="Z18" s="122">
        <f>ROUND(0.3*T18*Table1[[#This Row],[E&amp;D Rate per unit]],2)</f>
        <v>0</v>
      </c>
      <c r="AA18" s="122">
        <f t="shared" si="2"/>
        <v>37.909999999999997</v>
      </c>
      <c r="AB18" s="123"/>
      <c r="AC18" s="143">
        <f>Table1[[#This Row],[Total Amount]]</f>
        <v>37.909999999999997</v>
      </c>
      <c r="AD18" s="147"/>
      <c r="AE18" s="157"/>
      <c r="AF18" s="159"/>
    </row>
    <row r="19" spans="1:32" ht="30" customHeight="1" x14ac:dyDescent="0.25">
      <c r="A19" s="116" t="s">
        <v>94</v>
      </c>
      <c r="B19" s="92" t="s">
        <v>102</v>
      </c>
      <c r="C19" s="117" t="s">
        <v>175</v>
      </c>
      <c r="D19" s="117">
        <v>74671</v>
      </c>
      <c r="E19" s="117"/>
      <c r="F19" s="118" t="s">
        <v>169</v>
      </c>
      <c r="G19" s="17" t="s">
        <v>166</v>
      </c>
      <c r="H19" s="117" t="s">
        <v>132</v>
      </c>
      <c r="I19" s="117">
        <v>1</v>
      </c>
      <c r="J19" s="117">
        <v>13.8</v>
      </c>
      <c r="K19" s="117">
        <v>0.5</v>
      </c>
      <c r="L19" s="117">
        <v>1</v>
      </c>
      <c r="M19" s="117">
        <v>1</v>
      </c>
      <c r="N19" s="119" t="s">
        <v>167</v>
      </c>
      <c r="O19" s="119">
        <f>ROUND(IF(N19="m3",I19*J19*K19*L19,IF(N19="m2-LxH",I19*J19*L19,IF(N19="m2-LxW",I19*J19*K19,IF(N19="rm",I19*L19,IF(N19="lm",I19*J19,IF(N19="unit",I19,"NA")))))),2)</f>
        <v>6.9</v>
      </c>
      <c r="P19" s="133">
        <v>44832</v>
      </c>
      <c r="Q19" s="133"/>
      <c r="R19" s="120">
        <v>1</v>
      </c>
      <c r="S19" s="120">
        <v>1</v>
      </c>
      <c r="T19" s="120">
        <v>0</v>
      </c>
      <c r="U19" s="121">
        <f>IF(ISBLANK(Table1[[#This Row],[OHC Date]]),$B$7-Table1[[#This Row],[HOC Date]]+1,Table1[[#This Row],[OHC Date]]-Table1[[#This Row],[HOC Date]]+1)/7</f>
        <v>0.42857142857142855</v>
      </c>
      <c r="V19" s="122">
        <v>32.75</v>
      </c>
      <c r="W19" s="122">
        <v>1.05</v>
      </c>
      <c r="X19" s="122">
        <f>ROUND(0.7*Table1[[#This Row],[E&amp;D Rate per unit]]*R19,2)</f>
        <v>22.93</v>
      </c>
      <c r="Y19" s="122">
        <f>ROUND(O19*U19*W19*S19,2)</f>
        <v>3.11</v>
      </c>
      <c r="Z19" s="122">
        <f>ROUND(0.3*T19*Table1[[#This Row],[E&amp;D Rate per unit]],2)</f>
        <v>0</v>
      </c>
      <c r="AA19" s="122">
        <f>ROUND(X19+Z19+Y19,2)</f>
        <v>26.04</v>
      </c>
      <c r="AB19" s="123"/>
      <c r="AC19" s="145">
        <f>Table1[[#This Row],[Total Amount]]</f>
        <v>26.04</v>
      </c>
      <c r="AD19" s="147"/>
      <c r="AE19" s="157"/>
      <c r="AF19" s="159"/>
    </row>
    <row r="20" spans="1:32" ht="30" customHeight="1" x14ac:dyDescent="0.3">
      <c r="A20" s="22" t="s">
        <v>34</v>
      </c>
      <c r="B20" s="22"/>
      <c r="C20" s="23"/>
      <c r="D20" s="23">
        <f>SUBTOTAL(103,Table1[HOC])</f>
        <v>8</v>
      </c>
      <c r="E20" s="23">
        <f>SUBTOTAL(103,Table1[OHC])</f>
        <v>4</v>
      </c>
      <c r="F20" s="24"/>
      <c r="G20" s="24"/>
      <c r="H20" s="23"/>
      <c r="I20" s="23"/>
      <c r="J20" s="23"/>
      <c r="K20" s="23"/>
      <c r="L20" s="23"/>
      <c r="M20" s="23"/>
      <c r="N20" s="23"/>
      <c r="O20" s="23"/>
      <c r="P20" s="134"/>
      <c r="Q20" s="134"/>
      <c r="R20" s="23"/>
      <c r="S20" s="23"/>
      <c r="T20" s="23"/>
      <c r="U20" s="23"/>
      <c r="V20" s="23"/>
      <c r="W20" s="23"/>
      <c r="X20" s="25">
        <f>SUBTOTAL(109,Table1[Erect Charges])</f>
        <v>122641.10999999997</v>
      </c>
      <c r="Y20" s="25">
        <f>SUBTOTAL(109,Table1[Hire Charges])</f>
        <v>2603.5300000000002</v>
      </c>
      <c r="Z20" s="25">
        <f>SUBTOTAL(109,Table1[Dismantle Charges])</f>
        <v>42.71</v>
      </c>
      <c r="AA20" s="25">
        <f>SUBTOTAL(109,Table1[Total Amount])</f>
        <v>125287.34999999999</v>
      </c>
      <c r="AB20" s="26"/>
      <c r="AC20" s="25">
        <f>SUBTOTAL(109,Table1[Certified Amount])</f>
        <v>124830.20999999999</v>
      </c>
      <c r="AD20" s="23"/>
      <c r="AE20" s="158"/>
      <c r="AF20" s="160"/>
    </row>
    <row r="21" spans="1:32" x14ac:dyDescent="0.3">
      <c r="F21" s="27"/>
      <c r="G21" s="27"/>
      <c r="P21" s="131"/>
      <c r="Y21" s="11"/>
      <c r="Z21" s="11"/>
      <c r="AA21" s="28"/>
      <c r="AB21" s="28"/>
    </row>
    <row r="22" spans="1:32" x14ac:dyDescent="0.3">
      <c r="P22" s="131"/>
      <c r="Y22" s="11"/>
      <c r="Z22" s="11"/>
      <c r="AA22" s="28"/>
      <c r="AB22" s="28"/>
    </row>
    <row r="23" spans="1:32" x14ac:dyDescent="0.3">
      <c r="P23" s="131"/>
      <c r="Y23" s="11"/>
      <c r="Z23" s="11"/>
      <c r="AA23" s="28"/>
      <c r="AB23" s="28"/>
    </row>
    <row r="24" spans="1:32" x14ac:dyDescent="0.3">
      <c r="P24" s="131"/>
    </row>
    <row r="25" spans="1:32" x14ac:dyDescent="0.3">
      <c r="P25" s="131"/>
    </row>
    <row r="26" spans="1:32" x14ac:dyDescent="0.3">
      <c r="P26" s="131"/>
    </row>
    <row r="27" spans="1:32" x14ac:dyDescent="0.3">
      <c r="P27" s="131"/>
    </row>
    <row r="28" spans="1:32" x14ac:dyDescent="0.3">
      <c r="P28" s="131"/>
    </row>
    <row r="29" spans="1:32" x14ac:dyDescent="0.3">
      <c r="P29" s="131"/>
    </row>
    <row r="30" spans="1:32" x14ac:dyDescent="0.3">
      <c r="P30" s="131"/>
    </row>
    <row r="31" spans="1:32" x14ac:dyDescent="0.3">
      <c r="P31" s="131"/>
    </row>
    <row r="32" spans="1:32" x14ac:dyDescent="0.3">
      <c r="P32" s="131"/>
    </row>
    <row r="33" spans="16:16" x14ac:dyDescent="0.3">
      <c r="P33" s="131"/>
    </row>
    <row r="34" spans="16:16" x14ac:dyDescent="0.3">
      <c r="P34" s="131"/>
    </row>
  </sheetData>
  <protectedRanges>
    <protectedRange sqref="AC1:AC1048576" name="Range1" securityDescriptor="O:WDG:WDD:(A;;CC;;;S-1-5-21-2162722240-155571142-4159933717-1001)"/>
  </protectedRanges>
  <mergeCells count="2">
    <mergeCell ref="A2:E2"/>
    <mergeCell ref="A3:E3"/>
  </mergeCells>
  <phoneticPr fontId="18" type="noConversion"/>
  <conditionalFormatting sqref="D21:D1048576 D1:D2 D9:D19">
    <cfRule type="duplicateValues" dxfId="122" priority="3"/>
  </conditionalFormatting>
  <dataValidations count="1">
    <dataValidation type="list" allowBlank="1" showInputMessage="1" showErrorMessage="1" sqref="N10:N19" xr:uid="{00000000-0002-0000-0000-000000000000}">
      <formula1>"m3,m2-LxH,m2-LxW,rm,lm,unit"</formula1>
    </dataValidation>
  </dataValidations>
  <pageMargins left="0.7" right="0.7" top="0.75" bottom="0.75" header="0.3" footer="0.3"/>
  <pageSetup paperSize="9" scale="26" fitToHeight="0" orientation="landscape" verticalDpi="0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794D2FA-C92D-40A7-A257-54B502282F86}">
          <x14:formula1>
            <xm:f>'PA Front Sheet'!$M$3:$M$4</xm:f>
          </x14:formula1>
          <xm:sqref>B10:B19</xm:sqref>
        </x14:dataValidation>
        <x14:dataValidation type="list" allowBlank="1" showInputMessage="1" showErrorMessage="1" xr:uid="{A31C595E-9176-4B7A-A5E9-5C4781E7A121}">
          <x14:formula1>
            <xm:f>'Order References'!$C$3:$C$176</xm:f>
          </x14:formula1>
          <xm:sqref>A10:A19</xm:sqref>
        </x14:dataValidation>
        <x14:dataValidation type="list" allowBlank="1" showInputMessage="1" showErrorMessage="1" xr:uid="{2A2640DE-5D9B-486C-AD03-5F3B770FF146}">
          <x14:formula1>
            <xm:f>'Order References'!$D$3:$D$44</xm:f>
          </x14:formula1>
          <xm:sqref>H13:H19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D0E0-4AAD-48B0-B15A-3A46E7422E84}">
  <dimension ref="B1:H176"/>
  <sheetViews>
    <sheetView topLeftCell="A12" workbookViewId="0">
      <selection activeCell="H21" sqref="H21:H22"/>
    </sheetView>
  </sheetViews>
  <sheetFormatPr defaultRowHeight="14.4" x14ac:dyDescent="0.3"/>
  <cols>
    <col min="2" max="2" width="8.5546875" bestFit="1" customWidth="1"/>
    <col min="3" max="3" width="20.88671875" bestFit="1" customWidth="1"/>
    <col min="4" max="4" width="24.44140625" bestFit="1" customWidth="1"/>
    <col min="5" max="5" width="7.5546875" customWidth="1"/>
    <col min="6" max="6" width="17.44140625" customWidth="1"/>
    <col min="7" max="7" width="12.6640625" customWidth="1"/>
    <col min="8" max="8" width="9.6640625" customWidth="1"/>
  </cols>
  <sheetData>
    <row r="1" spans="2:8" ht="15" thickBot="1" x14ac:dyDescent="0.35"/>
    <row r="2" spans="2:8" ht="20.399999999999999" x14ac:dyDescent="0.3">
      <c r="B2" s="124" t="s">
        <v>108</v>
      </c>
      <c r="C2" s="125" t="s">
        <v>109</v>
      </c>
      <c r="D2" s="125" t="s">
        <v>110</v>
      </c>
      <c r="E2" s="125" t="s">
        <v>111</v>
      </c>
      <c r="F2" s="125" t="s">
        <v>112</v>
      </c>
      <c r="G2" s="125" t="s">
        <v>113</v>
      </c>
      <c r="H2" s="126" t="s">
        <v>114</v>
      </c>
    </row>
    <row r="3" spans="2:8" x14ac:dyDescent="0.3">
      <c r="B3" s="127">
        <v>1</v>
      </c>
      <c r="C3" s="115" t="s">
        <v>94</v>
      </c>
      <c r="D3" s="115" t="s">
        <v>115</v>
      </c>
      <c r="E3" s="115">
        <v>0</v>
      </c>
      <c r="F3" s="115" t="s">
        <v>116</v>
      </c>
      <c r="G3" s="115" t="s">
        <v>117</v>
      </c>
      <c r="H3" s="128">
        <v>63.34</v>
      </c>
    </row>
    <row r="4" spans="2:8" x14ac:dyDescent="0.3">
      <c r="B4" s="127">
        <v>2</v>
      </c>
      <c r="C4" s="115" t="s">
        <v>94</v>
      </c>
      <c r="D4" s="115" t="s">
        <v>115</v>
      </c>
      <c r="E4" s="115">
        <v>0</v>
      </c>
      <c r="F4" s="115" t="s">
        <v>118</v>
      </c>
      <c r="G4" s="115" t="s">
        <v>117</v>
      </c>
      <c r="H4" s="128">
        <v>7.28</v>
      </c>
    </row>
    <row r="5" spans="2:8" x14ac:dyDescent="0.3">
      <c r="B5" s="127">
        <v>3</v>
      </c>
      <c r="C5" s="115" t="s">
        <v>94</v>
      </c>
      <c r="D5" s="115" t="s">
        <v>119</v>
      </c>
      <c r="E5" s="115">
        <v>0</v>
      </c>
      <c r="F5" s="115" t="s">
        <v>116</v>
      </c>
      <c r="G5" s="115" t="s">
        <v>117</v>
      </c>
      <c r="H5" s="128">
        <v>103.33</v>
      </c>
    </row>
    <row r="6" spans="2:8" x14ac:dyDescent="0.3">
      <c r="B6" s="127">
        <v>4</v>
      </c>
      <c r="C6" s="115" t="s">
        <v>94</v>
      </c>
      <c r="D6" s="115" t="s">
        <v>119</v>
      </c>
      <c r="E6" s="115">
        <v>0</v>
      </c>
      <c r="F6" s="115" t="s">
        <v>118</v>
      </c>
      <c r="G6" s="115" t="s">
        <v>117</v>
      </c>
      <c r="H6" s="128">
        <v>10.29</v>
      </c>
    </row>
    <row r="7" spans="2:8" x14ac:dyDescent="0.3">
      <c r="B7" s="127">
        <v>5</v>
      </c>
      <c r="C7" s="115" t="s">
        <v>94</v>
      </c>
      <c r="D7" s="115" t="s">
        <v>120</v>
      </c>
      <c r="E7" s="115">
        <v>0</v>
      </c>
      <c r="F7" s="115" t="s">
        <v>116</v>
      </c>
      <c r="G7" s="115" t="s">
        <v>117</v>
      </c>
      <c r="H7" s="128">
        <v>148</v>
      </c>
    </row>
    <row r="8" spans="2:8" x14ac:dyDescent="0.3">
      <c r="B8" s="127">
        <v>6</v>
      </c>
      <c r="C8" s="115" t="s">
        <v>94</v>
      </c>
      <c r="D8" s="115" t="s">
        <v>121</v>
      </c>
      <c r="E8" s="115">
        <v>0</v>
      </c>
      <c r="F8" s="115" t="s">
        <v>118</v>
      </c>
      <c r="G8" s="115" t="s">
        <v>117</v>
      </c>
      <c r="H8" s="128">
        <v>12.88</v>
      </c>
    </row>
    <row r="9" spans="2:8" x14ac:dyDescent="0.3">
      <c r="B9" s="127">
        <v>7</v>
      </c>
      <c r="C9" s="115" t="s">
        <v>94</v>
      </c>
      <c r="D9" s="115" t="s">
        <v>122</v>
      </c>
      <c r="E9" s="115">
        <v>0</v>
      </c>
      <c r="F9" s="115" t="s">
        <v>116</v>
      </c>
      <c r="G9" s="115" t="s">
        <v>123</v>
      </c>
      <c r="H9" s="128">
        <v>12.01</v>
      </c>
    </row>
    <row r="10" spans="2:8" x14ac:dyDescent="0.3">
      <c r="B10" s="127">
        <v>8</v>
      </c>
      <c r="C10" s="115" t="s">
        <v>94</v>
      </c>
      <c r="D10" s="115" t="s">
        <v>122</v>
      </c>
      <c r="E10" s="115">
        <v>0</v>
      </c>
      <c r="F10" s="115" t="s">
        <v>118</v>
      </c>
      <c r="G10" s="115" t="s">
        <v>123</v>
      </c>
      <c r="H10" s="128">
        <v>0.49</v>
      </c>
    </row>
    <row r="11" spans="2:8" x14ac:dyDescent="0.3">
      <c r="B11" s="127">
        <v>9</v>
      </c>
      <c r="C11" s="115" t="s">
        <v>94</v>
      </c>
      <c r="D11" s="115" t="s">
        <v>124</v>
      </c>
      <c r="E11" s="115">
        <v>0</v>
      </c>
      <c r="F11" s="115" t="s">
        <v>116</v>
      </c>
      <c r="G11" s="115" t="s">
        <v>123</v>
      </c>
      <c r="H11" s="128">
        <v>16.760000000000002</v>
      </c>
    </row>
    <row r="12" spans="2:8" x14ac:dyDescent="0.3">
      <c r="B12" s="127">
        <v>10</v>
      </c>
      <c r="C12" s="115" t="s">
        <v>94</v>
      </c>
      <c r="D12" s="115" t="s">
        <v>124</v>
      </c>
      <c r="E12" s="115">
        <v>0</v>
      </c>
      <c r="F12" s="115" t="s">
        <v>118</v>
      </c>
      <c r="G12" s="115" t="s">
        <v>123</v>
      </c>
      <c r="H12" s="128">
        <v>0.77</v>
      </c>
    </row>
    <row r="13" spans="2:8" x14ac:dyDescent="0.3">
      <c r="B13" s="127">
        <v>11</v>
      </c>
      <c r="C13" s="115" t="s">
        <v>94</v>
      </c>
      <c r="D13" s="115" t="s">
        <v>125</v>
      </c>
      <c r="E13" s="115">
        <v>0</v>
      </c>
      <c r="F13" s="115" t="s">
        <v>116</v>
      </c>
      <c r="G13" s="115" t="s">
        <v>126</v>
      </c>
      <c r="H13" s="128">
        <v>7.08</v>
      </c>
    </row>
    <row r="14" spans="2:8" x14ac:dyDescent="0.3">
      <c r="B14" s="127">
        <v>12</v>
      </c>
      <c r="C14" s="115" t="s">
        <v>94</v>
      </c>
      <c r="D14" s="115" t="s">
        <v>125</v>
      </c>
      <c r="E14" s="115">
        <v>0</v>
      </c>
      <c r="F14" s="115" t="s">
        <v>118</v>
      </c>
      <c r="G14" s="115" t="s">
        <v>127</v>
      </c>
      <c r="H14" s="128">
        <v>7.0000000000000007E-2</v>
      </c>
    </row>
    <row r="15" spans="2:8" x14ac:dyDescent="0.3">
      <c r="B15" s="127">
        <v>13</v>
      </c>
      <c r="C15" s="115" t="s">
        <v>94</v>
      </c>
      <c r="D15" s="115" t="s">
        <v>128</v>
      </c>
      <c r="E15" s="115">
        <v>0</v>
      </c>
      <c r="F15" s="115" t="s">
        <v>116</v>
      </c>
      <c r="G15" s="115" t="s">
        <v>126</v>
      </c>
      <c r="H15" s="128">
        <v>10</v>
      </c>
    </row>
    <row r="16" spans="2:8" x14ac:dyDescent="0.3">
      <c r="B16" s="127">
        <v>14</v>
      </c>
      <c r="C16" s="115" t="s">
        <v>94</v>
      </c>
      <c r="D16" s="115" t="s">
        <v>128</v>
      </c>
      <c r="E16" s="115">
        <v>0</v>
      </c>
      <c r="F16" s="115" t="s">
        <v>118</v>
      </c>
      <c r="G16" s="115" t="s">
        <v>127</v>
      </c>
      <c r="H16" s="128">
        <v>0.13</v>
      </c>
    </row>
    <row r="17" spans="2:8" x14ac:dyDescent="0.3">
      <c r="B17" s="127">
        <v>15</v>
      </c>
      <c r="C17" s="115" t="s">
        <v>94</v>
      </c>
      <c r="D17" s="115" t="s">
        <v>129</v>
      </c>
      <c r="E17" s="115">
        <v>0</v>
      </c>
      <c r="F17" s="115" t="s">
        <v>116</v>
      </c>
      <c r="G17" s="115" t="s">
        <v>126</v>
      </c>
      <c r="H17" s="128">
        <v>5.29</v>
      </c>
    </row>
    <row r="18" spans="2:8" x14ac:dyDescent="0.3">
      <c r="B18" s="127">
        <v>16</v>
      </c>
      <c r="C18" s="115" t="s">
        <v>94</v>
      </c>
      <c r="D18" s="115" t="s">
        <v>129</v>
      </c>
      <c r="E18" s="115">
        <v>0</v>
      </c>
      <c r="F18" s="115" t="s">
        <v>118</v>
      </c>
      <c r="G18" s="115" t="s">
        <v>127</v>
      </c>
      <c r="H18" s="128">
        <v>0.05</v>
      </c>
    </row>
    <row r="19" spans="2:8" x14ac:dyDescent="0.3">
      <c r="B19" s="127">
        <v>17</v>
      </c>
      <c r="C19" s="115" t="s">
        <v>94</v>
      </c>
      <c r="D19" s="115" t="s">
        <v>130</v>
      </c>
      <c r="E19" s="115">
        <v>0</v>
      </c>
      <c r="F19" s="115" t="s">
        <v>116</v>
      </c>
      <c r="G19" s="115" t="s">
        <v>131</v>
      </c>
      <c r="H19" s="128">
        <v>6.63</v>
      </c>
    </row>
    <row r="20" spans="2:8" x14ac:dyDescent="0.3">
      <c r="B20" s="127">
        <v>18</v>
      </c>
      <c r="C20" s="115" t="s">
        <v>94</v>
      </c>
      <c r="D20" s="115" t="s">
        <v>130</v>
      </c>
      <c r="E20" s="115">
        <v>0</v>
      </c>
      <c r="F20" s="115" t="s">
        <v>118</v>
      </c>
      <c r="G20" s="115" t="s">
        <v>131</v>
      </c>
      <c r="H20" s="128">
        <v>0.7</v>
      </c>
    </row>
    <row r="21" spans="2:8" x14ac:dyDescent="0.3">
      <c r="B21" s="127">
        <v>19</v>
      </c>
      <c r="C21" s="115" t="s">
        <v>94</v>
      </c>
      <c r="D21" s="115" t="s">
        <v>132</v>
      </c>
      <c r="E21" s="115">
        <v>0</v>
      </c>
      <c r="F21" s="115" t="s">
        <v>116</v>
      </c>
      <c r="G21" s="115" t="s">
        <v>131</v>
      </c>
      <c r="H21" s="128">
        <v>32.75</v>
      </c>
    </row>
    <row r="22" spans="2:8" x14ac:dyDescent="0.3">
      <c r="B22" s="127">
        <v>20</v>
      </c>
      <c r="C22" s="115" t="s">
        <v>94</v>
      </c>
      <c r="D22" s="115" t="s">
        <v>132</v>
      </c>
      <c r="E22" s="115">
        <v>0</v>
      </c>
      <c r="F22" s="115" t="s">
        <v>118</v>
      </c>
      <c r="G22" s="115" t="s">
        <v>131</v>
      </c>
      <c r="H22" s="128">
        <v>1.05</v>
      </c>
    </row>
    <row r="23" spans="2:8" x14ac:dyDescent="0.3">
      <c r="B23" s="127">
        <v>21</v>
      </c>
      <c r="C23" s="115" t="s">
        <v>94</v>
      </c>
      <c r="D23" s="115" t="s">
        <v>133</v>
      </c>
      <c r="E23" s="115">
        <v>0</v>
      </c>
      <c r="F23" s="115" t="s">
        <v>116</v>
      </c>
      <c r="G23" s="115" t="s">
        <v>131</v>
      </c>
      <c r="H23" s="128">
        <v>36.520000000000003</v>
      </c>
    </row>
    <row r="24" spans="2:8" x14ac:dyDescent="0.3">
      <c r="B24" s="127">
        <v>22</v>
      </c>
      <c r="C24" s="115" t="s">
        <v>94</v>
      </c>
      <c r="D24" s="115" t="s">
        <v>133</v>
      </c>
      <c r="E24" s="115">
        <v>0</v>
      </c>
      <c r="F24" s="115" t="s">
        <v>118</v>
      </c>
      <c r="G24" s="115" t="s">
        <v>131</v>
      </c>
      <c r="H24" s="128">
        <v>2.94</v>
      </c>
    </row>
    <row r="25" spans="2:8" x14ac:dyDescent="0.3">
      <c r="B25" s="127">
        <v>23</v>
      </c>
      <c r="C25" s="115" t="s">
        <v>94</v>
      </c>
      <c r="D25" s="115" t="s">
        <v>134</v>
      </c>
      <c r="E25" s="115">
        <v>0</v>
      </c>
      <c r="F25" s="115" t="s">
        <v>116</v>
      </c>
      <c r="G25" s="115" t="s">
        <v>135</v>
      </c>
      <c r="H25" s="128">
        <v>37.43</v>
      </c>
    </row>
    <row r="26" spans="2:8" x14ac:dyDescent="0.3">
      <c r="B26" s="127">
        <v>24</v>
      </c>
      <c r="C26" s="115" t="s">
        <v>94</v>
      </c>
      <c r="D26" s="115" t="s">
        <v>134</v>
      </c>
      <c r="E26" s="115">
        <v>0</v>
      </c>
      <c r="F26" s="115" t="s">
        <v>118</v>
      </c>
      <c r="G26" s="115" t="s">
        <v>135</v>
      </c>
      <c r="H26" s="128">
        <v>1.4</v>
      </c>
    </row>
    <row r="27" spans="2:8" x14ac:dyDescent="0.3">
      <c r="B27" s="127">
        <v>25</v>
      </c>
      <c r="C27" s="115" t="s">
        <v>94</v>
      </c>
      <c r="D27" s="115" t="s">
        <v>136</v>
      </c>
      <c r="E27" s="115">
        <v>0</v>
      </c>
      <c r="F27" s="115" t="s">
        <v>116</v>
      </c>
      <c r="G27" s="115" t="s">
        <v>135</v>
      </c>
      <c r="H27" s="128">
        <v>0.3</v>
      </c>
    </row>
    <row r="28" spans="2:8" x14ac:dyDescent="0.3">
      <c r="B28" s="127">
        <v>26</v>
      </c>
      <c r="C28" s="115" t="s">
        <v>94</v>
      </c>
      <c r="D28" s="115" t="s">
        <v>136</v>
      </c>
      <c r="E28" s="115">
        <v>0</v>
      </c>
      <c r="F28" s="115" t="s">
        <v>118</v>
      </c>
      <c r="G28" s="115" t="s">
        <v>135</v>
      </c>
      <c r="H28" s="128">
        <v>0.14000000000000001</v>
      </c>
    </row>
    <row r="29" spans="2:8" x14ac:dyDescent="0.3">
      <c r="B29" s="127">
        <v>27</v>
      </c>
      <c r="C29" s="115" t="s">
        <v>94</v>
      </c>
      <c r="D29" s="115" t="s">
        <v>137</v>
      </c>
      <c r="E29" s="115">
        <v>0</v>
      </c>
      <c r="F29" s="115" t="s">
        <v>116</v>
      </c>
      <c r="G29" s="115" t="s">
        <v>135</v>
      </c>
      <c r="H29" s="128">
        <v>7</v>
      </c>
    </row>
    <row r="30" spans="2:8" x14ac:dyDescent="0.3">
      <c r="B30" s="127">
        <v>28</v>
      </c>
      <c r="C30" s="115" t="s">
        <v>94</v>
      </c>
      <c r="D30" s="115" t="s">
        <v>137</v>
      </c>
      <c r="E30" s="115">
        <v>0</v>
      </c>
      <c r="F30" s="115" t="s">
        <v>118</v>
      </c>
      <c r="G30" s="115" t="s">
        <v>135</v>
      </c>
      <c r="H30" s="128">
        <v>0.42</v>
      </c>
    </row>
    <row r="31" spans="2:8" x14ac:dyDescent="0.3">
      <c r="B31" s="127">
        <v>29</v>
      </c>
      <c r="C31" s="115" t="s">
        <v>94</v>
      </c>
      <c r="D31" s="115" t="s">
        <v>138</v>
      </c>
      <c r="E31" s="115">
        <v>0</v>
      </c>
      <c r="F31" s="115" t="s">
        <v>116</v>
      </c>
      <c r="G31" s="115" t="s">
        <v>135</v>
      </c>
      <c r="H31" s="128">
        <v>12</v>
      </c>
    </row>
    <row r="32" spans="2:8" x14ac:dyDescent="0.3">
      <c r="B32" s="127">
        <v>30</v>
      </c>
      <c r="C32" s="115" t="s">
        <v>94</v>
      </c>
      <c r="D32" s="115" t="s">
        <v>138</v>
      </c>
      <c r="E32" s="115">
        <v>0</v>
      </c>
      <c r="F32" s="115" t="s">
        <v>118</v>
      </c>
      <c r="G32" s="115" t="s">
        <v>135</v>
      </c>
      <c r="H32" s="128">
        <v>0.7</v>
      </c>
    </row>
    <row r="33" spans="2:8" x14ac:dyDescent="0.3">
      <c r="B33" s="127">
        <v>31</v>
      </c>
      <c r="C33" s="115" t="s">
        <v>94</v>
      </c>
      <c r="D33" s="115" t="s">
        <v>139</v>
      </c>
      <c r="E33" s="115">
        <v>0</v>
      </c>
      <c r="F33" s="115" t="s">
        <v>116</v>
      </c>
      <c r="G33" s="115" t="s">
        <v>135</v>
      </c>
      <c r="H33" s="128">
        <v>15</v>
      </c>
    </row>
    <row r="34" spans="2:8" x14ac:dyDescent="0.3">
      <c r="B34" s="127">
        <v>32</v>
      </c>
      <c r="C34" s="115" t="s">
        <v>94</v>
      </c>
      <c r="D34" s="115" t="s">
        <v>139</v>
      </c>
      <c r="E34" s="115">
        <v>0</v>
      </c>
      <c r="F34" s="115" t="s">
        <v>118</v>
      </c>
      <c r="G34" s="115" t="s">
        <v>135</v>
      </c>
      <c r="H34" s="128">
        <v>0.91</v>
      </c>
    </row>
    <row r="35" spans="2:8" x14ac:dyDescent="0.3">
      <c r="B35" s="127">
        <v>33</v>
      </c>
      <c r="C35" s="115" t="s">
        <v>94</v>
      </c>
      <c r="D35" s="115" t="s">
        <v>140</v>
      </c>
      <c r="E35" s="115">
        <v>0</v>
      </c>
      <c r="F35" s="115" t="s">
        <v>116</v>
      </c>
      <c r="G35" s="115" t="s">
        <v>135</v>
      </c>
      <c r="H35" s="128">
        <v>24</v>
      </c>
    </row>
    <row r="36" spans="2:8" x14ac:dyDescent="0.3">
      <c r="B36" s="127">
        <v>34</v>
      </c>
      <c r="C36" s="115" t="s">
        <v>94</v>
      </c>
      <c r="D36" s="115" t="s">
        <v>140</v>
      </c>
      <c r="E36" s="115">
        <v>0</v>
      </c>
      <c r="F36" s="115" t="s">
        <v>118</v>
      </c>
      <c r="G36" s="115" t="s">
        <v>135</v>
      </c>
      <c r="H36" s="128">
        <v>0.7</v>
      </c>
    </row>
    <row r="37" spans="2:8" x14ac:dyDescent="0.3">
      <c r="B37" s="127">
        <v>35</v>
      </c>
      <c r="C37" s="115" t="s">
        <v>94</v>
      </c>
      <c r="D37" s="115" t="s">
        <v>141</v>
      </c>
      <c r="E37" s="115">
        <v>0</v>
      </c>
      <c r="F37" s="115" t="s">
        <v>142</v>
      </c>
      <c r="G37" s="115" t="s">
        <v>123</v>
      </c>
      <c r="H37" s="128">
        <v>4.5199999999999996</v>
      </c>
    </row>
    <row r="38" spans="2:8" x14ac:dyDescent="0.3">
      <c r="B38" s="127">
        <v>36</v>
      </c>
      <c r="C38" s="115" t="s">
        <v>94</v>
      </c>
      <c r="D38" s="115" t="s">
        <v>143</v>
      </c>
      <c r="E38" s="115">
        <v>0</v>
      </c>
      <c r="F38" s="115" t="s">
        <v>142</v>
      </c>
      <c r="G38" s="115" t="s">
        <v>123</v>
      </c>
      <c r="H38" s="128">
        <v>4</v>
      </c>
    </row>
    <row r="39" spans="2:8" x14ac:dyDescent="0.3">
      <c r="B39" s="127">
        <v>37</v>
      </c>
      <c r="C39" s="115" t="s">
        <v>94</v>
      </c>
      <c r="D39" s="115" t="s">
        <v>144</v>
      </c>
      <c r="E39" s="115">
        <v>0</v>
      </c>
      <c r="F39" s="115" t="s">
        <v>116</v>
      </c>
      <c r="G39" s="115" t="s">
        <v>117</v>
      </c>
      <c r="H39" s="128">
        <v>250</v>
      </c>
    </row>
    <row r="40" spans="2:8" x14ac:dyDescent="0.3">
      <c r="B40" s="127">
        <v>38</v>
      </c>
      <c r="C40" s="115" t="s">
        <v>94</v>
      </c>
      <c r="D40" s="115" t="s">
        <v>144</v>
      </c>
      <c r="E40" s="115">
        <v>0</v>
      </c>
      <c r="F40" s="115" t="s">
        <v>118</v>
      </c>
      <c r="G40" s="115" t="s">
        <v>117</v>
      </c>
      <c r="H40" s="128">
        <v>14.35</v>
      </c>
    </row>
    <row r="41" spans="2:8" x14ac:dyDescent="0.3">
      <c r="B41" s="127">
        <v>39</v>
      </c>
      <c r="C41" s="115" t="s">
        <v>94</v>
      </c>
      <c r="D41" s="115" t="s">
        <v>145</v>
      </c>
      <c r="E41" s="115">
        <v>0</v>
      </c>
      <c r="F41" s="115" t="s">
        <v>116</v>
      </c>
      <c r="G41" s="115" t="s">
        <v>117</v>
      </c>
      <c r="H41" s="128">
        <v>376.2</v>
      </c>
    </row>
    <row r="42" spans="2:8" x14ac:dyDescent="0.3">
      <c r="B42" s="127">
        <v>40</v>
      </c>
      <c r="C42" s="115" t="s">
        <v>94</v>
      </c>
      <c r="D42" s="115" t="s">
        <v>145</v>
      </c>
      <c r="E42" s="115">
        <v>0</v>
      </c>
      <c r="F42" s="115" t="s">
        <v>118</v>
      </c>
      <c r="G42" s="115" t="s">
        <v>117</v>
      </c>
      <c r="H42" s="128">
        <v>40.11</v>
      </c>
    </row>
    <row r="43" spans="2:8" x14ac:dyDescent="0.3">
      <c r="B43" s="127">
        <v>41</v>
      </c>
      <c r="C43" s="115" t="s">
        <v>94</v>
      </c>
      <c r="D43" s="115" t="s">
        <v>146</v>
      </c>
      <c r="E43" s="115">
        <v>0</v>
      </c>
      <c r="F43" s="115" t="s">
        <v>81</v>
      </c>
      <c r="G43" s="115" t="s">
        <v>147</v>
      </c>
      <c r="H43" s="128">
        <v>20.5</v>
      </c>
    </row>
    <row r="44" spans="2:8" x14ac:dyDescent="0.3">
      <c r="B44" s="127">
        <v>42</v>
      </c>
      <c r="C44" s="115" t="s">
        <v>94</v>
      </c>
      <c r="D44" s="115" t="s">
        <v>148</v>
      </c>
      <c r="E44" s="115">
        <v>0</v>
      </c>
      <c r="F44" s="115" t="s">
        <v>81</v>
      </c>
      <c r="G44" s="115" t="s">
        <v>147</v>
      </c>
      <c r="H44" s="128">
        <v>24</v>
      </c>
    </row>
    <row r="45" spans="2:8" x14ac:dyDescent="0.3">
      <c r="B45" s="127">
        <v>43</v>
      </c>
      <c r="C45" s="115" t="s">
        <v>95</v>
      </c>
      <c r="D45" s="115" t="s">
        <v>149</v>
      </c>
      <c r="E45" s="115">
        <v>0</v>
      </c>
      <c r="F45" s="115" t="s">
        <v>116</v>
      </c>
      <c r="G45" s="115" t="s">
        <v>150</v>
      </c>
      <c r="H45" s="128">
        <v>0</v>
      </c>
    </row>
    <row r="46" spans="2:8" x14ac:dyDescent="0.3">
      <c r="B46" s="127">
        <v>44</v>
      </c>
      <c r="C46" s="115" t="s">
        <v>95</v>
      </c>
      <c r="D46" s="115" t="s">
        <v>149</v>
      </c>
      <c r="E46" s="115">
        <v>0</v>
      </c>
      <c r="F46" s="115" t="s">
        <v>118</v>
      </c>
      <c r="G46" s="115" t="s">
        <v>150</v>
      </c>
      <c r="H46" s="128">
        <f>200/7</f>
        <v>28.571428571428573</v>
      </c>
    </row>
    <row r="47" spans="2:8" x14ac:dyDescent="0.3">
      <c r="B47" s="127">
        <v>45</v>
      </c>
      <c r="C47" s="115" t="s">
        <v>96</v>
      </c>
      <c r="D47" s="115" t="s">
        <v>151</v>
      </c>
      <c r="E47" s="115">
        <v>1</v>
      </c>
      <c r="F47" s="115" t="s">
        <v>116</v>
      </c>
      <c r="G47" s="115" t="s">
        <v>152</v>
      </c>
      <c r="H47" s="128">
        <v>6044.84</v>
      </c>
    </row>
    <row r="48" spans="2:8" x14ac:dyDescent="0.3">
      <c r="B48" s="127">
        <v>46</v>
      </c>
      <c r="C48" s="115" t="s">
        <v>96</v>
      </c>
      <c r="D48" s="115" t="s">
        <v>151</v>
      </c>
      <c r="E48" s="115">
        <v>1</v>
      </c>
      <c r="F48" s="115" t="s">
        <v>118</v>
      </c>
      <c r="G48" s="115" t="s">
        <v>153</v>
      </c>
      <c r="H48" s="128">
        <f>317.71/7</f>
        <v>45.387142857142855</v>
      </c>
    </row>
    <row r="49" spans="2:8" x14ac:dyDescent="0.3">
      <c r="B49" s="127">
        <v>47</v>
      </c>
      <c r="C49" s="115" t="s">
        <v>97</v>
      </c>
      <c r="D49" s="115" t="s">
        <v>154</v>
      </c>
      <c r="E49" s="115">
        <v>1</v>
      </c>
      <c r="F49" s="115" t="s">
        <v>116</v>
      </c>
      <c r="G49" s="115" t="s">
        <v>152</v>
      </c>
      <c r="H49" s="128">
        <v>16252.45</v>
      </c>
    </row>
    <row r="50" spans="2:8" x14ac:dyDescent="0.3">
      <c r="B50" s="127">
        <v>48</v>
      </c>
      <c r="C50" s="115" t="s">
        <v>97</v>
      </c>
      <c r="D50" s="115" t="s">
        <v>154</v>
      </c>
      <c r="E50" s="115">
        <v>1</v>
      </c>
      <c r="F50" s="115" t="s">
        <v>118</v>
      </c>
      <c r="G50" s="115" t="s">
        <v>153</v>
      </c>
      <c r="H50" s="128">
        <f>625.97/7</f>
        <v>89.424285714285716</v>
      </c>
    </row>
    <row r="51" spans="2:8" x14ac:dyDescent="0.3">
      <c r="B51" s="127">
        <v>49</v>
      </c>
      <c r="C51" s="115" t="s">
        <v>98</v>
      </c>
      <c r="D51" s="115" t="s">
        <v>155</v>
      </c>
      <c r="E51" s="115">
        <v>1</v>
      </c>
      <c r="F51" s="115" t="s">
        <v>116</v>
      </c>
      <c r="G51" s="115" t="s">
        <v>152</v>
      </c>
      <c r="H51" s="128">
        <v>4844.83</v>
      </c>
    </row>
    <row r="52" spans="2:8" x14ac:dyDescent="0.3">
      <c r="B52" s="127">
        <v>50</v>
      </c>
      <c r="C52" s="115" t="s">
        <v>98</v>
      </c>
      <c r="D52" s="115" t="s">
        <v>155</v>
      </c>
      <c r="E52" s="115">
        <v>1</v>
      </c>
      <c r="F52" s="115" t="s">
        <v>118</v>
      </c>
      <c r="G52" s="115" t="s">
        <v>153</v>
      </c>
      <c r="H52" s="128">
        <f>111.93/7</f>
        <v>15.99</v>
      </c>
    </row>
    <row r="53" spans="2:8" x14ac:dyDescent="0.3">
      <c r="B53" s="127">
        <v>51</v>
      </c>
      <c r="C53" s="115" t="s">
        <v>98</v>
      </c>
      <c r="D53" s="115" t="s">
        <v>156</v>
      </c>
      <c r="E53" s="115">
        <v>1</v>
      </c>
      <c r="F53" s="115" t="s">
        <v>116</v>
      </c>
      <c r="G53" s="115" t="s">
        <v>152</v>
      </c>
      <c r="H53" s="128">
        <v>4990.83</v>
      </c>
    </row>
    <row r="54" spans="2:8" x14ac:dyDescent="0.3">
      <c r="B54" s="127">
        <v>52</v>
      </c>
      <c r="C54" s="115" t="s">
        <v>98</v>
      </c>
      <c r="D54" s="115" t="s">
        <v>156</v>
      </c>
      <c r="E54" s="115">
        <v>1</v>
      </c>
      <c r="F54" s="115" t="s">
        <v>118</v>
      </c>
      <c r="G54" s="115" t="s">
        <v>153</v>
      </c>
      <c r="H54" s="128">
        <f>121.95/7</f>
        <v>17.421428571428571</v>
      </c>
    </row>
    <row r="55" spans="2:8" x14ac:dyDescent="0.3">
      <c r="B55" s="127">
        <v>53</v>
      </c>
      <c r="C55" s="115" t="s">
        <v>98</v>
      </c>
      <c r="D55" s="115" t="s">
        <v>157</v>
      </c>
      <c r="E55" s="115">
        <v>1</v>
      </c>
      <c r="F55" s="115" t="s">
        <v>116</v>
      </c>
      <c r="G55" s="115" t="s">
        <v>152</v>
      </c>
      <c r="H55" s="128">
        <v>5095.97</v>
      </c>
    </row>
    <row r="56" spans="2:8" x14ac:dyDescent="0.3">
      <c r="B56" s="127">
        <v>54</v>
      </c>
      <c r="C56" s="115" t="s">
        <v>98</v>
      </c>
      <c r="D56" s="115" t="s">
        <v>157</v>
      </c>
      <c r="E56" s="115">
        <v>1</v>
      </c>
      <c r="F56" s="115" t="s">
        <v>118</v>
      </c>
      <c r="G56" s="115" t="s">
        <v>153</v>
      </c>
      <c r="H56" s="128">
        <f>129.15/7</f>
        <v>18.45</v>
      </c>
    </row>
    <row r="57" spans="2:8" x14ac:dyDescent="0.3">
      <c r="B57" s="127">
        <v>55</v>
      </c>
      <c r="C57" s="115" t="s">
        <v>98</v>
      </c>
      <c r="D57" s="115" t="s">
        <v>158</v>
      </c>
      <c r="E57" s="115">
        <v>1</v>
      </c>
      <c r="F57" s="115" t="s">
        <v>116</v>
      </c>
      <c r="G57" s="115" t="s">
        <v>152</v>
      </c>
      <c r="H57" s="128">
        <v>4127.3599999999997</v>
      </c>
    </row>
    <row r="58" spans="2:8" x14ac:dyDescent="0.3">
      <c r="B58" s="127">
        <v>56</v>
      </c>
      <c r="C58" s="115" t="s">
        <v>98</v>
      </c>
      <c r="D58" s="115" t="s">
        <v>158</v>
      </c>
      <c r="E58" s="115">
        <v>1</v>
      </c>
      <c r="F58" s="115" t="s">
        <v>118</v>
      </c>
      <c r="G58" s="115" t="s">
        <v>153</v>
      </c>
      <c r="H58" s="128">
        <f>59.06/7</f>
        <v>8.4371428571428577</v>
      </c>
    </row>
    <row r="59" spans="2:8" x14ac:dyDescent="0.3">
      <c r="B59" s="127">
        <v>57</v>
      </c>
      <c r="C59" s="115" t="s">
        <v>98</v>
      </c>
      <c r="D59" s="115" t="s">
        <v>159</v>
      </c>
      <c r="E59" s="115">
        <v>1</v>
      </c>
      <c r="F59" s="115" t="s">
        <v>116</v>
      </c>
      <c r="G59" s="115" t="s">
        <v>152</v>
      </c>
      <c r="H59" s="128">
        <v>8714.14</v>
      </c>
    </row>
    <row r="60" spans="2:8" x14ac:dyDescent="0.3">
      <c r="B60" s="127">
        <v>58</v>
      </c>
      <c r="C60" s="115" t="s">
        <v>98</v>
      </c>
      <c r="D60" s="115" t="s">
        <v>159</v>
      </c>
      <c r="E60" s="115">
        <v>1</v>
      </c>
      <c r="F60" s="115" t="s">
        <v>118</v>
      </c>
      <c r="G60" s="115" t="s">
        <v>153</v>
      </c>
      <c r="H60" s="128">
        <f>271.11/7</f>
        <v>38.730000000000004</v>
      </c>
    </row>
    <row r="61" spans="2:8" x14ac:dyDescent="0.3">
      <c r="B61" s="127">
        <v>59</v>
      </c>
      <c r="C61" s="115" t="s">
        <v>98</v>
      </c>
      <c r="D61" s="115" t="s">
        <v>160</v>
      </c>
      <c r="E61" s="115">
        <v>1</v>
      </c>
      <c r="F61" s="115" t="s">
        <v>116</v>
      </c>
      <c r="G61" s="115" t="s">
        <v>152</v>
      </c>
      <c r="H61" s="128">
        <v>5210.58</v>
      </c>
    </row>
    <row r="62" spans="2:8" x14ac:dyDescent="0.3">
      <c r="B62" s="127">
        <v>60</v>
      </c>
      <c r="C62" s="115" t="s">
        <v>98</v>
      </c>
      <c r="D62" s="115" t="s">
        <v>160</v>
      </c>
      <c r="E62" s="115">
        <v>1</v>
      </c>
      <c r="F62" s="115" t="s">
        <v>118</v>
      </c>
      <c r="G62" s="115" t="s">
        <v>153</v>
      </c>
      <c r="H62" s="128">
        <f>135.26/7</f>
        <v>19.322857142857142</v>
      </c>
    </row>
    <row r="63" spans="2:8" x14ac:dyDescent="0.3">
      <c r="B63" s="127">
        <v>61</v>
      </c>
      <c r="C63" s="115" t="s">
        <v>98</v>
      </c>
      <c r="D63" s="115" t="s">
        <v>161</v>
      </c>
      <c r="E63" s="115">
        <v>1</v>
      </c>
      <c r="F63" s="115" t="s">
        <v>116</v>
      </c>
      <c r="G63" s="115" t="s">
        <v>152</v>
      </c>
      <c r="H63" s="128">
        <v>5900.72</v>
      </c>
    </row>
    <row r="64" spans="2:8" x14ac:dyDescent="0.3">
      <c r="B64" s="127">
        <v>62</v>
      </c>
      <c r="C64" s="115" t="s">
        <v>98</v>
      </c>
      <c r="D64" s="115" t="s">
        <v>161</v>
      </c>
      <c r="E64" s="115">
        <v>1</v>
      </c>
      <c r="F64" s="115" t="s">
        <v>118</v>
      </c>
      <c r="G64" s="115" t="s">
        <v>153</v>
      </c>
      <c r="H64" s="128">
        <f>182.49/7</f>
        <v>26.07</v>
      </c>
    </row>
    <row r="65" spans="2:8" x14ac:dyDescent="0.3">
      <c r="B65" s="127">
        <v>63</v>
      </c>
      <c r="C65" s="115" t="s">
        <v>99</v>
      </c>
      <c r="D65" s="115" t="s">
        <v>162</v>
      </c>
      <c r="E65" s="115">
        <v>1</v>
      </c>
      <c r="F65" s="115" t="s">
        <v>116</v>
      </c>
      <c r="G65" s="115" t="s">
        <v>152</v>
      </c>
      <c r="H65" s="128">
        <v>53510.26</v>
      </c>
    </row>
    <row r="66" spans="2:8" x14ac:dyDescent="0.3">
      <c r="B66" s="127">
        <v>64</v>
      </c>
      <c r="C66" s="115" t="s">
        <v>99</v>
      </c>
      <c r="D66" s="115" t="s">
        <v>162</v>
      </c>
      <c r="E66" s="115">
        <v>1</v>
      </c>
      <c r="F66" s="115" t="s">
        <v>118</v>
      </c>
      <c r="G66" s="115" t="s">
        <v>153</v>
      </c>
      <c r="H66" s="128">
        <f>2807/7</f>
        <v>401</v>
      </c>
    </row>
    <row r="67" spans="2:8" x14ac:dyDescent="0.3">
      <c r="B67" s="127">
        <v>65</v>
      </c>
      <c r="C67" s="115" t="s">
        <v>100</v>
      </c>
      <c r="D67" s="115" t="s">
        <v>163</v>
      </c>
      <c r="E67" s="115">
        <v>1</v>
      </c>
      <c r="F67" s="115" t="s">
        <v>116</v>
      </c>
      <c r="G67" s="115" t="s">
        <v>152</v>
      </c>
      <c r="H67" s="128">
        <v>158449.10999999999</v>
      </c>
    </row>
    <row r="68" spans="2:8" x14ac:dyDescent="0.3">
      <c r="B68" s="127">
        <v>66</v>
      </c>
      <c r="C68" s="115" t="s">
        <v>100</v>
      </c>
      <c r="D68" s="115" t="s">
        <v>163</v>
      </c>
      <c r="E68" s="115">
        <v>1</v>
      </c>
      <c r="F68" s="115" t="s">
        <v>118</v>
      </c>
      <c r="G68" s="115" t="s">
        <v>153</v>
      </c>
      <c r="H68" s="128">
        <f>14128.97/7</f>
        <v>2018.4242857142856</v>
      </c>
    </row>
    <row r="69" spans="2:8" x14ac:dyDescent="0.3">
      <c r="B69" s="127">
        <v>67</v>
      </c>
      <c r="C69" s="115" t="s">
        <v>164</v>
      </c>
      <c r="D69" s="115"/>
      <c r="E69" s="115"/>
      <c r="F69" s="115"/>
      <c r="G69" s="115"/>
      <c r="H69" s="128"/>
    </row>
    <row r="70" spans="2:8" x14ac:dyDescent="0.3">
      <c r="B70" s="127">
        <v>68</v>
      </c>
      <c r="C70" s="115"/>
      <c r="D70" s="115"/>
      <c r="E70" s="115"/>
      <c r="F70" s="115"/>
      <c r="G70" s="115"/>
      <c r="H70" s="128"/>
    </row>
    <row r="71" spans="2:8" x14ac:dyDescent="0.3">
      <c r="B71" s="127">
        <v>69</v>
      </c>
      <c r="C71" s="115"/>
      <c r="D71" s="115"/>
      <c r="E71" s="115"/>
      <c r="F71" s="115"/>
      <c r="G71" s="115"/>
      <c r="H71" s="128"/>
    </row>
    <row r="72" spans="2:8" x14ac:dyDescent="0.3">
      <c r="B72" s="127">
        <v>70</v>
      </c>
      <c r="C72" s="115"/>
      <c r="D72" s="115"/>
      <c r="E72" s="115"/>
      <c r="F72" s="115"/>
      <c r="G72" s="115"/>
      <c r="H72" s="128"/>
    </row>
    <row r="73" spans="2:8" x14ac:dyDescent="0.3">
      <c r="B73" s="127">
        <v>71</v>
      </c>
      <c r="C73" s="115"/>
      <c r="D73" s="115"/>
      <c r="E73" s="115"/>
      <c r="F73" s="115"/>
      <c r="G73" s="115"/>
      <c r="H73" s="128"/>
    </row>
    <row r="74" spans="2:8" x14ac:dyDescent="0.3">
      <c r="B74" s="127">
        <v>72</v>
      </c>
      <c r="C74" s="115"/>
      <c r="D74" s="115"/>
      <c r="E74" s="115"/>
      <c r="F74" s="115"/>
      <c r="G74" s="115"/>
      <c r="H74" s="128"/>
    </row>
    <row r="75" spans="2:8" x14ac:dyDescent="0.3">
      <c r="B75" s="127">
        <v>73</v>
      </c>
      <c r="C75" s="115"/>
      <c r="D75" s="115"/>
      <c r="E75" s="115"/>
      <c r="F75" s="115"/>
      <c r="G75" s="115"/>
      <c r="H75" s="128"/>
    </row>
    <row r="76" spans="2:8" x14ac:dyDescent="0.3">
      <c r="B76" s="127">
        <v>74</v>
      </c>
      <c r="C76" s="115"/>
      <c r="D76" s="115"/>
      <c r="E76" s="115"/>
      <c r="F76" s="115"/>
      <c r="G76" s="115"/>
      <c r="H76" s="128"/>
    </row>
    <row r="77" spans="2:8" x14ac:dyDescent="0.3">
      <c r="B77" s="127">
        <v>75</v>
      </c>
      <c r="C77" s="115"/>
      <c r="D77" s="115"/>
      <c r="E77" s="115"/>
      <c r="F77" s="115"/>
      <c r="G77" s="115"/>
      <c r="H77" s="128"/>
    </row>
    <row r="78" spans="2:8" x14ac:dyDescent="0.3">
      <c r="B78" s="127">
        <v>76</v>
      </c>
      <c r="C78" s="115"/>
      <c r="D78" s="115"/>
      <c r="E78" s="115"/>
      <c r="F78" s="115"/>
      <c r="G78" s="115"/>
      <c r="H78" s="128"/>
    </row>
    <row r="79" spans="2:8" x14ac:dyDescent="0.3">
      <c r="B79" s="127">
        <v>77</v>
      </c>
      <c r="C79" s="115"/>
      <c r="D79" s="115"/>
      <c r="E79" s="115"/>
      <c r="F79" s="115"/>
      <c r="G79" s="115"/>
      <c r="H79" s="128"/>
    </row>
    <row r="80" spans="2:8" x14ac:dyDescent="0.3">
      <c r="B80" s="127">
        <v>78</v>
      </c>
      <c r="C80" s="115"/>
      <c r="D80" s="115"/>
      <c r="E80" s="115"/>
      <c r="F80" s="115"/>
      <c r="G80" s="115"/>
      <c r="H80" s="128"/>
    </row>
    <row r="81" spans="2:8" x14ac:dyDescent="0.3">
      <c r="B81" s="127">
        <v>79</v>
      </c>
      <c r="C81" s="115"/>
      <c r="D81" s="115"/>
      <c r="E81" s="115"/>
      <c r="F81" s="115"/>
      <c r="G81" s="115"/>
      <c r="H81" s="128"/>
    </row>
    <row r="82" spans="2:8" x14ac:dyDescent="0.3">
      <c r="B82" s="127">
        <v>80</v>
      </c>
      <c r="C82" s="115"/>
      <c r="D82" s="115"/>
      <c r="E82" s="115"/>
      <c r="F82" s="115"/>
      <c r="G82" s="115"/>
      <c r="H82" s="128"/>
    </row>
    <row r="83" spans="2:8" x14ac:dyDescent="0.3">
      <c r="B83" s="127">
        <v>81</v>
      </c>
      <c r="C83" s="115"/>
      <c r="D83" s="115"/>
      <c r="E83" s="115"/>
      <c r="F83" s="115"/>
      <c r="G83" s="115"/>
      <c r="H83" s="128"/>
    </row>
    <row r="84" spans="2:8" x14ac:dyDescent="0.3">
      <c r="B84" s="127">
        <v>82</v>
      </c>
      <c r="C84" s="115"/>
      <c r="D84" s="115"/>
      <c r="E84" s="115"/>
      <c r="F84" s="115"/>
      <c r="G84" s="115"/>
      <c r="H84" s="128"/>
    </row>
    <row r="85" spans="2:8" x14ac:dyDescent="0.3">
      <c r="B85" s="127">
        <v>83</v>
      </c>
      <c r="C85" s="115"/>
      <c r="D85" s="115"/>
      <c r="E85" s="115"/>
      <c r="F85" s="115"/>
      <c r="G85" s="115"/>
      <c r="H85" s="128"/>
    </row>
    <row r="86" spans="2:8" x14ac:dyDescent="0.3">
      <c r="B86" s="127">
        <v>84</v>
      </c>
      <c r="C86" s="115"/>
      <c r="D86" s="115"/>
      <c r="E86" s="115"/>
      <c r="F86" s="115"/>
      <c r="G86" s="115"/>
      <c r="H86" s="128"/>
    </row>
    <row r="87" spans="2:8" x14ac:dyDescent="0.3">
      <c r="B87" s="127">
        <v>85</v>
      </c>
      <c r="C87" s="115"/>
      <c r="D87" s="115"/>
      <c r="E87" s="115"/>
      <c r="F87" s="115"/>
      <c r="G87" s="115"/>
      <c r="H87" s="128"/>
    </row>
    <row r="88" spans="2:8" x14ac:dyDescent="0.3">
      <c r="B88" s="127">
        <v>86</v>
      </c>
      <c r="C88" s="115"/>
      <c r="D88" s="115"/>
      <c r="E88" s="115"/>
      <c r="F88" s="115"/>
      <c r="G88" s="115"/>
      <c r="H88" s="128"/>
    </row>
    <row r="89" spans="2:8" x14ac:dyDescent="0.3">
      <c r="B89" s="127">
        <v>87</v>
      </c>
      <c r="C89" s="115"/>
      <c r="D89" s="115"/>
      <c r="E89" s="115"/>
      <c r="F89" s="115"/>
      <c r="G89" s="115"/>
      <c r="H89" s="128"/>
    </row>
    <row r="90" spans="2:8" x14ac:dyDescent="0.3">
      <c r="B90" s="127">
        <v>88</v>
      </c>
      <c r="C90" s="115"/>
      <c r="D90" s="115"/>
      <c r="E90" s="115"/>
      <c r="F90" s="115"/>
      <c r="G90" s="115"/>
      <c r="H90" s="128"/>
    </row>
    <row r="91" spans="2:8" x14ac:dyDescent="0.3">
      <c r="B91" s="127">
        <v>89</v>
      </c>
      <c r="C91" s="115"/>
      <c r="D91" s="115"/>
      <c r="E91" s="115"/>
      <c r="F91" s="115"/>
      <c r="G91" s="115"/>
      <c r="H91" s="128"/>
    </row>
    <row r="92" spans="2:8" x14ac:dyDescent="0.3">
      <c r="B92" s="127">
        <v>90</v>
      </c>
      <c r="C92" s="115"/>
      <c r="D92" s="115"/>
      <c r="E92" s="115"/>
      <c r="F92" s="115"/>
      <c r="G92" s="115"/>
      <c r="H92" s="128"/>
    </row>
    <row r="93" spans="2:8" x14ac:dyDescent="0.3">
      <c r="B93" s="127">
        <v>91</v>
      </c>
      <c r="C93" s="115"/>
      <c r="D93" s="115"/>
      <c r="E93" s="115"/>
      <c r="F93" s="115"/>
      <c r="G93" s="115"/>
      <c r="H93" s="128"/>
    </row>
    <row r="94" spans="2:8" x14ac:dyDescent="0.3">
      <c r="B94" s="127">
        <v>92</v>
      </c>
      <c r="C94" s="115"/>
      <c r="D94" s="115"/>
      <c r="E94" s="115"/>
      <c r="F94" s="115"/>
      <c r="G94" s="115"/>
      <c r="H94" s="128"/>
    </row>
    <row r="95" spans="2:8" x14ac:dyDescent="0.3">
      <c r="B95" s="127">
        <v>93</v>
      </c>
      <c r="C95" s="115"/>
      <c r="D95" s="115"/>
      <c r="E95" s="115"/>
      <c r="F95" s="115"/>
      <c r="G95" s="115"/>
      <c r="H95" s="128"/>
    </row>
    <row r="96" spans="2:8" x14ac:dyDescent="0.3">
      <c r="B96" s="127">
        <v>94</v>
      </c>
      <c r="C96" s="115"/>
      <c r="D96" s="115"/>
      <c r="E96" s="115"/>
      <c r="F96" s="115"/>
      <c r="G96" s="115"/>
      <c r="H96" s="128"/>
    </row>
    <row r="97" spans="2:8" x14ac:dyDescent="0.3">
      <c r="B97" s="127">
        <v>95</v>
      </c>
      <c r="C97" s="115"/>
      <c r="D97" s="115"/>
      <c r="E97" s="115"/>
      <c r="F97" s="115"/>
      <c r="G97" s="115"/>
      <c r="H97" s="128"/>
    </row>
    <row r="98" spans="2:8" x14ac:dyDescent="0.3">
      <c r="B98" s="127">
        <v>96</v>
      </c>
      <c r="C98" s="115"/>
      <c r="D98" s="115"/>
      <c r="E98" s="115"/>
      <c r="F98" s="115"/>
      <c r="G98" s="115"/>
      <c r="H98" s="128"/>
    </row>
    <row r="99" spans="2:8" x14ac:dyDescent="0.3">
      <c r="B99" s="127">
        <v>97</v>
      </c>
      <c r="C99" s="115"/>
      <c r="D99" s="115"/>
      <c r="E99" s="115"/>
      <c r="F99" s="115"/>
      <c r="G99" s="115"/>
      <c r="H99" s="128"/>
    </row>
    <row r="100" spans="2:8" x14ac:dyDescent="0.3">
      <c r="B100" s="127">
        <v>98</v>
      </c>
      <c r="C100" s="115"/>
      <c r="D100" s="115"/>
      <c r="E100" s="115"/>
      <c r="F100" s="115"/>
      <c r="G100" s="115"/>
      <c r="H100" s="128"/>
    </row>
    <row r="101" spans="2:8" x14ac:dyDescent="0.3">
      <c r="B101" s="127">
        <v>99</v>
      </c>
      <c r="C101" s="115"/>
      <c r="D101" s="115"/>
      <c r="E101" s="115"/>
      <c r="F101" s="115"/>
      <c r="G101" s="115"/>
      <c r="H101" s="128"/>
    </row>
    <row r="102" spans="2:8" x14ac:dyDescent="0.3">
      <c r="B102" s="127">
        <v>100</v>
      </c>
      <c r="C102" s="115"/>
      <c r="D102" s="115"/>
      <c r="E102" s="115"/>
      <c r="F102" s="115"/>
      <c r="G102" s="115"/>
      <c r="H102" s="128"/>
    </row>
    <row r="103" spans="2:8" x14ac:dyDescent="0.3">
      <c r="B103" s="127">
        <v>101</v>
      </c>
      <c r="C103" s="115"/>
      <c r="D103" s="115"/>
      <c r="E103" s="115"/>
      <c r="F103" s="115"/>
      <c r="G103" s="115"/>
      <c r="H103" s="128"/>
    </row>
    <row r="104" spans="2:8" x14ac:dyDescent="0.3">
      <c r="B104" s="127">
        <v>102</v>
      </c>
      <c r="C104" s="115"/>
      <c r="D104" s="115"/>
      <c r="E104" s="115"/>
      <c r="F104" s="115"/>
      <c r="G104" s="115"/>
      <c r="H104" s="128"/>
    </row>
    <row r="105" spans="2:8" x14ac:dyDescent="0.3">
      <c r="B105" s="127">
        <v>103</v>
      </c>
      <c r="C105" s="115"/>
      <c r="D105" s="115"/>
      <c r="E105" s="115"/>
      <c r="F105" s="115"/>
      <c r="G105" s="115"/>
      <c r="H105" s="128"/>
    </row>
    <row r="106" spans="2:8" x14ac:dyDescent="0.3">
      <c r="B106" s="127">
        <v>104</v>
      </c>
      <c r="C106" s="115"/>
      <c r="D106" s="115"/>
      <c r="E106" s="115"/>
      <c r="F106" s="115"/>
      <c r="G106" s="115"/>
      <c r="H106" s="128"/>
    </row>
    <row r="107" spans="2:8" x14ac:dyDescent="0.3">
      <c r="B107" s="127">
        <v>105</v>
      </c>
      <c r="C107" s="115"/>
      <c r="D107" s="115"/>
      <c r="E107" s="115"/>
      <c r="F107" s="115"/>
      <c r="G107" s="115"/>
      <c r="H107" s="128"/>
    </row>
    <row r="108" spans="2:8" x14ac:dyDescent="0.3">
      <c r="B108" s="127">
        <v>106</v>
      </c>
      <c r="C108" s="115"/>
      <c r="D108" s="115"/>
      <c r="E108" s="115"/>
      <c r="F108" s="115"/>
      <c r="G108" s="115"/>
      <c r="H108" s="128"/>
    </row>
    <row r="109" spans="2:8" x14ac:dyDescent="0.3">
      <c r="B109" s="127">
        <v>107</v>
      </c>
      <c r="C109" s="115"/>
      <c r="D109" s="115"/>
      <c r="E109" s="115"/>
      <c r="F109" s="115"/>
      <c r="G109" s="115"/>
      <c r="H109" s="128"/>
    </row>
    <row r="110" spans="2:8" x14ac:dyDescent="0.3">
      <c r="B110" s="127">
        <v>108</v>
      </c>
      <c r="C110" s="115"/>
      <c r="D110" s="115"/>
      <c r="E110" s="115"/>
      <c r="F110" s="115"/>
      <c r="G110" s="115"/>
      <c r="H110" s="128"/>
    </row>
    <row r="111" spans="2:8" x14ac:dyDescent="0.3">
      <c r="B111" s="127">
        <v>109</v>
      </c>
      <c r="C111" s="115"/>
      <c r="D111" s="115"/>
      <c r="E111" s="115"/>
      <c r="F111" s="115"/>
      <c r="G111" s="115"/>
      <c r="H111" s="128"/>
    </row>
    <row r="112" spans="2:8" x14ac:dyDescent="0.3">
      <c r="B112" s="127">
        <v>110</v>
      </c>
      <c r="C112" s="115"/>
      <c r="D112" s="115"/>
      <c r="E112" s="115"/>
      <c r="F112" s="115"/>
      <c r="G112" s="115"/>
      <c r="H112" s="128"/>
    </row>
    <row r="113" spans="2:8" x14ac:dyDescent="0.3">
      <c r="B113" s="127">
        <v>111</v>
      </c>
      <c r="C113" s="115"/>
      <c r="D113" s="115"/>
      <c r="E113" s="115"/>
      <c r="F113" s="115"/>
      <c r="G113" s="115"/>
      <c r="H113" s="128"/>
    </row>
    <row r="114" spans="2:8" x14ac:dyDescent="0.3">
      <c r="B114" s="127">
        <v>112</v>
      </c>
      <c r="C114" s="115"/>
      <c r="D114" s="115"/>
      <c r="E114" s="115"/>
      <c r="F114" s="115"/>
      <c r="G114" s="115"/>
      <c r="H114" s="128"/>
    </row>
    <row r="115" spans="2:8" x14ac:dyDescent="0.3">
      <c r="B115" s="127">
        <v>113</v>
      </c>
      <c r="C115" s="115"/>
      <c r="D115" s="115"/>
      <c r="E115" s="115"/>
      <c r="F115" s="115"/>
      <c r="G115" s="115"/>
      <c r="H115" s="128"/>
    </row>
    <row r="116" spans="2:8" x14ac:dyDescent="0.3">
      <c r="B116" s="127">
        <v>114</v>
      </c>
      <c r="C116" s="115"/>
      <c r="D116" s="115"/>
      <c r="E116" s="115"/>
      <c r="F116" s="115"/>
      <c r="G116" s="115"/>
      <c r="H116" s="128"/>
    </row>
    <row r="117" spans="2:8" x14ac:dyDescent="0.3">
      <c r="B117" s="127">
        <v>115</v>
      </c>
      <c r="C117" s="115"/>
      <c r="D117" s="115"/>
      <c r="E117" s="115"/>
      <c r="F117" s="115"/>
      <c r="G117" s="115"/>
      <c r="H117" s="128"/>
    </row>
    <row r="118" spans="2:8" x14ac:dyDescent="0.3">
      <c r="B118" s="127">
        <v>116</v>
      </c>
      <c r="C118" s="115"/>
      <c r="D118" s="115"/>
      <c r="E118" s="115"/>
      <c r="F118" s="115"/>
      <c r="G118" s="115"/>
      <c r="H118" s="128"/>
    </row>
    <row r="119" spans="2:8" x14ac:dyDescent="0.3">
      <c r="B119" s="127">
        <v>117</v>
      </c>
      <c r="C119" s="115"/>
      <c r="D119" s="115"/>
      <c r="E119" s="115"/>
      <c r="F119" s="115"/>
      <c r="G119" s="115"/>
      <c r="H119" s="128"/>
    </row>
    <row r="120" spans="2:8" x14ac:dyDescent="0.3">
      <c r="B120" s="127">
        <v>118</v>
      </c>
      <c r="C120" s="115"/>
      <c r="D120" s="115"/>
      <c r="E120" s="115"/>
      <c r="F120" s="115"/>
      <c r="G120" s="115"/>
      <c r="H120" s="128"/>
    </row>
    <row r="121" spans="2:8" x14ac:dyDescent="0.3">
      <c r="B121" s="127">
        <v>119</v>
      </c>
      <c r="C121" s="115"/>
      <c r="D121" s="115"/>
      <c r="E121" s="115"/>
      <c r="F121" s="115"/>
      <c r="G121" s="115"/>
      <c r="H121" s="128"/>
    </row>
    <row r="122" spans="2:8" x14ac:dyDescent="0.3">
      <c r="B122" s="127">
        <v>120</v>
      </c>
      <c r="C122" s="115"/>
      <c r="D122" s="115"/>
      <c r="E122" s="115"/>
      <c r="F122" s="115"/>
      <c r="G122" s="115"/>
      <c r="H122" s="128"/>
    </row>
    <row r="123" spans="2:8" x14ac:dyDescent="0.3">
      <c r="B123" s="127">
        <v>121</v>
      </c>
      <c r="C123" s="115"/>
      <c r="D123" s="115"/>
      <c r="E123" s="115"/>
      <c r="F123" s="115"/>
      <c r="G123" s="115"/>
      <c r="H123" s="128"/>
    </row>
    <row r="124" spans="2:8" x14ac:dyDescent="0.3">
      <c r="B124" s="127">
        <v>122</v>
      </c>
      <c r="C124" s="115"/>
      <c r="D124" s="115"/>
      <c r="E124" s="115"/>
      <c r="F124" s="115"/>
      <c r="G124" s="115"/>
      <c r="H124" s="128"/>
    </row>
    <row r="125" spans="2:8" x14ac:dyDescent="0.3">
      <c r="B125" s="127">
        <v>123</v>
      </c>
      <c r="C125" s="115"/>
      <c r="D125" s="115"/>
      <c r="E125" s="115"/>
      <c r="F125" s="115"/>
      <c r="G125" s="115"/>
      <c r="H125" s="128"/>
    </row>
    <row r="126" spans="2:8" x14ac:dyDescent="0.3">
      <c r="B126" s="127">
        <v>124</v>
      </c>
      <c r="C126" s="115"/>
      <c r="D126" s="115"/>
      <c r="E126" s="115"/>
      <c r="F126" s="115"/>
      <c r="G126" s="115"/>
      <c r="H126" s="128"/>
    </row>
    <row r="127" spans="2:8" x14ac:dyDescent="0.3">
      <c r="B127" s="127">
        <v>125</v>
      </c>
      <c r="C127" s="115"/>
      <c r="D127" s="115"/>
      <c r="E127" s="115"/>
      <c r="F127" s="115"/>
      <c r="G127" s="115"/>
      <c r="H127" s="128"/>
    </row>
    <row r="128" spans="2:8" x14ac:dyDescent="0.3">
      <c r="B128" s="127">
        <v>126</v>
      </c>
      <c r="C128" s="115"/>
      <c r="D128" s="115"/>
      <c r="E128" s="115"/>
      <c r="F128" s="115"/>
      <c r="G128" s="115"/>
      <c r="H128" s="128"/>
    </row>
    <row r="129" spans="2:8" x14ac:dyDescent="0.3">
      <c r="B129" s="127">
        <v>127</v>
      </c>
      <c r="C129" s="115"/>
      <c r="D129" s="115"/>
      <c r="E129" s="115"/>
      <c r="F129" s="115"/>
      <c r="G129" s="115"/>
      <c r="H129" s="128"/>
    </row>
    <row r="130" spans="2:8" x14ac:dyDescent="0.3">
      <c r="B130" s="127">
        <v>128</v>
      </c>
      <c r="C130" s="115"/>
      <c r="D130" s="115"/>
      <c r="E130" s="115"/>
      <c r="F130" s="115"/>
      <c r="G130" s="115"/>
      <c r="H130" s="128"/>
    </row>
    <row r="131" spans="2:8" x14ac:dyDescent="0.3">
      <c r="B131" s="127">
        <v>129</v>
      </c>
      <c r="C131" s="115"/>
      <c r="D131" s="115"/>
      <c r="E131" s="115"/>
      <c r="F131" s="115"/>
      <c r="G131" s="115"/>
      <c r="H131" s="128"/>
    </row>
    <row r="132" spans="2:8" x14ac:dyDescent="0.3">
      <c r="B132" s="127">
        <v>130</v>
      </c>
      <c r="C132" s="115"/>
      <c r="D132" s="115"/>
      <c r="E132" s="115"/>
      <c r="F132" s="115"/>
      <c r="G132" s="115"/>
      <c r="H132" s="128"/>
    </row>
    <row r="133" spans="2:8" x14ac:dyDescent="0.3">
      <c r="B133" s="127">
        <v>131</v>
      </c>
      <c r="C133" s="115"/>
      <c r="D133" s="115"/>
      <c r="E133" s="115"/>
      <c r="F133" s="115"/>
      <c r="G133" s="115"/>
      <c r="H133" s="128"/>
    </row>
    <row r="134" spans="2:8" x14ac:dyDescent="0.3">
      <c r="B134" s="127">
        <v>132</v>
      </c>
      <c r="C134" s="115"/>
      <c r="D134" s="115"/>
      <c r="E134" s="115"/>
      <c r="F134" s="115"/>
      <c r="G134" s="115"/>
      <c r="H134" s="128"/>
    </row>
    <row r="135" spans="2:8" x14ac:dyDescent="0.3">
      <c r="B135" s="127">
        <v>133</v>
      </c>
      <c r="C135" s="115"/>
      <c r="D135" s="115"/>
      <c r="E135" s="115"/>
      <c r="F135" s="115"/>
      <c r="G135" s="115"/>
      <c r="H135" s="128"/>
    </row>
    <row r="136" spans="2:8" x14ac:dyDescent="0.3">
      <c r="B136" s="127">
        <v>134</v>
      </c>
      <c r="C136" s="115"/>
      <c r="D136" s="115"/>
      <c r="E136" s="115"/>
      <c r="F136" s="115"/>
      <c r="G136" s="115"/>
      <c r="H136" s="128"/>
    </row>
    <row r="137" spans="2:8" x14ac:dyDescent="0.3">
      <c r="B137" s="127">
        <v>135</v>
      </c>
      <c r="C137" s="115"/>
      <c r="D137" s="115"/>
      <c r="E137" s="115"/>
      <c r="F137" s="115"/>
      <c r="G137" s="115"/>
      <c r="H137" s="128"/>
    </row>
    <row r="138" spans="2:8" x14ac:dyDescent="0.3">
      <c r="B138" s="127">
        <v>136</v>
      </c>
      <c r="C138" s="115"/>
      <c r="D138" s="115"/>
      <c r="E138" s="115"/>
      <c r="F138" s="115"/>
      <c r="G138" s="115"/>
      <c r="H138" s="128"/>
    </row>
    <row r="139" spans="2:8" x14ac:dyDescent="0.3">
      <c r="B139" s="127">
        <v>137</v>
      </c>
      <c r="C139" s="115"/>
      <c r="D139" s="115"/>
      <c r="E139" s="115"/>
      <c r="F139" s="115"/>
      <c r="G139" s="115"/>
      <c r="H139" s="128"/>
    </row>
    <row r="140" spans="2:8" x14ac:dyDescent="0.3">
      <c r="B140" s="127">
        <v>138</v>
      </c>
      <c r="C140" s="115"/>
      <c r="D140" s="115"/>
      <c r="E140" s="115"/>
      <c r="F140" s="115"/>
      <c r="G140" s="115"/>
      <c r="H140" s="128"/>
    </row>
    <row r="141" spans="2:8" x14ac:dyDescent="0.3">
      <c r="B141" s="127">
        <v>139</v>
      </c>
      <c r="C141" s="115"/>
      <c r="D141" s="115"/>
      <c r="E141" s="115"/>
      <c r="F141" s="115"/>
      <c r="G141" s="115"/>
      <c r="H141" s="128"/>
    </row>
    <row r="142" spans="2:8" x14ac:dyDescent="0.3">
      <c r="B142" s="127">
        <v>140</v>
      </c>
      <c r="C142" s="115"/>
      <c r="D142" s="115"/>
      <c r="E142" s="115"/>
      <c r="F142" s="115"/>
      <c r="G142" s="115"/>
      <c r="H142" s="128"/>
    </row>
    <row r="143" spans="2:8" x14ac:dyDescent="0.3">
      <c r="B143" s="127">
        <v>141</v>
      </c>
      <c r="C143" s="115"/>
      <c r="D143" s="115"/>
      <c r="E143" s="115"/>
      <c r="F143" s="115"/>
      <c r="G143" s="115"/>
      <c r="H143" s="128"/>
    </row>
    <row r="144" spans="2:8" x14ac:dyDescent="0.3">
      <c r="B144" s="127">
        <v>142</v>
      </c>
      <c r="C144" s="115"/>
      <c r="D144" s="115"/>
      <c r="E144" s="115"/>
      <c r="F144" s="115"/>
      <c r="G144" s="115"/>
      <c r="H144" s="128"/>
    </row>
    <row r="145" spans="2:8" x14ac:dyDescent="0.3">
      <c r="B145" s="127">
        <v>143</v>
      </c>
      <c r="C145" s="115"/>
      <c r="D145" s="115"/>
      <c r="E145" s="115"/>
      <c r="F145" s="115"/>
      <c r="G145" s="115"/>
      <c r="H145" s="128"/>
    </row>
    <row r="146" spans="2:8" x14ac:dyDescent="0.3">
      <c r="B146" s="127">
        <v>144</v>
      </c>
      <c r="C146" s="115"/>
      <c r="D146" s="115"/>
      <c r="E146" s="115"/>
      <c r="F146" s="115"/>
      <c r="G146" s="115"/>
      <c r="H146" s="128"/>
    </row>
    <row r="147" spans="2:8" x14ac:dyDescent="0.3">
      <c r="B147" s="127">
        <v>145</v>
      </c>
      <c r="C147" s="115"/>
      <c r="D147" s="115"/>
      <c r="E147" s="115"/>
      <c r="F147" s="115"/>
      <c r="G147" s="115"/>
      <c r="H147" s="128"/>
    </row>
    <row r="148" spans="2:8" x14ac:dyDescent="0.3">
      <c r="B148" s="127">
        <v>146</v>
      </c>
      <c r="C148" s="115"/>
      <c r="D148" s="115"/>
      <c r="E148" s="115"/>
      <c r="F148" s="115"/>
      <c r="G148" s="115"/>
      <c r="H148" s="128"/>
    </row>
    <row r="149" spans="2:8" x14ac:dyDescent="0.3">
      <c r="B149" s="127">
        <v>147</v>
      </c>
      <c r="C149" s="115"/>
      <c r="D149" s="115"/>
      <c r="E149" s="115"/>
      <c r="F149" s="115"/>
      <c r="G149" s="115"/>
      <c r="H149" s="128"/>
    </row>
    <row r="150" spans="2:8" x14ac:dyDescent="0.3">
      <c r="B150" s="127">
        <v>148</v>
      </c>
      <c r="C150" s="115"/>
      <c r="D150" s="115"/>
      <c r="E150" s="115"/>
      <c r="F150" s="115"/>
      <c r="G150" s="115"/>
      <c r="H150" s="128"/>
    </row>
    <row r="151" spans="2:8" x14ac:dyDescent="0.3">
      <c r="B151" s="127">
        <v>149</v>
      </c>
      <c r="C151" s="115"/>
      <c r="D151" s="115"/>
      <c r="E151" s="115"/>
      <c r="F151" s="115"/>
      <c r="G151" s="115"/>
      <c r="H151" s="128"/>
    </row>
    <row r="152" spans="2:8" x14ac:dyDescent="0.3">
      <c r="B152" s="127">
        <v>150</v>
      </c>
      <c r="C152" s="115"/>
      <c r="D152" s="115"/>
      <c r="E152" s="115"/>
      <c r="F152" s="115"/>
      <c r="G152" s="115"/>
      <c r="H152" s="128"/>
    </row>
    <row r="153" spans="2:8" x14ac:dyDescent="0.3">
      <c r="B153" s="127">
        <v>151</v>
      </c>
      <c r="C153" s="115"/>
      <c r="D153" s="115"/>
      <c r="E153" s="115"/>
      <c r="F153" s="115"/>
      <c r="G153" s="115"/>
      <c r="H153" s="128"/>
    </row>
    <row r="154" spans="2:8" x14ac:dyDescent="0.3">
      <c r="B154" s="127">
        <v>152</v>
      </c>
      <c r="C154" s="115"/>
      <c r="D154" s="115"/>
      <c r="E154" s="115"/>
      <c r="F154" s="115"/>
      <c r="G154" s="115"/>
      <c r="H154" s="128"/>
    </row>
    <row r="155" spans="2:8" x14ac:dyDescent="0.3">
      <c r="B155" s="127">
        <v>153</v>
      </c>
      <c r="C155" s="115"/>
      <c r="D155" s="115"/>
      <c r="E155" s="115"/>
      <c r="F155" s="115"/>
      <c r="G155" s="115"/>
      <c r="H155" s="128"/>
    </row>
    <row r="156" spans="2:8" x14ac:dyDescent="0.3">
      <c r="B156" s="127">
        <v>154</v>
      </c>
      <c r="C156" s="115"/>
      <c r="D156" s="115"/>
      <c r="E156" s="115"/>
      <c r="F156" s="115"/>
      <c r="G156" s="115"/>
      <c r="H156" s="128"/>
    </row>
    <row r="157" spans="2:8" x14ac:dyDescent="0.3">
      <c r="B157" s="127">
        <v>155</v>
      </c>
      <c r="C157" s="115"/>
      <c r="D157" s="115"/>
      <c r="E157" s="115"/>
      <c r="F157" s="115"/>
      <c r="G157" s="115"/>
      <c r="H157" s="128"/>
    </row>
    <row r="158" spans="2:8" x14ac:dyDescent="0.3">
      <c r="B158" s="127">
        <v>156</v>
      </c>
      <c r="C158" s="115"/>
      <c r="D158" s="115"/>
      <c r="E158" s="115"/>
      <c r="F158" s="115"/>
      <c r="G158" s="115"/>
      <c r="H158" s="128"/>
    </row>
    <row r="159" spans="2:8" x14ac:dyDescent="0.3">
      <c r="B159" s="127">
        <v>157</v>
      </c>
      <c r="C159" s="115"/>
      <c r="D159" s="115"/>
      <c r="E159" s="115"/>
      <c r="F159" s="115"/>
      <c r="G159" s="115"/>
      <c r="H159" s="128"/>
    </row>
    <row r="160" spans="2:8" x14ac:dyDescent="0.3">
      <c r="B160" s="127">
        <v>158</v>
      </c>
      <c r="C160" s="115"/>
      <c r="D160" s="115"/>
      <c r="E160" s="115"/>
      <c r="F160" s="115"/>
      <c r="G160" s="115"/>
      <c r="H160" s="128"/>
    </row>
    <row r="161" spans="2:8" x14ac:dyDescent="0.3">
      <c r="B161" s="127">
        <v>159</v>
      </c>
      <c r="C161" s="115"/>
      <c r="D161" s="115"/>
      <c r="E161" s="115"/>
      <c r="F161" s="115"/>
      <c r="G161" s="115"/>
      <c r="H161" s="128"/>
    </row>
    <row r="162" spans="2:8" x14ac:dyDescent="0.3">
      <c r="B162" s="127">
        <v>160</v>
      </c>
      <c r="C162" s="115"/>
      <c r="D162" s="115"/>
      <c r="E162" s="115"/>
      <c r="F162" s="115"/>
      <c r="G162" s="115"/>
      <c r="H162" s="128"/>
    </row>
    <row r="163" spans="2:8" x14ac:dyDescent="0.3">
      <c r="B163" s="127">
        <v>161</v>
      </c>
      <c r="C163" s="115"/>
      <c r="D163" s="115"/>
      <c r="E163" s="115"/>
      <c r="F163" s="115"/>
      <c r="G163" s="115"/>
      <c r="H163" s="128"/>
    </row>
    <row r="164" spans="2:8" x14ac:dyDescent="0.3">
      <c r="B164" s="127">
        <v>162</v>
      </c>
      <c r="C164" s="115"/>
      <c r="D164" s="115"/>
      <c r="E164" s="115"/>
      <c r="F164" s="115"/>
      <c r="G164" s="115"/>
      <c r="H164" s="128"/>
    </row>
    <row r="165" spans="2:8" x14ac:dyDescent="0.3">
      <c r="B165" s="127">
        <v>163</v>
      </c>
      <c r="C165" s="115"/>
      <c r="D165" s="115"/>
      <c r="E165" s="115"/>
      <c r="F165" s="115"/>
      <c r="G165" s="115"/>
      <c r="H165" s="128"/>
    </row>
    <row r="166" spans="2:8" x14ac:dyDescent="0.3">
      <c r="B166" s="127">
        <v>164</v>
      </c>
      <c r="C166" s="115"/>
      <c r="D166" s="115"/>
      <c r="E166" s="115"/>
      <c r="F166" s="115"/>
      <c r="G166" s="115"/>
      <c r="H166" s="128"/>
    </row>
    <row r="167" spans="2:8" x14ac:dyDescent="0.3">
      <c r="B167" s="127">
        <v>165</v>
      </c>
      <c r="C167" s="115"/>
      <c r="D167" s="115"/>
      <c r="E167" s="115"/>
      <c r="F167" s="115"/>
      <c r="G167" s="115"/>
      <c r="H167" s="128"/>
    </row>
    <row r="168" spans="2:8" x14ac:dyDescent="0.3">
      <c r="B168" s="127">
        <v>166</v>
      </c>
      <c r="C168" s="115"/>
      <c r="D168" s="115"/>
      <c r="E168" s="115"/>
      <c r="F168" s="115"/>
      <c r="G168" s="115"/>
      <c r="H168" s="128"/>
    </row>
    <row r="169" spans="2:8" x14ac:dyDescent="0.3">
      <c r="B169" s="127">
        <v>167</v>
      </c>
      <c r="C169" s="115"/>
      <c r="D169" s="115"/>
      <c r="E169" s="115"/>
      <c r="F169" s="115"/>
      <c r="G169" s="115"/>
      <c r="H169" s="128"/>
    </row>
    <row r="170" spans="2:8" x14ac:dyDescent="0.3">
      <c r="B170" s="127">
        <v>168</v>
      </c>
      <c r="C170" s="115"/>
      <c r="D170" s="115"/>
      <c r="E170" s="115"/>
      <c r="F170" s="115"/>
      <c r="G170" s="115"/>
      <c r="H170" s="128"/>
    </row>
    <row r="171" spans="2:8" x14ac:dyDescent="0.3">
      <c r="B171" s="127">
        <v>169</v>
      </c>
      <c r="C171" s="115"/>
      <c r="D171" s="115"/>
      <c r="E171" s="115"/>
      <c r="F171" s="115"/>
      <c r="G171" s="115"/>
      <c r="H171" s="128"/>
    </row>
    <row r="172" spans="2:8" x14ac:dyDescent="0.3">
      <c r="B172" s="127">
        <v>170</v>
      </c>
      <c r="C172" s="115"/>
      <c r="D172" s="115"/>
      <c r="E172" s="115"/>
      <c r="F172" s="115"/>
      <c r="G172" s="115"/>
      <c r="H172" s="128"/>
    </row>
    <row r="173" spans="2:8" x14ac:dyDescent="0.3">
      <c r="B173" s="127">
        <v>171</v>
      </c>
      <c r="C173" s="115"/>
      <c r="D173" s="115"/>
      <c r="E173" s="115"/>
      <c r="F173" s="115"/>
      <c r="G173" s="115"/>
      <c r="H173" s="128"/>
    </row>
    <row r="174" spans="2:8" x14ac:dyDescent="0.3">
      <c r="B174" s="127">
        <v>172</v>
      </c>
      <c r="C174" s="115"/>
      <c r="D174" s="115"/>
      <c r="E174" s="115"/>
      <c r="F174" s="115"/>
      <c r="G174" s="115"/>
      <c r="H174" s="128"/>
    </row>
    <row r="175" spans="2:8" x14ac:dyDescent="0.3">
      <c r="B175" s="127">
        <v>173</v>
      </c>
      <c r="C175" s="115"/>
      <c r="D175" s="115"/>
      <c r="E175" s="115"/>
      <c r="F175" s="115"/>
      <c r="G175" s="115"/>
      <c r="H175" s="128"/>
    </row>
    <row r="176" spans="2:8" ht="15" thickBot="1" x14ac:dyDescent="0.35">
      <c r="B176" s="127">
        <v>174</v>
      </c>
      <c r="C176" s="129"/>
      <c r="D176" s="129"/>
      <c r="E176" s="129"/>
      <c r="F176" s="129"/>
      <c r="G176" s="129"/>
      <c r="H176" s="130"/>
    </row>
  </sheetData>
  <autoFilter ref="B2:H176" xr:uid="{8607D0E0-4AAD-48B0-B15A-3A46E7422E84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15F0-ED15-4C8A-AD77-F8B71C4A7F4B}">
  <dimension ref="A1:E15"/>
  <sheetViews>
    <sheetView workbookViewId="0">
      <selection activeCell="G7" sqref="G7"/>
    </sheetView>
  </sheetViews>
  <sheetFormatPr defaultRowHeight="14.4" x14ac:dyDescent="0.3"/>
  <cols>
    <col min="1" max="1" width="13.88671875" customWidth="1"/>
    <col min="2" max="2" width="18.6640625" customWidth="1"/>
    <col min="3" max="3" width="13.109375" customWidth="1"/>
    <col min="4" max="4" width="15.109375" customWidth="1"/>
    <col min="5" max="5" width="26.6640625" customWidth="1"/>
  </cols>
  <sheetData>
    <row r="1" spans="1:5" x14ac:dyDescent="0.3">
      <c r="A1" t="s">
        <v>15</v>
      </c>
      <c r="B1" s="94" t="s">
        <v>57</v>
      </c>
    </row>
    <row r="2" spans="1:5" x14ac:dyDescent="0.3">
      <c r="A2" t="s">
        <v>16</v>
      </c>
      <c r="B2" s="94" t="s">
        <v>83</v>
      </c>
    </row>
    <row r="3" spans="1:5" x14ac:dyDescent="0.3">
      <c r="A3" t="s">
        <v>80</v>
      </c>
      <c r="B3" s="94" t="s">
        <v>84</v>
      </c>
    </row>
    <row r="4" spans="1:5" ht="15" thickBot="1" x14ac:dyDescent="0.35"/>
    <row r="5" spans="1:5" ht="30" customHeight="1" thickBot="1" x14ac:dyDescent="0.35">
      <c r="A5" s="208" t="s">
        <v>81</v>
      </c>
      <c r="B5" s="209"/>
      <c r="C5" s="209"/>
      <c r="D5" s="209"/>
      <c r="E5" s="210"/>
    </row>
    <row r="6" spans="1:5" ht="30" customHeight="1" x14ac:dyDescent="0.3">
      <c r="A6" s="95" t="s">
        <v>30</v>
      </c>
      <c r="B6" s="96" t="s">
        <v>31</v>
      </c>
      <c r="C6" s="96" t="s">
        <v>82</v>
      </c>
      <c r="D6" s="97" t="s">
        <v>34</v>
      </c>
      <c r="E6" s="96" t="s">
        <v>41</v>
      </c>
    </row>
    <row r="7" spans="1:5" ht="30" customHeight="1" x14ac:dyDescent="0.3">
      <c r="A7" s="98"/>
      <c r="B7" s="112"/>
      <c r="C7" s="99"/>
      <c r="D7" s="100"/>
      <c r="E7" s="100">
        <f>Table37[[#This Row],[Total]]</f>
        <v>0</v>
      </c>
    </row>
    <row r="8" spans="1:5" ht="30" customHeight="1" x14ac:dyDescent="0.3">
      <c r="A8" s="98"/>
      <c r="B8" s="112"/>
      <c r="C8" s="99"/>
      <c r="D8" s="100"/>
      <c r="E8" s="100">
        <f>Table37[[#This Row],[Total]]</f>
        <v>0</v>
      </c>
    </row>
    <row r="9" spans="1:5" ht="30" customHeight="1" x14ac:dyDescent="0.3">
      <c r="A9" s="101"/>
      <c r="B9" s="112"/>
      <c r="C9" s="102"/>
      <c r="D9" s="100"/>
      <c r="E9" s="100">
        <f>Table37[[#This Row],[Total]]</f>
        <v>0</v>
      </c>
    </row>
    <row r="10" spans="1:5" ht="30" customHeight="1" x14ac:dyDescent="0.3">
      <c r="A10" s="101"/>
      <c r="B10" s="112"/>
      <c r="C10" s="102"/>
      <c r="D10" s="100"/>
      <c r="E10" s="100">
        <f>Table37[[#This Row],[Total]]</f>
        <v>0</v>
      </c>
    </row>
    <row r="11" spans="1:5" ht="30" customHeight="1" x14ac:dyDescent="0.3">
      <c r="A11" s="101"/>
      <c r="B11" s="112"/>
      <c r="C11" s="102"/>
      <c r="D11" s="100"/>
      <c r="E11" s="100">
        <f>Table37[[#This Row],[Total]]</f>
        <v>0</v>
      </c>
    </row>
    <row r="12" spans="1:5" ht="30" customHeight="1" x14ac:dyDescent="0.3">
      <c r="A12" s="101"/>
      <c r="B12" s="112"/>
      <c r="C12" s="102"/>
      <c r="D12" s="100"/>
      <c r="E12" s="100">
        <f>Table37[[#This Row],[Total]]</f>
        <v>0</v>
      </c>
    </row>
    <row r="13" spans="1:5" ht="30" customHeight="1" x14ac:dyDescent="0.3">
      <c r="A13" s="108"/>
      <c r="B13" s="114"/>
      <c r="C13" s="109"/>
      <c r="D13" s="110"/>
      <c r="E13" s="100">
        <f>Table37[[#This Row],[Total]]</f>
        <v>0</v>
      </c>
    </row>
    <row r="14" spans="1:5" ht="30" customHeight="1" x14ac:dyDescent="0.3">
      <c r="A14" s="103"/>
      <c r="B14" s="104"/>
      <c r="C14" s="105"/>
      <c r="D14" s="106">
        <f t="shared" ref="D14" si="0">20.5*C14</f>
        <v>0</v>
      </c>
      <c r="E14" s="107">
        <f>Table37[[#This Row],[Total]]</f>
        <v>0</v>
      </c>
    </row>
    <row r="15" spans="1:5" ht="30" customHeight="1" x14ac:dyDescent="0.3">
      <c r="A15" s="101" t="s">
        <v>34</v>
      </c>
      <c r="B15" s="113"/>
      <c r="C15" s="102">
        <f>SUBTOTAL(109,Table37[Hrs])</f>
        <v>0</v>
      </c>
      <c r="D15" s="111">
        <f>SUBTOTAL(109,Table37[Total])</f>
        <v>0</v>
      </c>
      <c r="E15" s="111">
        <f>SUBTOTAL(109,Table37[Net])</f>
        <v>0</v>
      </c>
    </row>
  </sheetData>
  <mergeCells count="1">
    <mergeCell ref="A5:E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J16" sqref="J16"/>
    </sheetView>
  </sheetViews>
  <sheetFormatPr defaultRowHeight="14.4" x14ac:dyDescent="0.3"/>
  <cols>
    <col min="1" max="1" width="15.44140625" bestFit="1" customWidth="1"/>
    <col min="2" max="2" width="30" bestFit="1" customWidth="1"/>
    <col min="3" max="3" width="12.109375" customWidth="1"/>
    <col min="4" max="6" width="11" customWidth="1"/>
    <col min="7" max="7" width="10.33203125" customWidth="1"/>
  </cols>
  <sheetData>
    <row r="1" spans="1:7" x14ac:dyDescent="0.3">
      <c r="A1" t="s">
        <v>15</v>
      </c>
      <c r="B1" s="29" t="str">
        <f>Evaluation!A3</f>
        <v>Khansaheb Civil Engineering LLC</v>
      </c>
    </row>
    <row r="2" spans="1:7" x14ac:dyDescent="0.3">
      <c r="A2" t="s">
        <v>20</v>
      </c>
      <c r="B2" s="29">
        <f>Evaluation!B4</f>
        <v>1</v>
      </c>
    </row>
    <row r="3" spans="1:7" x14ac:dyDescent="0.3">
      <c r="A3" t="s">
        <v>16</v>
      </c>
      <c r="B3" s="29" t="str">
        <f>Evaluation!B5</f>
        <v xml:space="preserve">Dorchester Hotel &amp; Residences (Completion Works)  </v>
      </c>
    </row>
    <row r="4" spans="1:7" x14ac:dyDescent="0.3">
      <c r="A4" t="s">
        <v>21</v>
      </c>
      <c r="B4" s="29" t="e">
        <f>Evaluation!#REF!</f>
        <v>#REF!</v>
      </c>
    </row>
    <row r="5" spans="1:7" x14ac:dyDescent="0.3">
      <c r="A5" t="s">
        <v>39</v>
      </c>
      <c r="B5" s="30">
        <f>Evaluation!B7</f>
        <v>44834</v>
      </c>
    </row>
    <row r="6" spans="1:7" ht="15" thickBot="1" x14ac:dyDescent="0.35"/>
    <row r="7" spans="1:7" x14ac:dyDescent="0.3">
      <c r="A7" s="211" t="s">
        <v>40</v>
      </c>
      <c r="B7" s="212"/>
      <c r="C7" s="212"/>
      <c r="D7" s="212"/>
      <c r="E7" s="212"/>
      <c r="F7" s="212"/>
      <c r="G7" s="213"/>
    </row>
    <row r="8" spans="1:7" x14ac:dyDescent="0.3">
      <c r="A8" s="31" t="s">
        <v>30</v>
      </c>
      <c r="B8" s="32" t="s">
        <v>31</v>
      </c>
      <c r="C8" s="32" t="s">
        <v>32</v>
      </c>
      <c r="D8" s="32" t="s">
        <v>33</v>
      </c>
      <c r="E8" s="33" t="s">
        <v>43</v>
      </c>
      <c r="F8" s="33" t="s">
        <v>42</v>
      </c>
      <c r="G8" s="33" t="s">
        <v>41</v>
      </c>
    </row>
    <row r="9" spans="1:7" x14ac:dyDescent="0.3">
      <c r="A9" s="34"/>
      <c r="B9" s="35"/>
      <c r="C9" s="36"/>
      <c r="D9" s="36"/>
      <c r="E9" s="37"/>
      <c r="F9" s="37"/>
      <c r="G9" s="38"/>
    </row>
    <row r="10" spans="1:7" x14ac:dyDescent="0.3">
      <c r="A10" s="34"/>
      <c r="B10" s="35"/>
      <c r="C10" s="36"/>
      <c r="D10" s="36"/>
      <c r="E10" s="37"/>
      <c r="F10" s="37"/>
      <c r="G10" s="38"/>
    </row>
    <row r="11" spans="1:7" x14ac:dyDescent="0.3">
      <c r="A11" s="39"/>
      <c r="B11" s="40"/>
      <c r="C11" s="41"/>
      <c r="D11" s="41"/>
      <c r="E11" s="42"/>
      <c r="F11" s="42"/>
      <c r="G11" s="43"/>
    </row>
    <row r="12" spans="1:7" x14ac:dyDescent="0.3">
      <c r="A12" s="39" t="s">
        <v>34</v>
      </c>
      <c r="B12" s="44"/>
      <c r="C12" s="41"/>
      <c r="D12" s="41"/>
      <c r="E12" s="42">
        <f>SUBTOTAL(109,Table2[Cumulative])</f>
        <v>0</v>
      </c>
      <c r="F12" s="42">
        <f>SUBTOTAL(109,Table2[Previous])</f>
        <v>0</v>
      </c>
      <c r="G12" s="45">
        <f>SUBTOTAL(103,Table2[Net])</f>
        <v>0</v>
      </c>
    </row>
    <row r="13" spans="1:7" x14ac:dyDescent="0.3">
      <c r="G13" s="1"/>
    </row>
  </sheetData>
  <mergeCells count="1">
    <mergeCell ref="A7:G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E18" sqref="E18"/>
    </sheetView>
  </sheetViews>
  <sheetFormatPr defaultRowHeight="14.4" x14ac:dyDescent="0.3"/>
  <cols>
    <col min="1" max="1" width="13.88671875" bestFit="1" customWidth="1"/>
    <col min="2" max="2" width="13.33203125" customWidth="1"/>
    <col min="3" max="3" width="10.44140625" customWidth="1"/>
    <col min="8" max="8" width="12.109375" customWidth="1"/>
    <col min="9" max="9" width="14.5546875" customWidth="1"/>
    <col min="10" max="10" width="20.6640625" customWidth="1"/>
  </cols>
  <sheetData>
    <row r="1" spans="1:10" x14ac:dyDescent="0.3">
      <c r="A1" s="214" t="s">
        <v>54</v>
      </c>
      <c r="B1" s="214"/>
      <c r="C1" s="214"/>
      <c r="D1" s="214"/>
      <c r="E1" s="214"/>
      <c r="F1" s="214"/>
      <c r="G1" s="214"/>
      <c r="H1" s="214"/>
      <c r="I1" s="214"/>
      <c r="J1" s="214"/>
    </row>
    <row r="2" spans="1:10" x14ac:dyDescent="0.3">
      <c r="A2" t="s">
        <v>53</v>
      </c>
      <c r="B2" t="s">
        <v>6</v>
      </c>
      <c r="C2" t="s">
        <v>22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9"/>
  <sheetViews>
    <sheetView workbookViewId="0">
      <selection activeCell="I16" sqref="I16"/>
    </sheetView>
  </sheetViews>
  <sheetFormatPr defaultRowHeight="14.4" x14ac:dyDescent="0.3"/>
  <cols>
    <col min="1" max="1" width="15.44140625" bestFit="1" customWidth="1"/>
    <col min="2" max="2" width="17.88671875" customWidth="1"/>
    <col min="3" max="3" width="18.44140625" customWidth="1"/>
    <col min="4" max="4" width="12.5546875" customWidth="1"/>
    <col min="5" max="5" width="10.109375" bestFit="1" customWidth="1"/>
    <col min="6" max="6" width="10.6640625" customWidth="1"/>
  </cols>
  <sheetData>
    <row r="2" spans="1:6" x14ac:dyDescent="0.3">
      <c r="A2" t="s">
        <v>15</v>
      </c>
      <c r="B2" s="215" t="str">
        <f>Evaluation!A3</f>
        <v>Khansaheb Civil Engineering LLC</v>
      </c>
      <c r="C2" s="215"/>
      <c r="D2" s="215"/>
      <c r="E2" s="215"/>
    </row>
    <row r="3" spans="1:6" x14ac:dyDescent="0.3">
      <c r="A3" t="s">
        <v>16</v>
      </c>
      <c r="B3" s="215" t="str">
        <f>Evaluation!B5</f>
        <v xml:space="preserve">Dorchester Hotel &amp; Residences (Completion Works)  </v>
      </c>
      <c r="C3" s="215"/>
      <c r="D3" s="215"/>
      <c r="E3" s="215"/>
    </row>
    <row r="4" spans="1:6" x14ac:dyDescent="0.3">
      <c r="A4" t="s">
        <v>17</v>
      </c>
      <c r="B4" s="215" t="str">
        <f>Evaluation!B6</f>
        <v>201A22002/49</v>
      </c>
      <c r="C4" s="215"/>
      <c r="D4" s="215"/>
      <c r="E4" s="215"/>
    </row>
    <row r="7" spans="1:6" x14ac:dyDescent="0.3">
      <c r="A7" s="216" t="s">
        <v>35</v>
      </c>
      <c r="B7" s="216"/>
      <c r="C7" s="216"/>
      <c r="D7" s="216"/>
      <c r="E7" s="216"/>
      <c r="F7" s="216"/>
    </row>
    <row r="8" spans="1:6" x14ac:dyDescent="0.3">
      <c r="A8" s="46" t="s">
        <v>44</v>
      </c>
      <c r="B8" s="47" t="s">
        <v>36</v>
      </c>
      <c r="C8" s="47" t="s">
        <v>45</v>
      </c>
      <c r="D8" s="47" t="s">
        <v>37</v>
      </c>
      <c r="E8" s="47" t="s">
        <v>34</v>
      </c>
      <c r="F8" s="48" t="s">
        <v>14</v>
      </c>
    </row>
    <row r="9" spans="1:6" x14ac:dyDescent="0.3">
      <c r="A9" s="49"/>
      <c r="B9" s="50"/>
      <c r="C9" s="51"/>
      <c r="D9" s="51"/>
      <c r="E9" s="51"/>
      <c r="F9" s="52"/>
    </row>
    <row r="10" spans="1:6" x14ac:dyDescent="0.3">
      <c r="A10" s="49"/>
      <c r="B10" s="50"/>
      <c r="C10" s="51"/>
      <c r="D10" s="51"/>
      <c r="E10" s="51"/>
      <c r="F10" s="52"/>
    </row>
    <row r="11" spans="1:6" x14ac:dyDescent="0.3">
      <c r="A11" s="49"/>
      <c r="B11" s="53"/>
      <c r="C11" s="51"/>
      <c r="D11" s="51"/>
      <c r="E11" s="51"/>
      <c r="F11" s="52"/>
    </row>
    <row r="12" spans="1:6" x14ac:dyDescent="0.3">
      <c r="A12" s="49"/>
      <c r="B12" s="53"/>
      <c r="C12" s="51"/>
      <c r="D12" s="51"/>
      <c r="E12" s="51"/>
      <c r="F12" s="52"/>
    </row>
    <row r="13" spans="1:6" x14ac:dyDescent="0.3">
      <c r="A13" s="49"/>
      <c r="B13" s="53"/>
      <c r="C13" s="51"/>
      <c r="D13" s="51"/>
      <c r="E13" s="51"/>
      <c r="F13" s="52"/>
    </row>
    <row r="14" spans="1:6" x14ac:dyDescent="0.3">
      <c r="A14" s="49"/>
      <c r="B14" s="53"/>
      <c r="C14" s="51"/>
      <c r="D14" s="51"/>
      <c r="E14" s="51"/>
      <c r="F14" s="52"/>
    </row>
    <row r="15" spans="1:6" x14ac:dyDescent="0.3">
      <c r="A15" s="49"/>
      <c r="B15" s="53"/>
      <c r="C15" s="51"/>
      <c r="D15" s="51"/>
      <c r="E15" s="51"/>
      <c r="F15" s="52"/>
    </row>
    <row r="16" spans="1:6" x14ac:dyDescent="0.3">
      <c r="A16" s="54"/>
      <c r="B16" s="55"/>
      <c r="C16" s="56"/>
      <c r="D16" s="56"/>
      <c r="E16" s="56"/>
      <c r="F16" s="57"/>
    </row>
    <row r="17" spans="1:6" x14ac:dyDescent="0.3">
      <c r="A17" s="54" t="s">
        <v>34</v>
      </c>
      <c r="B17" s="55"/>
      <c r="C17" s="56">
        <f>SUBTOTAL(109,Table3[Works Carried Out])</f>
        <v>0</v>
      </c>
      <c r="D17" s="56">
        <f>SUBTOTAL(109,Table3[Day Works])</f>
        <v>0</v>
      </c>
      <c r="E17" s="56">
        <f>SUBTOTAL(109,Table3[Total])</f>
        <v>0</v>
      </c>
      <c r="F17" s="57">
        <f>SUBTOTAL(103,Table3[Remarks])</f>
        <v>0</v>
      </c>
    </row>
    <row r="19" spans="1:6" x14ac:dyDescent="0.3">
      <c r="C19" s="2"/>
      <c r="D19" s="2"/>
      <c r="E19" s="2"/>
    </row>
  </sheetData>
  <mergeCells count="4">
    <mergeCell ref="B2:E2"/>
    <mergeCell ref="B3:E3"/>
    <mergeCell ref="B4:E4"/>
    <mergeCell ref="A7:F7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2E7BAA50-0B5A-4685-AB32-9184A43468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0663DB-C925-46FF-A2F2-49969E2F2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DE04FF-E9AB-4961-84CA-64D2F6DFE59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PA Front Sheet</vt:lpstr>
      <vt:lpstr>Evaluation</vt:lpstr>
      <vt:lpstr>Order References</vt:lpstr>
      <vt:lpstr>Modification</vt:lpstr>
      <vt:lpstr>Manpower</vt:lpstr>
      <vt:lpstr>SCOPE</vt:lpstr>
      <vt:lpstr>PASummary</vt:lpstr>
      <vt:lpstr>Evaluation</vt:lpstr>
      <vt:lpstr>Evaluation!Print_Area</vt:lpstr>
      <vt:lpstr>'PA Front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James</dc:creator>
  <cp:lastModifiedBy>Himal Kosala</cp:lastModifiedBy>
  <cp:lastPrinted>2022-09-30T12:25:46Z</cp:lastPrinted>
  <dcterms:created xsi:type="dcterms:W3CDTF">2010-10-04T07:20:34Z</dcterms:created>
  <dcterms:modified xsi:type="dcterms:W3CDTF">2022-10-12T07:03:55Z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{9EDE04FF-E9AB-4961-84CA-64D2F6DFE59E}</vt:lpwstr>
  </property>
</Properties>
</file>