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checkCompatibility="1" defaultThemeVersion="124226"/>
  <mc:AlternateContent xmlns:mc="http://schemas.openxmlformats.org/markup-compatibility/2006">
    <mc:Choice Requires="x15">
      <x15ac:absPath xmlns:x15ac="http://schemas.microsoft.com/office/spreadsheetml/2010/11/ac" url="C:\Tharaka\F015 - Plot 18\Main Scope\Payments\Mar 2023\Omniyat Concept Investments LLC-Plot 18-2023-04-07-12-08-20-987\06a. Subcontractor Cost &amp; Backup\1. Provisional Sum SC's\P2. Arcadia\"/>
    </mc:Choice>
  </mc:AlternateContent>
  <xr:revisionPtr revIDLastSave="0" documentId="13_ncr:1_{B6075A94-A7E6-4F81-BECC-E66B0036E084}" xr6:coauthVersionLast="47" xr6:coauthVersionMax="47" xr10:uidLastSave="{00000000-0000-0000-0000-000000000000}"/>
  <bookViews>
    <workbookView xWindow="-108" yWindow="-108" windowWidth="23256" windowHeight="12456" tabRatio="932" firstSheet="2" activeTab="3" xr2:uid="{00000000-000D-0000-FFFF-FFFF00000000}"/>
  </bookViews>
  <sheets>
    <sheet name="PA Summary Sheet " sheetId="120" state="hidden" r:id="rId1"/>
    <sheet name="Summary" sheetId="116" state="hidden" r:id="rId2"/>
    <sheet name="T1 - As per Contract" sheetId="97" r:id="rId3"/>
    <sheet name="T1 - VO additional Agreed Varia" sheetId="101" r:id="rId4"/>
    <sheet name="others" sheetId="117" state="hidden" r:id="rId5"/>
    <sheet name="VO - T1" sheetId="99" state="hidden" r:id="rId6"/>
    <sheet name="VO - T2" sheetId="104" state="hidden" r:id="rId7"/>
    <sheet name="VO - T3" sheetId="103" state="hidden" r:id="rId8"/>
    <sheet name="VO - T4" sheetId="105" state="hidden" r:id="rId9"/>
    <sheet name="VO - T5" sheetId="106" state="hidden" r:id="rId10"/>
    <sheet name="VO - T6" sheetId="107" state="hidden" r:id="rId11"/>
    <sheet name="VO - T7" sheetId="108" state="hidden" r:id="rId12"/>
    <sheet name="VO - T8" sheetId="109" state="hidden" r:id="rId13"/>
    <sheet name="VO - T9" sheetId="110" state="hidden" r:id="rId14"/>
    <sheet name="VO - T10" sheetId="111" state="hidden" r:id="rId15"/>
    <sheet name="VO - T11" sheetId="112" state="hidden" r:id="rId16"/>
    <sheet name="VO - T12" sheetId="114" state="hidden" r:id="rId17"/>
    <sheet name="VO - T13" sheetId="113" state="hidden" r:id="rId18"/>
    <sheet name="VO - T14" sheetId="115" state="hidden" r:id="rId19"/>
  </sheets>
  <definedNames>
    <definedName name="_xlnm._FilterDatabase" localSheetId="3" hidden="1">'T1 - VO additional Agreed Varia'!$A$6:$P$10</definedName>
    <definedName name="_xlnm.Print_Area" localSheetId="4">others!$A$1:$O$112</definedName>
    <definedName name="_xlnm.Print_Area" localSheetId="0">'PA Summary Sheet '!$A$1:$J$45</definedName>
    <definedName name="_xlnm.Print_Area" localSheetId="1">Summary!$A$1:$G$40</definedName>
    <definedName name="_xlnm.Print_Area" localSheetId="2">'T1 - As per Contract'!$A$1:$P$86</definedName>
    <definedName name="_xlnm.Print_Area" localSheetId="3">'T1 - VO additional Agreed Varia'!$A$1:$Q$210</definedName>
    <definedName name="_xlnm.Print_Area" localSheetId="5">'VO - T1'!$A$1:$O$15</definedName>
    <definedName name="_xlnm.Print_Area" localSheetId="14">'VO - T10'!$A$1:$O$10</definedName>
    <definedName name="_xlnm.Print_Area" localSheetId="15">'VO - T11'!$A$1:$O$8</definedName>
    <definedName name="_xlnm.Print_Area" localSheetId="16">'VO - T12'!$A$1:$O$9</definedName>
    <definedName name="_xlnm.Print_Area" localSheetId="17">'VO - T13'!$A$1:$O$10</definedName>
    <definedName name="_xlnm.Print_Area" localSheetId="18">'VO - T14'!$A$1:$O$10</definedName>
    <definedName name="_xlnm.Print_Area" localSheetId="6">'VO - T2'!$A$1:$O$31</definedName>
    <definedName name="_xlnm.Print_Area" localSheetId="7">'VO - T3'!$A$1:$O$44</definedName>
    <definedName name="_xlnm.Print_Area" localSheetId="8">'VO - T4'!$A$1:$O$10</definedName>
    <definedName name="_xlnm.Print_Area" localSheetId="9">'VO - T5'!$A$1:$O$10</definedName>
    <definedName name="_xlnm.Print_Area" localSheetId="10">'VO - T6'!$A$1:$O$9</definedName>
    <definedName name="_xlnm.Print_Area" localSheetId="11">'VO - T7'!$A$1:$O$9</definedName>
    <definedName name="_xlnm.Print_Area" localSheetId="12">'VO - T8'!$A$1:$O$13</definedName>
    <definedName name="_xlnm.Print_Area" localSheetId="13">'VO - T9'!$A$1:$O$12</definedName>
    <definedName name="_xlnm.Print_Titles" localSheetId="4">others!$6:$10</definedName>
    <definedName name="_xlnm.Print_Titles" localSheetId="2">'T1 - As per Contract'!$1:$10</definedName>
    <definedName name="_xlnm.Print_Titles" localSheetId="3">'T1 - VO additional Agreed Varia'!$1:$10</definedName>
    <definedName name="_xlnm.Print_Titles" localSheetId="5">'VO - T1'!$1:$5</definedName>
    <definedName name="_xlnm.Print_Titles" localSheetId="14">'VO - T10'!$1:$5</definedName>
    <definedName name="_xlnm.Print_Titles" localSheetId="15">'VO - T11'!$1:$5</definedName>
    <definedName name="_xlnm.Print_Titles" localSheetId="16">'VO - T12'!$1:$5</definedName>
    <definedName name="_xlnm.Print_Titles" localSheetId="17">'VO - T13'!$1:$5</definedName>
    <definedName name="_xlnm.Print_Titles" localSheetId="18">'VO - T14'!$1:$5</definedName>
    <definedName name="_xlnm.Print_Titles" localSheetId="6">'VO - T2'!$1:$5</definedName>
    <definedName name="_xlnm.Print_Titles" localSheetId="7">'VO - T3'!$1:$5</definedName>
    <definedName name="_xlnm.Print_Titles" localSheetId="8">'VO - T4'!$1:$5</definedName>
    <definedName name="_xlnm.Print_Titles" localSheetId="9">'VO - T5'!$1:$5</definedName>
    <definedName name="_xlnm.Print_Titles" localSheetId="10">'VO - T6'!$1:$5</definedName>
    <definedName name="_xlnm.Print_Titles" localSheetId="11">'VO - T7'!$1:$5</definedName>
    <definedName name="_xlnm.Print_Titles" localSheetId="12">'VO - T8'!$1:$5</definedName>
    <definedName name="_xlnm.Print_Titles" localSheetId="13">'VO - T9'!$1:$5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96" i="101" l="1"/>
  <c r="M194" i="101"/>
  <c r="M166" i="101"/>
  <c r="M76" i="101"/>
  <c r="M71" i="101"/>
  <c r="M72" i="101"/>
  <c r="M70" i="101"/>
  <c r="M63" i="101"/>
  <c r="M64" i="101"/>
  <c r="M62" i="101"/>
  <c r="P169" i="101"/>
  <c r="P101" i="101"/>
  <c r="P80" i="101"/>
  <c r="M80" i="101"/>
  <c r="P71" i="101"/>
  <c r="P72" i="101"/>
  <c r="P67" i="101"/>
  <c r="P68" i="101"/>
  <c r="M67" i="101"/>
  <c r="M68" i="101"/>
  <c r="M66" i="101"/>
  <c r="N170" i="101"/>
  <c r="N209" i="101" s="1"/>
  <c r="N169" i="101"/>
  <c r="I209" i="101"/>
  <c r="P208" i="101"/>
  <c r="O208" i="101" s="1"/>
  <c r="N208" i="101"/>
  <c r="L208" i="101"/>
  <c r="L207" i="101"/>
  <c r="H207" i="101"/>
  <c r="N207" i="101" s="1"/>
  <c r="J205" i="101"/>
  <c r="P204" i="101"/>
  <c r="O204" i="101" s="1"/>
  <c r="N204" i="101"/>
  <c r="L204" i="101"/>
  <c r="I204" i="101"/>
  <c r="L203" i="101"/>
  <c r="H203" i="101"/>
  <c r="P203" i="101" s="1"/>
  <c r="J201" i="101"/>
  <c r="P200" i="101"/>
  <c r="N200" i="101"/>
  <c r="O200" i="101" s="1"/>
  <c r="L200" i="101"/>
  <c r="I200" i="101"/>
  <c r="P198" i="101"/>
  <c r="N198" i="101"/>
  <c r="O198" i="101" s="1"/>
  <c r="L198" i="101"/>
  <c r="I198" i="101"/>
  <c r="P196" i="101"/>
  <c r="O196" i="101" s="1"/>
  <c r="N196" i="101"/>
  <c r="L196" i="101"/>
  <c r="I196" i="101"/>
  <c r="P194" i="101"/>
  <c r="N194" i="101"/>
  <c r="L194" i="101"/>
  <c r="I194" i="101"/>
  <c r="O194" i="101" l="1"/>
  <c r="P207" i="101"/>
  <c r="I207" i="101"/>
  <c r="I203" i="101"/>
  <c r="N203" i="101"/>
  <c r="O203" i="101" s="1"/>
  <c r="O207" i="101" l="1"/>
  <c r="O69" i="97" l="1"/>
  <c r="O70" i="97"/>
  <c r="O71" i="97"/>
  <c r="O72" i="97"/>
  <c r="O73" i="97"/>
  <c r="O74" i="97"/>
  <c r="O75" i="97"/>
  <c r="O77" i="97"/>
  <c r="O78" i="97"/>
  <c r="O79" i="97"/>
  <c r="O80" i="97"/>
  <c r="O81" i="97"/>
  <c r="O82" i="97"/>
  <c r="O83" i="97"/>
  <c r="O84" i="97"/>
  <c r="O68" i="97"/>
  <c r="O50" i="97"/>
  <c r="O51" i="97"/>
  <c r="O52" i="97"/>
  <c r="O53" i="97"/>
  <c r="O54" i="97"/>
  <c r="O55" i="97"/>
  <c r="O56" i="97"/>
  <c r="O57" i="97"/>
  <c r="O58" i="97"/>
  <c r="O59" i="97"/>
  <c r="O60" i="97"/>
  <c r="O61" i="97"/>
  <c r="O62" i="97"/>
  <c r="O63" i="97"/>
  <c r="O64" i="97"/>
  <c r="O65" i="97"/>
  <c r="O66" i="97"/>
  <c r="O49" i="97"/>
  <c r="O45" i="97"/>
  <c r="O31" i="97"/>
  <c r="O32" i="97"/>
  <c r="O33" i="97"/>
  <c r="O34" i="97"/>
  <c r="O35" i="97"/>
  <c r="O36" i="97"/>
  <c r="O37" i="97"/>
  <c r="O38" i="97"/>
  <c r="O39" i="97"/>
  <c r="O40" i="97"/>
  <c r="O41" i="97"/>
  <c r="O42" i="97"/>
  <c r="O43" i="97"/>
  <c r="O44" i="97"/>
  <c r="O30" i="97"/>
  <c r="O29" i="97"/>
  <c r="O28" i="97"/>
  <c r="O27" i="97"/>
  <c r="O22" i="97"/>
  <c r="O21" i="97"/>
  <c r="O20" i="97"/>
  <c r="O19" i="97"/>
  <c r="O18" i="97"/>
  <c r="O17" i="97"/>
  <c r="O16" i="97"/>
  <c r="O15" i="97"/>
  <c r="I34" i="120" l="1"/>
  <c r="L57" i="97" l="1"/>
  <c r="P170" i="101"/>
  <c r="P79" i="101"/>
  <c r="M79" i="101"/>
  <c r="P75" i="101"/>
  <c r="L67" i="101"/>
  <c r="L68" i="101"/>
  <c r="L71" i="101"/>
  <c r="L72" i="101"/>
  <c r="N176" i="101"/>
  <c r="N121" i="101"/>
  <c r="N101" i="101"/>
  <c r="P76" i="101"/>
  <c r="N15" i="101"/>
  <c r="N13" i="101"/>
  <c r="P121" i="101"/>
  <c r="P191" i="101"/>
  <c r="P176" i="101" l="1"/>
  <c r="P172" i="101"/>
  <c r="P15" i="101"/>
  <c r="P13" i="101"/>
  <c r="N191" i="101"/>
  <c r="O191" i="101" s="1"/>
  <c r="L191" i="101"/>
  <c r="L190" i="101"/>
  <c r="I191" i="101"/>
  <c r="H190" i="101"/>
  <c r="P190" i="101" s="1"/>
  <c r="J188" i="101"/>
  <c r="N190" i="101" l="1"/>
  <c r="O190" i="101"/>
  <c r="I190" i="101"/>
  <c r="P86" i="101" l="1"/>
  <c r="N86" i="101"/>
  <c r="L86" i="101"/>
  <c r="I86" i="101"/>
  <c r="J85" i="101" s="1"/>
  <c r="O86" i="101" l="1"/>
  <c r="P84" i="101" l="1"/>
  <c r="N84" i="101"/>
  <c r="L84" i="101"/>
  <c r="I84" i="101"/>
  <c r="P83" i="101"/>
  <c r="N83" i="101"/>
  <c r="L83" i="101"/>
  <c r="I83" i="101"/>
  <c r="P82" i="101"/>
  <c r="N82" i="101"/>
  <c r="L82" i="101"/>
  <c r="I82" i="101"/>
  <c r="N80" i="101"/>
  <c r="L80" i="101"/>
  <c r="I80" i="101"/>
  <c r="N79" i="101"/>
  <c r="L79" i="101"/>
  <c r="I79" i="101"/>
  <c r="P78" i="101"/>
  <c r="N78" i="101"/>
  <c r="L78" i="101"/>
  <c r="I78" i="101"/>
  <c r="K81" i="97"/>
  <c r="P186" i="101"/>
  <c r="N186" i="101"/>
  <c r="L186" i="101"/>
  <c r="P185" i="101"/>
  <c r="N185" i="101"/>
  <c r="L185" i="101"/>
  <c r="P184" i="101"/>
  <c r="N184" i="101"/>
  <c r="L184" i="101"/>
  <c r="P183" i="101"/>
  <c r="N183" i="101"/>
  <c r="L183" i="101"/>
  <c r="P182" i="101"/>
  <c r="N182" i="101"/>
  <c r="L182" i="101"/>
  <c r="P181" i="101"/>
  <c r="N181" i="101"/>
  <c r="L181" i="101"/>
  <c r="P180" i="101"/>
  <c r="N180" i="101"/>
  <c r="L180" i="101"/>
  <c r="P179" i="101"/>
  <c r="N179" i="101"/>
  <c r="L179" i="101"/>
  <c r="L176" i="101"/>
  <c r="P174" i="101"/>
  <c r="N174" i="101"/>
  <c r="L174" i="101"/>
  <c r="N172" i="101"/>
  <c r="L172" i="101"/>
  <c r="L170" i="101"/>
  <c r="L169" i="101"/>
  <c r="P168" i="101"/>
  <c r="N168" i="101"/>
  <c r="L168" i="101"/>
  <c r="P167" i="101"/>
  <c r="N167" i="101"/>
  <c r="L167" i="101"/>
  <c r="P166" i="101"/>
  <c r="N166" i="101"/>
  <c r="L166" i="101"/>
  <c r="P165" i="101"/>
  <c r="N165" i="101"/>
  <c r="L165" i="101"/>
  <c r="P161" i="101"/>
  <c r="N161" i="101"/>
  <c r="L161" i="101"/>
  <c r="P159" i="101"/>
  <c r="N159" i="101"/>
  <c r="L159" i="101"/>
  <c r="P158" i="101"/>
  <c r="N158" i="101"/>
  <c r="L158" i="101"/>
  <c r="P157" i="101"/>
  <c r="N157" i="101"/>
  <c r="L157" i="101"/>
  <c r="P156" i="101"/>
  <c r="N156" i="101"/>
  <c r="L156" i="101"/>
  <c r="K57" i="101"/>
  <c r="K53" i="101"/>
  <c r="M81" i="97"/>
  <c r="O83" i="101" l="1"/>
  <c r="O84" i="101"/>
  <c r="O82" i="101"/>
  <c r="O159" i="101"/>
  <c r="O166" i="101"/>
  <c r="O183" i="101"/>
  <c r="O168" i="101"/>
  <c r="O181" i="101"/>
  <c r="O79" i="101"/>
  <c r="O161" i="101"/>
  <c r="O158" i="101"/>
  <c r="O176" i="101"/>
  <c r="O167" i="101"/>
  <c r="O80" i="101"/>
  <c r="O78" i="101"/>
  <c r="O185" i="101"/>
  <c r="O165" i="101"/>
  <c r="O179" i="101"/>
  <c r="O184" i="101"/>
  <c r="O169" i="101"/>
  <c r="O172" i="101"/>
  <c r="O156" i="101"/>
  <c r="O186" i="101"/>
  <c r="O157" i="101"/>
  <c r="O182" i="101"/>
  <c r="O170" i="101"/>
  <c r="O180" i="101"/>
  <c r="O174" i="101"/>
  <c r="I185" i="101" l="1"/>
  <c r="I186" i="101"/>
  <c r="I179" i="101"/>
  <c r="I183" i="101"/>
  <c r="I182" i="101"/>
  <c r="I181" i="101"/>
  <c r="I180" i="101"/>
  <c r="I176" i="101"/>
  <c r="J175" i="101" s="1"/>
  <c r="J177" i="101" l="1"/>
  <c r="I174" i="101"/>
  <c r="J173" i="101" s="1"/>
  <c r="I172" i="101"/>
  <c r="J171" i="101" s="1"/>
  <c r="I167" i="101"/>
  <c r="I168" i="101"/>
  <c r="I169" i="101"/>
  <c r="I170" i="101"/>
  <c r="I166" i="101"/>
  <c r="I165" i="101"/>
  <c r="J164" i="101" l="1"/>
  <c r="I161" i="101"/>
  <c r="J160" i="101" s="1"/>
  <c r="I156" i="101"/>
  <c r="I157" i="101"/>
  <c r="I159" i="101"/>
  <c r="I158" i="101"/>
  <c r="P154" i="101"/>
  <c r="N154" i="101"/>
  <c r="L154" i="101"/>
  <c r="I154" i="101"/>
  <c r="P153" i="101"/>
  <c r="N153" i="101"/>
  <c r="L153" i="101"/>
  <c r="I153" i="101"/>
  <c r="P152" i="101"/>
  <c r="N152" i="101"/>
  <c r="L152" i="101"/>
  <c r="I152" i="101"/>
  <c r="P148" i="101"/>
  <c r="N148" i="101"/>
  <c r="L148" i="101"/>
  <c r="I148" i="101"/>
  <c r="P147" i="101"/>
  <c r="N147" i="101"/>
  <c r="L147" i="101"/>
  <c r="I147" i="101"/>
  <c r="P146" i="101"/>
  <c r="N146" i="101"/>
  <c r="L146" i="101"/>
  <c r="I146" i="101"/>
  <c r="I24" i="120"/>
  <c r="P111" i="101"/>
  <c r="N111" i="101"/>
  <c r="L111" i="101"/>
  <c r="I111" i="101"/>
  <c r="I110" i="101"/>
  <c r="F16" i="116"/>
  <c r="P142" i="101"/>
  <c r="N142" i="101"/>
  <c r="L142" i="101"/>
  <c r="P141" i="101"/>
  <c r="N141" i="101"/>
  <c r="L141" i="101"/>
  <c r="I142" i="101"/>
  <c r="I141" i="101"/>
  <c r="P138" i="101"/>
  <c r="N138" i="101"/>
  <c r="L138" i="101"/>
  <c r="I138" i="101"/>
  <c r="P137" i="101"/>
  <c r="N137" i="101"/>
  <c r="L137" i="101"/>
  <c r="I137" i="101"/>
  <c r="P136" i="101"/>
  <c r="N136" i="101"/>
  <c r="L136" i="101"/>
  <c r="I136" i="101"/>
  <c r="P135" i="101"/>
  <c r="N135" i="101"/>
  <c r="L135" i="101"/>
  <c r="I135" i="101"/>
  <c r="P134" i="101"/>
  <c r="N134" i="101"/>
  <c r="L134" i="101"/>
  <c r="I134" i="101"/>
  <c r="P133" i="101"/>
  <c r="N133" i="101"/>
  <c r="L133" i="101"/>
  <c r="I133" i="101"/>
  <c r="P132" i="101"/>
  <c r="N132" i="101"/>
  <c r="L132" i="101"/>
  <c r="I132" i="101"/>
  <c r="P131" i="101"/>
  <c r="N131" i="101"/>
  <c r="L131" i="101"/>
  <c r="I131" i="101"/>
  <c r="P130" i="101"/>
  <c r="N130" i="101"/>
  <c r="L130" i="101"/>
  <c r="I130" i="101"/>
  <c r="P129" i="101"/>
  <c r="N129" i="101"/>
  <c r="L129" i="101"/>
  <c r="I129" i="101"/>
  <c r="P128" i="101"/>
  <c r="N128" i="101"/>
  <c r="L128" i="101"/>
  <c r="I128" i="101"/>
  <c r="P127" i="101"/>
  <c r="N127" i="101"/>
  <c r="L127" i="101"/>
  <c r="I127" i="101"/>
  <c r="P126" i="101"/>
  <c r="N126" i="101"/>
  <c r="L126" i="101"/>
  <c r="I126" i="101"/>
  <c r="P125" i="101"/>
  <c r="N125" i="101"/>
  <c r="L125" i="101"/>
  <c r="I125" i="101"/>
  <c r="P124" i="101"/>
  <c r="N124" i="101"/>
  <c r="L124" i="101"/>
  <c r="I124" i="101"/>
  <c r="P123" i="101"/>
  <c r="N123" i="101"/>
  <c r="L123" i="101"/>
  <c r="I123" i="101"/>
  <c r="P122" i="101"/>
  <c r="N122" i="101"/>
  <c r="L122" i="101"/>
  <c r="I122" i="101"/>
  <c r="L121" i="101"/>
  <c r="I121" i="101"/>
  <c r="P120" i="101"/>
  <c r="N120" i="101"/>
  <c r="L120" i="101"/>
  <c r="I120" i="101"/>
  <c r="M77" i="97"/>
  <c r="K77" i="97"/>
  <c r="K83" i="97"/>
  <c r="P36" i="101"/>
  <c r="N37" i="101"/>
  <c r="N36" i="101"/>
  <c r="N106" i="101"/>
  <c r="P7" i="104"/>
  <c r="J109" i="101" l="1"/>
  <c r="J115" i="101"/>
  <c r="J149" i="101"/>
  <c r="J143" i="101"/>
  <c r="J139" i="101"/>
  <c r="J155" i="101"/>
  <c r="O148" i="101"/>
  <c r="O147" i="101"/>
  <c r="O146" i="101"/>
  <c r="O153" i="101"/>
  <c r="O152" i="101"/>
  <c r="O154" i="101"/>
  <c r="O136" i="101"/>
  <c r="O111" i="101"/>
  <c r="O123" i="101"/>
  <c r="O141" i="101"/>
  <c r="O132" i="101"/>
  <c r="O142" i="101"/>
  <c r="O134" i="101"/>
  <c r="N77" i="97"/>
  <c r="O126" i="101"/>
  <c r="O133" i="101"/>
  <c r="O122" i="101"/>
  <c r="O131" i="101"/>
  <c r="O125" i="101"/>
  <c r="O124" i="101"/>
  <c r="O128" i="101"/>
  <c r="O127" i="101"/>
  <c r="O129" i="101"/>
  <c r="O120" i="101"/>
  <c r="O135" i="101"/>
  <c r="O137" i="101"/>
  <c r="O130" i="101"/>
  <c r="O121" i="101"/>
  <c r="O138" i="101"/>
  <c r="O36" i="101"/>
  <c r="L106" i="101"/>
  <c r="M55" i="101" l="1"/>
  <c r="L55" i="101" s="1"/>
  <c r="L57" i="101"/>
  <c r="L53" i="101"/>
  <c r="M49" i="101"/>
  <c r="L49" i="101" s="1"/>
  <c r="M45" i="101"/>
  <c r="P45" i="101" s="1"/>
  <c r="O109" i="117"/>
  <c r="N109" i="117" s="1"/>
  <c r="M109" i="117"/>
  <c r="K109" i="117"/>
  <c r="I109" i="117"/>
  <c r="P108" i="117" s="1"/>
  <c r="O106" i="117"/>
  <c r="N106" i="117"/>
  <c r="M106" i="117"/>
  <c r="K106" i="117"/>
  <c r="I106" i="117"/>
  <c r="P105" i="117" s="1"/>
  <c r="O104" i="117"/>
  <c r="N104" i="117" s="1"/>
  <c r="M104" i="117"/>
  <c r="K104" i="117"/>
  <c r="I104" i="117"/>
  <c r="P103" i="117"/>
  <c r="O102" i="117"/>
  <c r="N102" i="117" s="1"/>
  <c r="M102" i="117"/>
  <c r="K102" i="117"/>
  <c r="I102" i="117"/>
  <c r="P101" i="117"/>
  <c r="O99" i="117"/>
  <c r="M99" i="117"/>
  <c r="N99" i="117" s="1"/>
  <c r="K99" i="117"/>
  <c r="I99" i="117"/>
  <c r="P98" i="117" s="1"/>
  <c r="O97" i="117"/>
  <c r="N97" i="117"/>
  <c r="M97" i="117"/>
  <c r="K97" i="117"/>
  <c r="I97" i="117"/>
  <c r="O96" i="117"/>
  <c r="N96" i="117" s="1"/>
  <c r="M96" i="117"/>
  <c r="K96" i="117"/>
  <c r="I96" i="117"/>
  <c r="O95" i="117"/>
  <c r="M95" i="117"/>
  <c r="N95" i="117" s="1"/>
  <c r="K95" i="117"/>
  <c r="I95" i="117"/>
  <c r="O94" i="117"/>
  <c r="M94" i="117"/>
  <c r="N94" i="117" s="1"/>
  <c r="K94" i="117"/>
  <c r="I94" i="117"/>
  <c r="P93" i="117"/>
  <c r="O91" i="117"/>
  <c r="N91" i="117" s="1"/>
  <c r="M91" i="117"/>
  <c r="K91" i="117"/>
  <c r="I91" i="117"/>
  <c r="O90" i="117"/>
  <c r="M90" i="117"/>
  <c r="N90" i="117" s="1"/>
  <c r="K90" i="117"/>
  <c r="I90" i="117"/>
  <c r="O89" i="117"/>
  <c r="M89" i="117"/>
  <c r="N89" i="117" s="1"/>
  <c r="K89" i="117"/>
  <c r="I89" i="117"/>
  <c r="P87" i="117"/>
  <c r="O86" i="117"/>
  <c r="N86" i="117" s="1"/>
  <c r="M86" i="117"/>
  <c r="K86" i="117"/>
  <c r="I86" i="117"/>
  <c r="P85" i="117" s="1"/>
  <c r="O84" i="117"/>
  <c r="N84" i="117"/>
  <c r="M84" i="117"/>
  <c r="K84" i="117"/>
  <c r="I84" i="117"/>
  <c r="P83" i="117"/>
  <c r="O82" i="117"/>
  <c r="N82" i="117" s="1"/>
  <c r="M82" i="117"/>
  <c r="K82" i="117"/>
  <c r="I82" i="117"/>
  <c r="O81" i="117"/>
  <c r="N81" i="117" s="1"/>
  <c r="M81" i="117"/>
  <c r="K81" i="117"/>
  <c r="I81" i="117"/>
  <c r="P80" i="117" s="1"/>
  <c r="O79" i="117"/>
  <c r="N79" i="117" s="1"/>
  <c r="M79" i="117"/>
  <c r="K79" i="117"/>
  <c r="I79" i="117"/>
  <c r="P78" i="117" s="1"/>
  <c r="O76" i="117"/>
  <c r="N76" i="117" s="1"/>
  <c r="M76" i="117"/>
  <c r="K76" i="117"/>
  <c r="I76" i="117"/>
  <c r="O75" i="117"/>
  <c r="N75" i="117"/>
  <c r="M75" i="117"/>
  <c r="K75" i="117"/>
  <c r="I75" i="117"/>
  <c r="O74" i="117"/>
  <c r="N74" i="117" s="1"/>
  <c r="M74" i="117"/>
  <c r="K74" i="117"/>
  <c r="I74" i="117"/>
  <c r="O72" i="117"/>
  <c r="N72" i="117" s="1"/>
  <c r="M72" i="117"/>
  <c r="K72" i="117"/>
  <c r="I72" i="117"/>
  <c r="O71" i="117"/>
  <c r="N71" i="117" s="1"/>
  <c r="M71" i="117"/>
  <c r="K71" i="117"/>
  <c r="I71" i="117"/>
  <c r="O70" i="117"/>
  <c r="N70" i="117"/>
  <c r="M70" i="117"/>
  <c r="K70" i="117"/>
  <c r="I70" i="117"/>
  <c r="O68" i="117"/>
  <c r="N68" i="117" s="1"/>
  <c r="M68" i="117"/>
  <c r="K68" i="117"/>
  <c r="I68" i="117"/>
  <c r="O67" i="117"/>
  <c r="N67" i="117" s="1"/>
  <c r="M67" i="117"/>
  <c r="K67" i="117"/>
  <c r="I67" i="117"/>
  <c r="O66" i="117"/>
  <c r="N66" i="117" s="1"/>
  <c r="M66" i="117"/>
  <c r="K66" i="117"/>
  <c r="I66" i="117"/>
  <c r="O64" i="117"/>
  <c r="N64" i="117"/>
  <c r="M64" i="117"/>
  <c r="K64" i="117"/>
  <c r="I64" i="117"/>
  <c r="O63" i="117"/>
  <c r="N63" i="117" s="1"/>
  <c r="M63" i="117"/>
  <c r="K63" i="117"/>
  <c r="I63" i="117"/>
  <c r="O62" i="117"/>
  <c r="N62" i="117" s="1"/>
  <c r="M62" i="117"/>
  <c r="K62" i="117"/>
  <c r="I62" i="117"/>
  <c r="O60" i="117"/>
  <c r="N60" i="117" s="1"/>
  <c r="M60" i="117"/>
  <c r="K60" i="117"/>
  <c r="O59" i="117"/>
  <c r="N59" i="117" s="1"/>
  <c r="M59" i="117"/>
  <c r="K59" i="117"/>
  <c r="I59" i="117"/>
  <c r="O58" i="117"/>
  <c r="N58" i="117"/>
  <c r="M58" i="117"/>
  <c r="K58" i="117"/>
  <c r="I58" i="117"/>
  <c r="O57" i="117"/>
  <c r="N57" i="117" s="1"/>
  <c r="M57" i="117"/>
  <c r="K57" i="117"/>
  <c r="I57" i="117"/>
  <c r="O55" i="117"/>
  <c r="N55" i="117" s="1"/>
  <c r="M55" i="117"/>
  <c r="K55" i="117"/>
  <c r="I55" i="117"/>
  <c r="O54" i="117"/>
  <c r="N54" i="117" s="1"/>
  <c r="M54" i="117"/>
  <c r="K54" i="117"/>
  <c r="I54" i="117"/>
  <c r="O53" i="117"/>
  <c r="N53" i="117"/>
  <c r="M53" i="117"/>
  <c r="K53" i="117"/>
  <c r="I53" i="117"/>
  <c r="O51" i="117"/>
  <c r="N51" i="117" s="1"/>
  <c r="M51" i="117"/>
  <c r="K51" i="117"/>
  <c r="I51" i="117"/>
  <c r="O50" i="117"/>
  <c r="N50" i="117" s="1"/>
  <c r="M50" i="117"/>
  <c r="K50" i="117"/>
  <c r="I50" i="117"/>
  <c r="O49" i="117"/>
  <c r="N49" i="117" s="1"/>
  <c r="M49" i="117"/>
  <c r="K49" i="117"/>
  <c r="I49" i="117"/>
  <c r="O47" i="117"/>
  <c r="N47" i="117"/>
  <c r="M47" i="117"/>
  <c r="K47" i="117"/>
  <c r="I47" i="117"/>
  <c r="O46" i="117"/>
  <c r="N46" i="117" s="1"/>
  <c r="M46" i="117"/>
  <c r="K46" i="117"/>
  <c r="I46" i="117"/>
  <c r="O45" i="117"/>
  <c r="N45" i="117" s="1"/>
  <c r="M45" i="117"/>
  <c r="K45" i="117"/>
  <c r="I45" i="117"/>
  <c r="P42" i="117" s="1"/>
  <c r="O37" i="117"/>
  <c r="N37" i="117"/>
  <c r="M37" i="117"/>
  <c r="K37" i="117"/>
  <c r="I37" i="117"/>
  <c r="O36" i="117"/>
  <c r="N36" i="117" s="1"/>
  <c r="M36" i="117"/>
  <c r="K36" i="117"/>
  <c r="I36" i="117"/>
  <c r="O34" i="117"/>
  <c r="N34" i="117" s="1"/>
  <c r="M34" i="117"/>
  <c r="K34" i="117"/>
  <c r="I34" i="117"/>
  <c r="O33" i="117"/>
  <c r="M33" i="117"/>
  <c r="N33" i="117" s="1"/>
  <c r="K33" i="117"/>
  <c r="I33" i="117"/>
  <c r="O31" i="117"/>
  <c r="N31" i="117"/>
  <c r="M31" i="117"/>
  <c r="K31" i="117"/>
  <c r="I31" i="117"/>
  <c r="O30" i="117"/>
  <c r="N30" i="117" s="1"/>
  <c r="M30" i="117"/>
  <c r="K30" i="117"/>
  <c r="I30" i="117"/>
  <c r="O28" i="117"/>
  <c r="N28" i="117" s="1"/>
  <c r="M28" i="117"/>
  <c r="K28" i="117"/>
  <c r="I28" i="117"/>
  <c r="O27" i="117"/>
  <c r="N27" i="117" s="1"/>
  <c r="M27" i="117"/>
  <c r="K27" i="117"/>
  <c r="I27" i="117"/>
  <c r="O25" i="117"/>
  <c r="N25" i="117"/>
  <c r="M25" i="117"/>
  <c r="K25" i="117"/>
  <c r="I25" i="117"/>
  <c r="O24" i="117"/>
  <c r="N24" i="117" s="1"/>
  <c r="M24" i="117"/>
  <c r="K24" i="117"/>
  <c r="I24" i="117"/>
  <c r="P19" i="117" s="1"/>
  <c r="O22" i="117"/>
  <c r="N22" i="117" s="1"/>
  <c r="M22" i="117"/>
  <c r="K22" i="117"/>
  <c r="I22" i="117"/>
  <c r="O21" i="117"/>
  <c r="N21" i="117" s="1"/>
  <c r="M21" i="117"/>
  <c r="K21" i="117"/>
  <c r="I21" i="117"/>
  <c r="O18" i="117"/>
  <c r="N18" i="117" s="1"/>
  <c r="M18" i="117"/>
  <c r="K18" i="117"/>
  <c r="I18" i="117"/>
  <c r="O17" i="117"/>
  <c r="N17" i="117" s="1"/>
  <c r="M17" i="117"/>
  <c r="K17" i="117"/>
  <c r="I17" i="117"/>
  <c r="O16" i="117"/>
  <c r="N16" i="117" s="1"/>
  <c r="M16" i="117"/>
  <c r="K16" i="117"/>
  <c r="I16" i="117"/>
  <c r="O15" i="117"/>
  <c r="O111" i="117" s="1"/>
  <c r="N15" i="117"/>
  <c r="M15" i="117"/>
  <c r="M111" i="117" s="1"/>
  <c r="K15" i="117"/>
  <c r="I15" i="117"/>
  <c r="P13" i="117"/>
  <c r="O13" i="117"/>
  <c r="N13" i="117" s="1"/>
  <c r="M13" i="117"/>
  <c r="K13" i="117"/>
  <c r="I13" i="117"/>
  <c r="I111" i="117" s="1"/>
  <c r="M6" i="117"/>
  <c r="N6" i="101"/>
  <c r="M6" i="97"/>
  <c r="K13" i="99"/>
  <c r="L27" i="101"/>
  <c r="O7" i="115"/>
  <c r="M7" i="115"/>
  <c r="N7" i="115" s="1"/>
  <c r="K7" i="115"/>
  <c r="I7" i="115"/>
  <c r="P6" i="115" s="1"/>
  <c r="O9" i="115"/>
  <c r="P9" i="115"/>
  <c r="O7" i="114"/>
  <c r="O8" i="114" s="1"/>
  <c r="M7" i="114"/>
  <c r="M8" i="114" s="1"/>
  <c r="K7" i="114"/>
  <c r="I7" i="114"/>
  <c r="I8" i="114" s="1"/>
  <c r="O7" i="113"/>
  <c r="M7" i="113"/>
  <c r="K7" i="113"/>
  <c r="I7" i="113"/>
  <c r="P6" i="113" s="1"/>
  <c r="O7" i="112"/>
  <c r="N7" i="112" s="1"/>
  <c r="M7" i="112"/>
  <c r="M8" i="112" s="1"/>
  <c r="K7" i="112"/>
  <c r="I7" i="112"/>
  <c r="P6" i="112" s="1"/>
  <c r="O8" i="112"/>
  <c r="O8" i="111"/>
  <c r="M8" i="111"/>
  <c r="K8" i="111"/>
  <c r="I8" i="111"/>
  <c r="O7" i="111"/>
  <c r="M7" i="111"/>
  <c r="K7" i="111"/>
  <c r="I7" i="111"/>
  <c r="M11" i="110"/>
  <c r="O10" i="110"/>
  <c r="M10" i="110"/>
  <c r="K10" i="110"/>
  <c r="I10" i="110"/>
  <c r="O9" i="110"/>
  <c r="M9" i="110"/>
  <c r="K9" i="110"/>
  <c r="I9" i="110"/>
  <c r="O8" i="110"/>
  <c r="M8" i="110"/>
  <c r="K8" i="110"/>
  <c r="I8" i="110"/>
  <c r="P6" i="110" s="1"/>
  <c r="O7" i="110"/>
  <c r="M7" i="110"/>
  <c r="K7" i="110"/>
  <c r="I7" i="110"/>
  <c r="M12" i="109"/>
  <c r="O10" i="109"/>
  <c r="M10" i="109"/>
  <c r="K10" i="109"/>
  <c r="I10" i="109"/>
  <c r="O9" i="109"/>
  <c r="M9" i="109"/>
  <c r="K9" i="109"/>
  <c r="I9" i="109"/>
  <c r="O8" i="109"/>
  <c r="M8" i="109"/>
  <c r="K8" i="109"/>
  <c r="I8" i="109"/>
  <c r="K7" i="107"/>
  <c r="O7" i="108"/>
  <c r="N7" i="108" s="1"/>
  <c r="M7" i="108"/>
  <c r="M8" i="108" s="1"/>
  <c r="K7" i="108"/>
  <c r="I7" i="108"/>
  <c r="P6" i="108" s="1"/>
  <c r="P8" i="108" s="1"/>
  <c r="O7" i="107"/>
  <c r="M7" i="107"/>
  <c r="M8" i="107" s="1"/>
  <c r="I7" i="107"/>
  <c r="P6" i="107" s="1"/>
  <c r="I9" i="105"/>
  <c r="M9" i="106"/>
  <c r="O8" i="106"/>
  <c r="M8" i="106"/>
  <c r="N8" i="106" s="1"/>
  <c r="K8" i="106"/>
  <c r="I8" i="106"/>
  <c r="O7" i="106"/>
  <c r="N7" i="106" s="1"/>
  <c r="M7" i="106"/>
  <c r="K7" i="106"/>
  <c r="I7" i="106"/>
  <c r="P6" i="106" s="1"/>
  <c r="O8" i="105"/>
  <c r="O9" i="105" s="1"/>
  <c r="M8" i="105"/>
  <c r="M9" i="105" s="1"/>
  <c r="K8" i="105"/>
  <c r="I8" i="105"/>
  <c r="P7" i="105" s="1"/>
  <c r="O25" i="104"/>
  <c r="M25" i="104"/>
  <c r="K25" i="104"/>
  <c r="I25" i="104"/>
  <c r="O24" i="104"/>
  <c r="M24" i="104"/>
  <c r="N24" i="104" s="1"/>
  <c r="K24" i="104"/>
  <c r="I24" i="104"/>
  <c r="O22" i="104"/>
  <c r="N22" i="104" s="1"/>
  <c r="M22" i="104"/>
  <c r="K22" i="104"/>
  <c r="I22" i="104"/>
  <c r="O21" i="104"/>
  <c r="M21" i="104"/>
  <c r="N21" i="104" s="1"/>
  <c r="K21" i="104"/>
  <c r="I21" i="104"/>
  <c r="O19" i="104"/>
  <c r="M19" i="104"/>
  <c r="N19" i="104" s="1"/>
  <c r="K19" i="104"/>
  <c r="I19" i="104"/>
  <c r="O18" i="104"/>
  <c r="N18" i="104"/>
  <c r="M18" i="104"/>
  <c r="K18" i="104"/>
  <c r="I18" i="104"/>
  <c r="O16" i="104"/>
  <c r="M16" i="104"/>
  <c r="K16" i="104"/>
  <c r="I16" i="104"/>
  <c r="O15" i="104"/>
  <c r="M15" i="104"/>
  <c r="K15" i="104"/>
  <c r="I15" i="104"/>
  <c r="O13" i="104"/>
  <c r="M13" i="104"/>
  <c r="K13" i="104"/>
  <c r="I13" i="104"/>
  <c r="O12" i="104"/>
  <c r="N12" i="104" s="1"/>
  <c r="M12" i="104"/>
  <c r="K12" i="104"/>
  <c r="I12" i="104"/>
  <c r="O10" i="104"/>
  <c r="M10" i="104"/>
  <c r="K10" i="104"/>
  <c r="I10" i="104"/>
  <c r="O9" i="104"/>
  <c r="N9" i="104" s="1"/>
  <c r="M9" i="104"/>
  <c r="K9" i="104"/>
  <c r="I9" i="104"/>
  <c r="O41" i="103"/>
  <c r="M41" i="103"/>
  <c r="K41" i="103"/>
  <c r="I41" i="103"/>
  <c r="O40" i="103"/>
  <c r="M40" i="103"/>
  <c r="K40" i="103"/>
  <c r="I40" i="103"/>
  <c r="O39" i="103"/>
  <c r="M39" i="103"/>
  <c r="K39" i="103"/>
  <c r="I39" i="103"/>
  <c r="O37" i="103"/>
  <c r="M37" i="103"/>
  <c r="K37" i="103"/>
  <c r="I37" i="103"/>
  <c r="O36" i="103"/>
  <c r="M36" i="103"/>
  <c r="K36" i="103"/>
  <c r="I36" i="103"/>
  <c r="O35" i="103"/>
  <c r="M35" i="103"/>
  <c r="K35" i="103"/>
  <c r="I35" i="103"/>
  <c r="O33" i="103"/>
  <c r="M33" i="103"/>
  <c r="K33" i="103"/>
  <c r="I33" i="103"/>
  <c r="O32" i="103"/>
  <c r="M32" i="103"/>
  <c r="K32" i="103"/>
  <c r="I32" i="103"/>
  <c r="O31" i="103"/>
  <c r="M31" i="103"/>
  <c r="K31" i="103"/>
  <c r="I31" i="103"/>
  <c r="O29" i="103"/>
  <c r="M29" i="103"/>
  <c r="K29" i="103"/>
  <c r="I29" i="103"/>
  <c r="O28" i="103"/>
  <c r="M28" i="103"/>
  <c r="K28" i="103"/>
  <c r="I28" i="103"/>
  <c r="O27" i="103"/>
  <c r="M27" i="103"/>
  <c r="K27" i="103"/>
  <c r="I27" i="103"/>
  <c r="O25" i="103"/>
  <c r="M25" i="103"/>
  <c r="K25" i="103"/>
  <c r="O24" i="103"/>
  <c r="N24" i="103" s="1"/>
  <c r="M24" i="103"/>
  <c r="K24" i="103"/>
  <c r="I24" i="103"/>
  <c r="O23" i="103"/>
  <c r="M23" i="103"/>
  <c r="K23" i="103"/>
  <c r="I23" i="103"/>
  <c r="O22" i="103"/>
  <c r="N22" i="103" s="1"/>
  <c r="M22" i="103"/>
  <c r="K22" i="103"/>
  <c r="I22" i="103"/>
  <c r="O20" i="103"/>
  <c r="M20" i="103"/>
  <c r="K20" i="103"/>
  <c r="I20" i="103"/>
  <c r="O19" i="103"/>
  <c r="N19" i="103" s="1"/>
  <c r="M19" i="103"/>
  <c r="K19" i="103"/>
  <c r="I19" i="103"/>
  <c r="O18" i="103"/>
  <c r="M18" i="103"/>
  <c r="K18" i="103"/>
  <c r="I18" i="103"/>
  <c r="O16" i="103"/>
  <c r="M16" i="103"/>
  <c r="K16" i="103"/>
  <c r="I16" i="103"/>
  <c r="O15" i="103"/>
  <c r="M15" i="103"/>
  <c r="N15" i="103" s="1"/>
  <c r="K15" i="103"/>
  <c r="I15" i="103"/>
  <c r="O14" i="103"/>
  <c r="M14" i="103"/>
  <c r="K14" i="103"/>
  <c r="I14" i="103"/>
  <c r="O12" i="103"/>
  <c r="M12" i="103"/>
  <c r="K12" i="103"/>
  <c r="I12" i="103"/>
  <c r="O11" i="103"/>
  <c r="M11" i="103"/>
  <c r="K11" i="103"/>
  <c r="I11" i="103"/>
  <c r="O10" i="103"/>
  <c r="M10" i="103"/>
  <c r="K10" i="103"/>
  <c r="I10" i="103"/>
  <c r="I43" i="103" s="1"/>
  <c r="P113" i="101"/>
  <c r="N113" i="101"/>
  <c r="L113" i="101"/>
  <c r="I113" i="101"/>
  <c r="P110" i="101"/>
  <c r="N110" i="101"/>
  <c r="L110" i="101"/>
  <c r="P108" i="101"/>
  <c r="N108" i="101"/>
  <c r="L108" i="101"/>
  <c r="I108" i="101"/>
  <c r="P106" i="101"/>
  <c r="I106" i="101"/>
  <c r="P104" i="101"/>
  <c r="N104" i="101"/>
  <c r="L104" i="101"/>
  <c r="I104" i="101"/>
  <c r="P103" i="101"/>
  <c r="N103" i="101"/>
  <c r="L103" i="101"/>
  <c r="I103" i="101"/>
  <c r="P102" i="101"/>
  <c r="N102" i="101"/>
  <c r="L102" i="101"/>
  <c r="I102" i="101"/>
  <c r="L101" i="101"/>
  <c r="I101" i="101"/>
  <c r="P98" i="101"/>
  <c r="N98" i="101"/>
  <c r="L98" i="101"/>
  <c r="I98" i="101"/>
  <c r="P97" i="101"/>
  <c r="N97" i="101"/>
  <c r="L97" i="101"/>
  <c r="I97" i="101"/>
  <c r="P96" i="101"/>
  <c r="N96" i="101"/>
  <c r="L96" i="101"/>
  <c r="I96" i="101"/>
  <c r="P93" i="101"/>
  <c r="N93" i="101"/>
  <c r="L93" i="101"/>
  <c r="I93" i="101"/>
  <c r="P91" i="101"/>
  <c r="N91" i="101"/>
  <c r="L91" i="101"/>
  <c r="I91" i="101"/>
  <c r="P89" i="101"/>
  <c r="N89" i="101"/>
  <c r="L89" i="101"/>
  <c r="I89" i="101"/>
  <c r="P88" i="101"/>
  <c r="N88" i="101"/>
  <c r="L88" i="101"/>
  <c r="I88" i="101"/>
  <c r="N76" i="101"/>
  <c r="L76" i="101"/>
  <c r="I76" i="101"/>
  <c r="N75" i="101"/>
  <c r="L75" i="101"/>
  <c r="I75" i="101"/>
  <c r="P74" i="101"/>
  <c r="N74" i="101"/>
  <c r="L74" i="101"/>
  <c r="I74" i="101"/>
  <c r="N72" i="101"/>
  <c r="I72" i="101"/>
  <c r="N71" i="101"/>
  <c r="I71" i="101"/>
  <c r="P70" i="101"/>
  <c r="N70" i="101"/>
  <c r="L70" i="101"/>
  <c r="I70" i="101"/>
  <c r="N68" i="101"/>
  <c r="I68" i="101"/>
  <c r="N67" i="101"/>
  <c r="I67" i="101"/>
  <c r="P66" i="101"/>
  <c r="N66" i="101"/>
  <c r="L66" i="101"/>
  <c r="I66" i="101"/>
  <c r="P64" i="101"/>
  <c r="N64" i="101"/>
  <c r="L64" i="101"/>
  <c r="I64" i="101"/>
  <c r="P63" i="101"/>
  <c r="N63" i="101"/>
  <c r="L63" i="101"/>
  <c r="I63" i="101"/>
  <c r="P62" i="101"/>
  <c r="N62" i="101"/>
  <c r="L62" i="101"/>
  <c r="I62" i="101"/>
  <c r="P59" i="101"/>
  <c r="N59" i="101"/>
  <c r="L59" i="101"/>
  <c r="I59" i="101"/>
  <c r="P58" i="101"/>
  <c r="N58" i="101"/>
  <c r="L58" i="101"/>
  <c r="I58" i="101"/>
  <c r="N57" i="101"/>
  <c r="I57" i="101"/>
  <c r="N55" i="101"/>
  <c r="I55" i="101"/>
  <c r="P54" i="101"/>
  <c r="N54" i="101"/>
  <c r="L54" i="101"/>
  <c r="I54" i="101"/>
  <c r="P53" i="101"/>
  <c r="N53" i="101"/>
  <c r="I53" i="101"/>
  <c r="P51" i="101"/>
  <c r="N51" i="101"/>
  <c r="L51" i="101"/>
  <c r="I51" i="101"/>
  <c r="P50" i="101"/>
  <c r="N50" i="101"/>
  <c r="L50" i="101"/>
  <c r="I50" i="101"/>
  <c r="P49" i="101"/>
  <c r="N49" i="101"/>
  <c r="I49" i="101"/>
  <c r="P47" i="101"/>
  <c r="N47" i="101"/>
  <c r="L47" i="101"/>
  <c r="I47" i="101"/>
  <c r="P46" i="101"/>
  <c r="N46" i="101"/>
  <c r="L46" i="101"/>
  <c r="I46" i="101"/>
  <c r="N45" i="101"/>
  <c r="I45" i="101"/>
  <c r="P37" i="101"/>
  <c r="L37" i="101"/>
  <c r="I37" i="101"/>
  <c r="L36" i="101"/>
  <c r="I36" i="101"/>
  <c r="P34" i="101"/>
  <c r="N34" i="101"/>
  <c r="L34" i="101"/>
  <c r="I34" i="101"/>
  <c r="P33" i="101"/>
  <c r="N33" i="101"/>
  <c r="L33" i="101"/>
  <c r="I33" i="101"/>
  <c r="P31" i="101"/>
  <c r="N31" i="101"/>
  <c r="L31" i="101"/>
  <c r="I31" i="101"/>
  <c r="P30" i="101"/>
  <c r="N30" i="101"/>
  <c r="L30" i="101"/>
  <c r="I30" i="101"/>
  <c r="P28" i="101"/>
  <c r="N28" i="101"/>
  <c r="L28" i="101"/>
  <c r="I28" i="101"/>
  <c r="P27" i="101"/>
  <c r="N27" i="101"/>
  <c r="I27" i="101"/>
  <c r="P25" i="101"/>
  <c r="N25" i="101"/>
  <c r="L25" i="101"/>
  <c r="I25" i="101"/>
  <c r="P24" i="101"/>
  <c r="N24" i="101"/>
  <c r="L24" i="101"/>
  <c r="I24" i="101"/>
  <c r="P22" i="101"/>
  <c r="N22" i="101"/>
  <c r="L22" i="101"/>
  <c r="I22" i="101"/>
  <c r="P21" i="101"/>
  <c r="N21" i="101"/>
  <c r="L21" i="101"/>
  <c r="I21" i="101"/>
  <c r="P18" i="101"/>
  <c r="N18" i="101"/>
  <c r="L18" i="101"/>
  <c r="I18" i="101"/>
  <c r="P17" i="101"/>
  <c r="N17" i="101"/>
  <c r="L17" i="101"/>
  <c r="I17" i="101"/>
  <c r="P16" i="101"/>
  <c r="N16" i="101"/>
  <c r="L16" i="101"/>
  <c r="I16" i="101"/>
  <c r="L15" i="101"/>
  <c r="I15" i="101"/>
  <c r="L13" i="101"/>
  <c r="I13" i="101"/>
  <c r="O13" i="99"/>
  <c r="M13" i="99"/>
  <c r="I13" i="99"/>
  <c r="O12" i="99"/>
  <c r="N12" i="99" s="1"/>
  <c r="M12" i="99"/>
  <c r="K12" i="99"/>
  <c r="I12" i="99"/>
  <c r="O11" i="99"/>
  <c r="N11" i="99" s="1"/>
  <c r="M11" i="99"/>
  <c r="K11" i="99"/>
  <c r="I11" i="99"/>
  <c r="O10" i="99"/>
  <c r="M10" i="99"/>
  <c r="K10" i="99"/>
  <c r="I10" i="99"/>
  <c r="O8" i="99"/>
  <c r="N8" i="99"/>
  <c r="M8" i="99"/>
  <c r="K8" i="99"/>
  <c r="I8" i="99"/>
  <c r="K15" i="97"/>
  <c r="I81" i="97"/>
  <c r="P209" i="101" l="1"/>
  <c r="J100" i="101"/>
  <c r="J87" i="101"/>
  <c r="J112" i="101"/>
  <c r="J12" i="101"/>
  <c r="J42" i="101"/>
  <c r="J105" i="101"/>
  <c r="J92" i="101"/>
  <c r="J107" i="101"/>
  <c r="J19" i="101"/>
  <c r="J90" i="101"/>
  <c r="J94" i="101"/>
  <c r="O15" i="101"/>
  <c r="P57" i="101"/>
  <c r="O54" i="101"/>
  <c r="O113" i="101"/>
  <c r="O106" i="101"/>
  <c r="P55" i="101"/>
  <c r="L45" i="101"/>
  <c r="O66" i="101"/>
  <c r="O98" i="101"/>
  <c r="O102" i="101"/>
  <c r="O104" i="101"/>
  <c r="O68" i="101"/>
  <c r="N111" i="117"/>
  <c r="P111" i="117"/>
  <c r="O33" i="101"/>
  <c r="O50" i="101"/>
  <c r="O59" i="101"/>
  <c r="O21" i="101"/>
  <c r="O31" i="101"/>
  <c r="O34" i="101"/>
  <c r="O37" i="101"/>
  <c r="O46" i="101"/>
  <c r="O51" i="101"/>
  <c r="O70" i="101"/>
  <c r="O89" i="101"/>
  <c r="O97" i="101"/>
  <c r="O17" i="101"/>
  <c r="O27" i="101"/>
  <c r="O71" i="101"/>
  <c r="O74" i="101"/>
  <c r="O76" i="101"/>
  <c r="O88" i="101"/>
  <c r="O91" i="101"/>
  <c r="O96" i="101"/>
  <c r="O108" i="101"/>
  <c r="O110" i="101"/>
  <c r="O16" i="101"/>
  <c r="O67" i="101"/>
  <c r="O101" i="101"/>
  <c r="O22" i="101"/>
  <c r="O25" i="101"/>
  <c r="O30" i="101"/>
  <c r="O62" i="101"/>
  <c r="O64" i="101"/>
  <c r="O24" i="101"/>
  <c r="O72" i="101"/>
  <c r="O75" i="101"/>
  <c r="O45" i="101"/>
  <c r="O47" i="101"/>
  <c r="O53" i="101"/>
  <c r="O13" i="101"/>
  <c r="O58" i="101"/>
  <c r="O63" i="101"/>
  <c r="O93" i="101"/>
  <c r="O18" i="101"/>
  <c r="Q19" i="101"/>
  <c r="O49" i="101"/>
  <c r="O103" i="101"/>
  <c r="O28" i="101"/>
  <c r="M9" i="115"/>
  <c r="M9" i="113"/>
  <c r="N9" i="115"/>
  <c r="I9" i="115"/>
  <c r="P6" i="114"/>
  <c r="P8" i="114" s="1"/>
  <c r="N7" i="114"/>
  <c r="N8" i="114" s="1"/>
  <c r="I9" i="113"/>
  <c r="N7" i="113"/>
  <c r="P9" i="113"/>
  <c r="O9" i="113"/>
  <c r="I8" i="112"/>
  <c r="N8" i="112"/>
  <c r="N8" i="111"/>
  <c r="I9" i="111"/>
  <c r="P8" i="112"/>
  <c r="N7" i="111"/>
  <c r="M9" i="111"/>
  <c r="N8" i="110"/>
  <c r="N7" i="110"/>
  <c r="O9" i="111"/>
  <c r="I11" i="110"/>
  <c r="N9" i="110"/>
  <c r="N10" i="110"/>
  <c r="N13" i="104"/>
  <c r="N16" i="104"/>
  <c r="N25" i="104"/>
  <c r="N9" i="109"/>
  <c r="P6" i="109"/>
  <c r="P12" i="109" s="1"/>
  <c r="N8" i="109"/>
  <c r="N10" i="109"/>
  <c r="P11" i="110"/>
  <c r="O11" i="110"/>
  <c r="O12" i="109"/>
  <c r="I12" i="109"/>
  <c r="O8" i="108"/>
  <c r="N8" i="108"/>
  <c r="I8" i="108"/>
  <c r="N7" i="107"/>
  <c r="P8" i="107"/>
  <c r="O8" i="107"/>
  <c r="I9" i="106"/>
  <c r="N8" i="107"/>
  <c r="I8" i="107"/>
  <c r="O9" i="106"/>
  <c r="N9" i="106"/>
  <c r="P9" i="106"/>
  <c r="N8" i="105"/>
  <c r="N9" i="105" s="1"/>
  <c r="P9" i="105"/>
  <c r="N27" i="103"/>
  <c r="N10" i="103"/>
  <c r="N12" i="103"/>
  <c r="N25" i="103"/>
  <c r="N31" i="103"/>
  <c r="N33" i="103"/>
  <c r="N36" i="103"/>
  <c r="N41" i="103"/>
  <c r="M43" i="103"/>
  <c r="O43" i="103"/>
  <c r="N11" i="103"/>
  <c r="N14" i="103"/>
  <c r="N35" i="103"/>
  <c r="N23" i="103"/>
  <c r="N10" i="104"/>
  <c r="M30" i="104"/>
  <c r="O30" i="104"/>
  <c r="N15" i="104"/>
  <c r="P30" i="104"/>
  <c r="I30" i="104"/>
  <c r="N18" i="103"/>
  <c r="N20" i="103"/>
  <c r="N37" i="103"/>
  <c r="N40" i="103"/>
  <c r="N28" i="103"/>
  <c r="N16" i="103"/>
  <c r="N39" i="103"/>
  <c r="P7" i="103"/>
  <c r="N29" i="103"/>
  <c r="N32" i="103"/>
  <c r="N13" i="99"/>
  <c r="M14" i="99"/>
  <c r="P8" i="99"/>
  <c r="P14" i="99" s="1"/>
  <c r="O14" i="99"/>
  <c r="N10" i="99"/>
  <c r="I14" i="99"/>
  <c r="K19" i="97"/>
  <c r="M16" i="97"/>
  <c r="K16" i="97"/>
  <c r="O209" i="101" l="1"/>
  <c r="F24" i="116"/>
  <c r="J209" i="101"/>
  <c r="O57" i="101"/>
  <c r="O55" i="101"/>
  <c r="N14" i="99"/>
  <c r="N9" i="113"/>
  <c r="N9" i="111"/>
  <c r="N11" i="110"/>
  <c r="N30" i="104"/>
  <c r="N12" i="109"/>
  <c r="N43" i="103"/>
  <c r="P43" i="103"/>
  <c r="M84" i="97"/>
  <c r="K84" i="97"/>
  <c r="M83" i="97"/>
  <c r="M82" i="97"/>
  <c r="K82" i="97"/>
  <c r="M76" i="97"/>
  <c r="M74" i="97"/>
  <c r="K74" i="97"/>
  <c r="M73" i="97"/>
  <c r="K73" i="97"/>
  <c r="M72" i="97"/>
  <c r="K72" i="97"/>
  <c r="M71" i="97"/>
  <c r="N71" i="97" s="1"/>
  <c r="K71" i="97"/>
  <c r="M70" i="97"/>
  <c r="K70" i="97"/>
  <c r="M69" i="97"/>
  <c r="K69" i="97"/>
  <c r="M68" i="97"/>
  <c r="K68" i="97"/>
  <c r="M66" i="97"/>
  <c r="K66" i="97"/>
  <c r="M65" i="97"/>
  <c r="K65" i="97"/>
  <c r="M64" i="97"/>
  <c r="K64" i="97"/>
  <c r="M63" i="97"/>
  <c r="K63" i="97"/>
  <c r="M62" i="97"/>
  <c r="K62" i="97"/>
  <c r="M61" i="97"/>
  <c r="K61" i="97"/>
  <c r="M60" i="97"/>
  <c r="K60" i="97"/>
  <c r="M59" i="97"/>
  <c r="K59" i="97"/>
  <c r="M58" i="97"/>
  <c r="K58" i="97"/>
  <c r="M57" i="97"/>
  <c r="K57" i="97"/>
  <c r="M56" i="97"/>
  <c r="K56" i="97"/>
  <c r="M55" i="97"/>
  <c r="K55" i="97"/>
  <c r="M54" i="97"/>
  <c r="K54" i="97"/>
  <c r="M53" i="97"/>
  <c r="K53" i="97"/>
  <c r="M52" i="97"/>
  <c r="K52" i="97"/>
  <c r="M51" i="97"/>
  <c r="K51" i="97"/>
  <c r="M50" i="97"/>
  <c r="K50" i="97"/>
  <c r="M49" i="97"/>
  <c r="K49" i="97"/>
  <c r="M45" i="97"/>
  <c r="K45" i="97"/>
  <c r="M44" i="97"/>
  <c r="K44" i="97"/>
  <c r="M43" i="97"/>
  <c r="K43" i="97"/>
  <c r="M42" i="97"/>
  <c r="K42" i="97"/>
  <c r="M41" i="97"/>
  <c r="K41" i="97"/>
  <c r="M40" i="97"/>
  <c r="K40" i="97"/>
  <c r="M39" i="97"/>
  <c r="K39" i="97"/>
  <c r="M38" i="97"/>
  <c r="K38" i="97"/>
  <c r="M37" i="97"/>
  <c r="K37" i="97"/>
  <c r="M36" i="97"/>
  <c r="K36" i="97"/>
  <c r="M35" i="97"/>
  <c r="K35" i="97"/>
  <c r="M34" i="97"/>
  <c r="K34" i="97"/>
  <c r="M33" i="97"/>
  <c r="K33" i="97"/>
  <c r="M32" i="97"/>
  <c r="K32" i="97"/>
  <c r="M31" i="97"/>
  <c r="K31" i="97"/>
  <c r="M30" i="97"/>
  <c r="K30" i="97"/>
  <c r="M29" i="97"/>
  <c r="K29" i="97"/>
  <c r="M28" i="97"/>
  <c r="K28" i="97"/>
  <c r="M27" i="97"/>
  <c r="K27" i="97"/>
  <c r="M22" i="97"/>
  <c r="K22" i="97"/>
  <c r="M21" i="97"/>
  <c r="K21" i="97"/>
  <c r="M20" i="97"/>
  <c r="K20" i="97"/>
  <c r="M19" i="97"/>
  <c r="M18" i="97"/>
  <c r="K18" i="97"/>
  <c r="M17" i="97"/>
  <c r="K17" i="97"/>
  <c r="N16" i="97"/>
  <c r="M15" i="97"/>
  <c r="M86" i="97" l="1"/>
  <c r="N82" i="97"/>
  <c r="N81" i="97"/>
  <c r="N59" i="97"/>
  <c r="N50" i="97"/>
  <c r="N42" i="97"/>
  <c r="N68" i="97"/>
  <c r="N56" i="97"/>
  <c r="N69" i="97"/>
  <c r="N30" i="97"/>
  <c r="N18" i="97"/>
  <c r="N38" i="97"/>
  <c r="N35" i="97"/>
  <c r="N17" i="97"/>
  <c r="N32" i="97"/>
  <c r="N40" i="97"/>
  <c r="N84" i="97"/>
  <c r="N15" i="97"/>
  <c r="N20" i="97"/>
  <c r="N36" i="97"/>
  <c r="N49" i="97"/>
  <c r="N57" i="97"/>
  <c r="N41" i="97"/>
  <c r="N65" i="97"/>
  <c r="N74" i="97"/>
  <c r="N34" i="97"/>
  <c r="N63" i="97"/>
  <c r="N37" i="97"/>
  <c r="N27" i="97"/>
  <c r="N61" i="97"/>
  <c r="N33" i="97"/>
  <c r="N31" i="97"/>
  <c r="N45" i="97"/>
  <c r="N53" i="97"/>
  <c r="N72" i="97"/>
  <c r="N66" i="97"/>
  <c r="N29" i="97"/>
  <c r="N43" i="97"/>
  <c r="N51" i="97"/>
  <c r="N73" i="97"/>
  <c r="N39" i="97"/>
  <c r="N44" i="97"/>
  <c r="N55" i="97"/>
  <c r="N22" i="97"/>
  <c r="N64" i="97"/>
  <c r="N70" i="97"/>
  <c r="N83" i="97"/>
  <c r="N62" i="97"/>
  <c r="N60" i="97"/>
  <c r="N58" i="97"/>
  <c r="N21" i="97"/>
  <c r="N54" i="97"/>
  <c r="N19" i="97"/>
  <c r="N28" i="97"/>
  <c r="N52" i="97"/>
  <c r="I82" i="97" l="1"/>
  <c r="I83" i="97"/>
  <c r="I84" i="97"/>
  <c r="I49" i="97"/>
  <c r="I50" i="97"/>
  <c r="I51" i="97"/>
  <c r="I52" i="97"/>
  <c r="I53" i="97"/>
  <c r="I54" i="97"/>
  <c r="I55" i="97"/>
  <c r="I56" i="97"/>
  <c r="I57" i="97"/>
  <c r="I58" i="97"/>
  <c r="I59" i="97"/>
  <c r="I60" i="97"/>
  <c r="I61" i="97"/>
  <c r="I62" i="97"/>
  <c r="I63" i="97"/>
  <c r="I64" i="97"/>
  <c r="I65" i="97"/>
  <c r="I66" i="97"/>
  <c r="I68" i="97"/>
  <c r="I69" i="97"/>
  <c r="I70" i="97"/>
  <c r="I71" i="97"/>
  <c r="I72" i="97"/>
  <c r="I73" i="97"/>
  <c r="I74" i="97"/>
  <c r="I76" i="97"/>
  <c r="I27" i="97"/>
  <c r="I28" i="97"/>
  <c r="I29" i="97"/>
  <c r="I30" i="97"/>
  <c r="I31" i="97"/>
  <c r="I32" i="97"/>
  <c r="I33" i="97"/>
  <c r="I34" i="97"/>
  <c r="I35" i="97"/>
  <c r="I36" i="97"/>
  <c r="I37" i="97"/>
  <c r="I38" i="97"/>
  <c r="I39" i="97"/>
  <c r="I40" i="97"/>
  <c r="I41" i="97"/>
  <c r="I42" i="97"/>
  <c r="I43" i="97"/>
  <c r="I44" i="97"/>
  <c r="I45" i="97"/>
  <c r="I22" i="97"/>
  <c r="I18" i="97"/>
  <c r="I17" i="97"/>
  <c r="I16" i="97"/>
  <c r="I21" i="97"/>
  <c r="I20" i="97"/>
  <c r="I19" i="97"/>
  <c r="I15" i="97"/>
  <c r="I86" i="97" l="1"/>
  <c r="O76" i="97" l="1"/>
  <c r="N76" i="97" s="1"/>
  <c r="N86" i="97" s="1"/>
  <c r="K76" i="97"/>
  <c r="O86" i="97" l="1"/>
  <c r="F23" i="116" s="1"/>
  <c r="F25" i="116" s="1"/>
  <c r="H26" i="116" l="1"/>
  <c r="I26" i="120"/>
  <c r="I29" i="120" l="1"/>
  <c r="L34" i="120"/>
  <c r="L32" i="120"/>
  <c r="I32" i="120" s="1"/>
  <c r="I36" i="1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Q121" authorId="0" shapeId="0" xr:uid="{285E4119-E363-44D6-9F5E-E0993572CD8B}">
      <text>
        <r>
          <rPr>
            <b/>
            <sz val="9"/>
            <color indexed="81"/>
            <rFont val="Tahoma"/>
            <family val="2"/>
          </rPr>
          <t>Himal Kosala:</t>
        </r>
        <r>
          <rPr>
            <sz val="9"/>
            <color indexed="81"/>
            <rFont val="Tahoma"/>
            <family val="2"/>
          </rPr>
          <t xml:space="preserve">
Not attached</t>
        </r>
      </text>
    </comment>
  </commentList>
</comments>
</file>

<file path=xl/sharedStrings.xml><?xml version="1.0" encoding="utf-8"?>
<sst xmlns="http://schemas.openxmlformats.org/spreadsheetml/2006/main" count="1220" uniqueCount="317">
  <si>
    <t>DESCRIPTION</t>
  </si>
  <si>
    <t>Nos.</t>
  </si>
  <si>
    <t>No.</t>
  </si>
  <si>
    <t>A</t>
  </si>
  <si>
    <t>Supply and Installation of Powder coated Aluminum cladding over the block planters as per attached sketch no. AMI-SK-001_01.</t>
  </si>
  <si>
    <t>m2</t>
  </si>
  <si>
    <t>Type EC-03-A wall cladding to planter box, Anthracite Grey, powder coated finish as per sketch no. AMI-SK-001_01 - GROUND FLOOR.</t>
  </si>
  <si>
    <t>Type EC-05-A wall cladding to planter box, RAL 7016 Anthracite Grey, powder coated finish, as per sketch no. AMI-SK-001_01 - LEVEL 2.</t>
  </si>
  <si>
    <t>Type EC-05-A wall cladding to planter box, RAL 7016 Anthracite Grey, powder coated finish, as per sketch no. AMI-SK-001_01 - LEVEL 4 HOTEL.</t>
  </si>
  <si>
    <t>Type EC-06-A wall cladding to planter box, RAL 7016 Anthracite Grey, powder coated finish, as per sketch no. AMI-SK-001_01 - LEVEL 4 HOTEL.</t>
  </si>
  <si>
    <t>Type EC-03-A wall cladding to planter box, RAL 7016 Anthracite Grey, powder coated finish, as per sketch no. AMI-SK-001_01 - LEVEL 10.</t>
  </si>
  <si>
    <t>Type EC-04-A wall cladding to planter box, RAL 7016 Anthracite Grey, powder coated finish, as per sketch no. AMI-SK-001_01 - LEVEL 10.</t>
  </si>
  <si>
    <t>m</t>
  </si>
  <si>
    <t>METAL CLADDING WORKS</t>
  </si>
  <si>
    <t>METAL PLANTER BOX</t>
  </si>
  <si>
    <t>B</t>
  </si>
  <si>
    <t>Supply &amp; Installation of Planter Box</t>
  </si>
  <si>
    <t>METAL FENCES, GATES AND BALUSTRADES</t>
  </si>
  <si>
    <t>C</t>
  </si>
  <si>
    <t>Fabrication, Supply &amp; Installation of Metal fences, gates and balustrades</t>
  </si>
  <si>
    <t>L.M</t>
  </si>
  <si>
    <t>Type EC-05-A, hedge balustrade, 1600 mm high, Powder Coated Aluminum.
LEVEL 04 RESIDENTIAL</t>
  </si>
  <si>
    <t>No</t>
  </si>
  <si>
    <t>Excluded</t>
  </si>
  <si>
    <t>-</t>
  </si>
  <si>
    <t>GABION WALLS</t>
  </si>
  <si>
    <t>Structural calculation - if required</t>
  </si>
  <si>
    <t>LS</t>
  </si>
  <si>
    <t>Rate only</t>
  </si>
  <si>
    <t xml:space="preserve">PLOT 18 - DORCHESTER HOTEL                                                               </t>
  </si>
  <si>
    <t>PACKAGE: SUPPLY, DELIVERY &amp; INSTALLATION OF METAL WORKS TO LANDSCAPE AREAS &amp; GABION WALL</t>
  </si>
  <si>
    <t>Unit</t>
  </si>
  <si>
    <t>Item</t>
  </si>
  <si>
    <t>Fabrication, Supply and Installation of galvanized mild steel mesh to gabion wall to be made of Ф4 mm thick wire mesh, 100 x 50 mm thick opening with galvanized mild steel brackets; all as per the submitted &amp; approved sample.</t>
  </si>
  <si>
    <t>Qty</t>
  </si>
  <si>
    <t xml:space="preserve"> Amount (Dhs.)</t>
  </si>
  <si>
    <t xml:space="preserve">Rate </t>
  </si>
  <si>
    <t>RAL 7016 Anthracite Grey Colour, powder coated Matt finish, Shadow Gap, ST-01-C; 
Height = 100 mm,
Powder Coated Aluminum Angle 100x50x3 mm thick with countersunk screws.
- LEVEL 24 to LEVEL 29 RESIDENTIAL</t>
  </si>
  <si>
    <t>EC-05-A Hedge Balustrade, 1200 mm high, Powder Coated Aluminum - LEVEL 10 RESIDENTIAL</t>
  </si>
  <si>
    <t>Handrail 900 mm high, brushed stainless steel as per drawing LA-LD-L17-3651, wall mounted - LEVEL 17</t>
  </si>
  <si>
    <t>Type EC-03-A, Stainless steel sheet screen, decorative, average height 1 m (Square mesh) - C002 Bronze mirror, Water ripple C002 finish - LEVEL 17</t>
  </si>
  <si>
    <t>EC-04-A Hedge Balustrade, 1200 mm high, Powder Coated Aluminum - LEVEL 26 RESIDENTIAL</t>
  </si>
  <si>
    <t>Handrail 900 mm high, brushed stainless steel as  per drawing LA-LD-L26-3601 -  LEVEL 26 RESIDENTIAL</t>
  </si>
  <si>
    <t>Handrail 900 mm high, brushed stainless steel as per drawing LA-LD-L29-3651 - LEVEL 29 HOTEL</t>
  </si>
  <si>
    <t>Handrail 900 mm high, brushed stainless steel as per drawing LA-LD-L29-3652, wall mounted - LEVEL 29 HOTEL</t>
  </si>
  <si>
    <t>Handrail 900 mm high, brushed stainless steel as per drawing LA-LD-L29-3653 -  LEVEL 29 HOTEL</t>
  </si>
  <si>
    <t>Handrail 900 mm high, brushed stainless steel as per drawing LA-LD-L29-3654 - LEVEL 29 HOTEL</t>
  </si>
  <si>
    <t>D</t>
  </si>
  <si>
    <t>Planter box 1200 x 1200 x 1335 mm as per Sketch no. AMI-SK-003_01 to be made of 5 mm thick Powder Coated Aluminum Sheet - GROUND LEVEL</t>
  </si>
  <si>
    <t>Planter box 1000 x 1000 x 1650 mm, as per Sketch no. AMI-SK-003_01 to be made of 5 mm thick Powder Coated Aluminum Sheet - LEVEL 4 RESIDENTIAL</t>
  </si>
  <si>
    <t>Raised Planter 8860 x 750 x 620 mm, as per Sketch no. AMI-SK-003_01 to be made of 5 mm thick Powder Coated Aluminum Sheet - LEVEL 04 HOTEL.</t>
  </si>
  <si>
    <t>Raised planter 5530 x 500 x 620 mm, as per Sketch no. AMI-SK-003_01 to be made of 5 mm thick Powder Coated Aluminum Sheet - LEVEL 04 HOTEL.</t>
  </si>
  <si>
    <t>Raised planter 3500 x 1300 / 500 x 620 mm, as per Sketch no. AMI-SK-003_01 to be made of 5 mm thick Powder Coated Aluminum Sheet - LEVEL 04 HOTEL.</t>
  </si>
  <si>
    <t>Raised planter 1320 x 1300/ 800 x 620 mm, as per Sketch no. AMI-SK-003_01 to be made of 5 mm thick Powder Coated Aluminum Sheet - LEVEL 04 HOTEL.</t>
  </si>
  <si>
    <t>Raised planter 5860 x 500 x 620 mm, as per Sketch no. AMI-SK-003_01 to be made of 5 mm thick Powder Coated Aluminum Sheet - LEVEL 04 HOTEL.</t>
  </si>
  <si>
    <t>Raised planter 7000 x 500 x 620 mm, as per Sketch no. AMI-SK-003_01 to be made of 5 mm thick Powder Coated Aluminum Sheet - LEVEL 04 HOTEL.</t>
  </si>
  <si>
    <t>Raised planter 8730 x 1540 x 1170 mm, as per Sketch no. AMI-SK-003_01 to be made of 5 mm thick Powder Coated Aluminum Sheet - LEVEL 04 HOTEL.</t>
  </si>
  <si>
    <t>Planter on slab 4380 x 900 x 665 mm, as per Sketch no. AMI-SK-003_01 to be made of 5 mm thick Powder Coated Aluminum Sheet  - LEVEL 24.</t>
  </si>
  <si>
    <t>Planter on slab 3600 x 600 x 665 mm, as per Sketch no. AMI-SK-003_01 to be made of 5 mm thick Powder Coated Aluminum Sheet  - LEVEL 24.</t>
  </si>
  <si>
    <t>Planter on slab 7700 x 600 x 665 mm, as per Sketch no. AMI-SK-003_01 to be made of 5 mm thick Powder Coated Aluminum Sheet  - LEVEL 24.</t>
  </si>
  <si>
    <t>Planter on slab 3600 x 600 x 665 mm, as per Sketch no. AMI-SK-003_01 to be made of 5 mm thick Powder Coated Aluminum Sheet  - LEVEL 25.</t>
  </si>
  <si>
    <t>Planter on slab 7700 x 600 x 665 mm, as per Sketch no. AMI-SK-003_01 to be made of 5 mm thick Powder Coated Aluminum Sheet  - LEVEL 25.</t>
  </si>
  <si>
    <t>Planter on slab 3600 x 600 x 665 mm, as per Sketch no. AMI-SK-003_01 to be made of 5 mm thick Powder Coated Aluminum Sheet  -  LEVEL 27.</t>
  </si>
  <si>
    <t>Planter on slab 7700 x 600 x 665 mm, as per Sketch no. AMI-SK-003_01 to be made of 5 mm thick Powder Coated Aluminum Sheet  - LEVEL 27.</t>
  </si>
  <si>
    <t>Planter on slab 4400 x 900 x 665 mm, as per Sketch no. AMI-SK-003_01 to be made of 5 mm thick Powder Coated Aluminum Sheet - LEVEL 29.</t>
  </si>
  <si>
    <t>Planter on slab 3600 x 600 x 665 mm, as per Sketch no. AMI-SK-003_01 to be made of 5 mm thick Powder Coated Aluminum Sheet  - LEVEL 29.</t>
  </si>
  <si>
    <t>Planter on slab 7700 x 600 x 665 mm, as per Sketch no. AMI-SK-003_01 to be made of 5 mm thick Powder Coated Aluminum Sheet  - LEVEL 29.</t>
  </si>
  <si>
    <t>EC-05-A, Ballroom Sunken Garden Gate-01, 2m wide single leaf, 1m high, Powder Coated Aluminum - GROUND LEVEL</t>
  </si>
  <si>
    <t>EC-06-A, Ballroom Sunken Garden Gate-02, 3.5m wide sliding gate, 3 mtr. High, Powder Coated Aluminum - 
GROUND LEVEL</t>
  </si>
  <si>
    <t>EC-07-A, Ballroom Sunken Garden Gate-03, 1.2m wide single leaf, 1 m. High, Powder Coated Aluminum -
GROUND LEVEL</t>
  </si>
  <si>
    <t>EC-08-A, 1.65m High Fence - GROUND LEVEL</t>
  </si>
  <si>
    <t xml:space="preserve">EC-08-A, 1.65m High Gate, double leaf, 2m wide - 
GROUND LEVEL </t>
  </si>
  <si>
    <t>EC-10-A Hedge balustrade 1200 mm high as per drawing LA-LD-GL-3509, Powder Coated Aluminum -
GROUND LEVEL</t>
  </si>
  <si>
    <t>Handrail 900 mm high, brushed stainless steel, as per drawing LA-LD-GL-3651 - GROUND LEVEL</t>
  </si>
  <si>
    <t>EC-06-A, Gate Panel, 1.0 m high, Powder coated Aluminum - LEVEL 02</t>
  </si>
  <si>
    <t>EC-07-A, 1200 mm high hedge balustrade, Powder Coated Aluminum - LEVEL 02</t>
  </si>
  <si>
    <t>Handrail 900 mm high, brushed stainless steel, as per drawing LA-LD-L4-3661, wall mounted - LEVEL 04 RESIDENTIAL</t>
  </si>
  <si>
    <t>EC-07-A Hedge Balustrade aluminum, Powder Coated Aluminum, RAL7016 anthracite grey, 1300mm high -
LEVEL 04 HOTEL</t>
  </si>
  <si>
    <t>EC-08-A Gate Aluminum, Powder Coated finish, RAL 7016 anthracite grey, Single swing, 1200 mm high, 1400 mm width - LEVEL 04 Hotel</t>
  </si>
  <si>
    <t>EC-04-A Sliding Gate Aluminum to Private Dining, powder coated finish, RAL 7016 anthracite grey, 2150 mm length, 1200 mm High, Powder Coated Aluminum -
LEVEL 04 HOTEL</t>
  </si>
  <si>
    <t xml:space="preserve">AGREED VARATIONS </t>
  </si>
  <si>
    <t>Supply and Installation of decorative fins to hotel and residential tower</t>
  </si>
  <si>
    <t>Sum</t>
  </si>
  <si>
    <t>Supply and Installation of pergola at L29</t>
  </si>
  <si>
    <t>Supply and Installation of stainless steel ladders to swimming pools</t>
  </si>
  <si>
    <t>Supply and Installation of stainless shower to L4 and L29</t>
  </si>
  <si>
    <t>Total Amount [AED]</t>
  </si>
  <si>
    <t>Previous</t>
  </si>
  <si>
    <t>This Month</t>
  </si>
  <si>
    <t>Amount Claimed (AED)</t>
  </si>
  <si>
    <t>Work 
Completed</t>
  </si>
  <si>
    <t>Progress Quantity</t>
  </si>
  <si>
    <t>Progress Amount [AED]</t>
  </si>
  <si>
    <t>E</t>
  </si>
  <si>
    <t>PAYMENT APPLICATION</t>
  </si>
  <si>
    <t xml:space="preserve">Fabrication, supply and installation of Steel Structure for the Cabana. Size 16.8 mtr. (L) x 8.52 mtr. (W) x 3.575 mtr. (H) as per your drawings ref. A-4014 &amp; S-2335 </t>
  </si>
  <si>
    <t>Fabrication, supply and installation of Aluminum Frame to support the cladding for the Cabana of size 16.8 mtr (L) x 8.5 mtr (W).</t>
  </si>
  <si>
    <t xml:space="preserve">Fabrication, supply and installation of ACP/m2 Cladding 
4 mm thick for Cabana to upper Roof, roof edge boundary and internal sides of Roof openings. Approximate Area (180 m2). </t>
  </si>
  <si>
    <t>Fabrication, supply, and installation of 1.2 mm thick Water ripple Stainless steel Grade 316 panels cladding for Cabana bottom roof ONLY, approximate Area (130 m2). 
-	As per the supplier from Omniyat and consultant with the same details received from supplier. Client/ Consultant to choose the panels and design from supplier limitations and availability. Payment to this item as per the supplier condition.</t>
  </si>
  <si>
    <t>Design and Structural Calculation of Steel Structure &amp; connections covered the following.
-	Preparing the necessary analysis model for the steel structure design.
-	Design the section as per American standard.
-	Design all connections; Steel/Steel and Steel/Concrete.
-	Prepare the design calculations sheets.
-	Prepare Sketches for the design of section and connections and the Shop drawings approval.</t>
  </si>
  <si>
    <t>Shaft opening at Level 18 - Grid V-U (Elevation W41)</t>
  </si>
  <si>
    <t xml:space="preserve">25 mm and 35 mm thick plates </t>
  </si>
  <si>
    <t>M36 Grade 10.9 bolts and nuts for outside plates
600 mm Length - Supply and installation.</t>
  </si>
  <si>
    <t>MT</t>
  </si>
  <si>
    <t>Shaft opening at Level 18 - near to Grid T (Elevation W41)</t>
  </si>
  <si>
    <t>Shaft opening at Level 18 - near to Grid T (Elevation W41A)</t>
  </si>
  <si>
    <t>Shaft opening at Level 28 - Grid V-U (Elevation W44)</t>
  </si>
  <si>
    <t>Shaft opening at Shaft at Level 28 - Grid V-U (Elevation W44A)</t>
  </si>
  <si>
    <t>F</t>
  </si>
  <si>
    <t>Shaft opening at Shaft at Level 5</t>
  </si>
  <si>
    <t>Note:
- Any useful material will found at the site to be used and submitted as deduction from our payment as agreed and minuted at the Minutes no. 3 dated 08.06.2022. item no. 6.1.
- The cost of fabricated useful materials will be provided with a breakdown and to be agreed at due courses.</t>
  </si>
  <si>
    <t>WA ref. PS08 R0 &amp; SI ref. E11/K108/SK/dm/029 dated 10-Jun-2022
 Supply and Installation of Slab Extensions.</t>
  </si>
  <si>
    <t>Residence Tower</t>
  </si>
  <si>
    <t>Deck slab at Level - 10</t>
  </si>
  <si>
    <t>Fabrication, primer painting and supply of steel work.</t>
  </si>
  <si>
    <t>Supply, and fixing of deck sheet</t>
  </si>
  <si>
    <t>Supply and apply of 2 hours intumescent fire rating to steel beams (water based).</t>
  </si>
  <si>
    <t>Kg.</t>
  </si>
  <si>
    <t>Deck slab at Level - 18</t>
  </si>
  <si>
    <t>Deck slab at Levels - 23, 24, 25</t>
  </si>
  <si>
    <t>Deck slab at Levels - 29 &amp; 30</t>
  </si>
  <si>
    <t>Hotel Tower</t>
  </si>
  <si>
    <t>Deck slab at Levels - 17</t>
  </si>
  <si>
    <t>Deck slab at Levels - 24</t>
  </si>
  <si>
    <t>G</t>
  </si>
  <si>
    <t>Deck slab at Levels - 28</t>
  </si>
  <si>
    <t>H</t>
  </si>
  <si>
    <t>Deck slab at Levels - 29</t>
  </si>
  <si>
    <t>PACKAGE: ADDITIONAL AGREED VARIATIONS</t>
  </si>
  <si>
    <t>WA ref. PS08 R0 &amp; SI ref. E11/K108/KD/dm/037 dated 16-Jun-2022
 Supply and Installation of Stainless Steel handrails at Level 4 Swimming pool - 5 L.M</t>
  </si>
  <si>
    <t>Fabrication, supply and installation of Brushed Stainless-Steel Handrails at Level 4 Swimming pool as per our drawing no. AMI-AX-SD-L4-00108_00.
Note: Similar to the Contract unit rate.</t>
  </si>
  <si>
    <t>WA ref. PS08 R0 &amp; SI ref. E11/K108/SC/dm/039 dated 21-Jun-2022
 Supply and Installation of Canopy in Level 10 Residential Building.</t>
  </si>
  <si>
    <t>Fabrication, Supply, and Installation of Painted Mild Steel Structural to Canopy as per your drawing no. 
S-9102_Rev.0.
L10 
Size: 20685 x 4917 mm</t>
  </si>
  <si>
    <t>Structural Calculation</t>
  </si>
  <si>
    <t>L/S</t>
  </si>
  <si>
    <t>WA ref. PS08 R1 &amp; SI ref. E11/K108/SC/dm/066 dated 18-Jul-2022
Hotel - Level 5 Core wall strengthening / Epoxy Painted Mild Steel UB - 1 No.</t>
  </si>
  <si>
    <t>Fabrication, Supply, and Installation of Epoxy Painted Mild Steel UB-203 x 133 x 30 kg Vertical beam, 2800 mm height with cutting and welding of the existing horizontal beam.
Note: Any Structural Calculation not included.</t>
  </si>
  <si>
    <t>WA ref. PS08 R1 &amp; SI ref. E11/K108/PK/dm/073 dated 29-Jul-2022
Powder Coated Aluminum Planter Box at level 04 to be made of 5 mm thick Aluminum Sheet - 1 No.</t>
  </si>
  <si>
    <t>Fabrication, Supply, and Installation of Additional 5mm thick Powder Coated Aluminum Planter box for Level 04.
Note: The used Unit rate as per the agreed contract.</t>
  </si>
  <si>
    <t>WA ref. PS001R1 &amp; SI ref. E11/K108/SK/dm/009 R1 dated 26-Jun-2022 &amp; Quotation ref. AMI/QTN/22/4912 dated 22-Jun-2022.
 Supply and Installation of Hotel Roof Deck cabana.</t>
  </si>
  <si>
    <t>WA ref. PS08 R0 &amp; SI ref. E11/K108/SK/dm/027 dated 10-Jun-2022 &amp; Quotation ref. AMI/QTN/22/4925 dated 30-Jun-2022
 Supply and Installation of Steel Plates to the Shaft openings</t>
  </si>
  <si>
    <r>
      <rPr>
        <sz val="10"/>
        <rFont val="Arial"/>
        <family val="2"/>
      </rPr>
      <t xml:space="preserve">Design and Structural Calculation of Steel Structure &amp; connections for covered the following.
-	Preparing the necessary analysis model for the steel structure design.
-	Design the section as per American standard.
-	Design all connections; Steel/Steel and Steel/Concrete.
-	Prepare the design calculations sheets.
-	Prepare Sketches for the design of section and connections and the Shop drawings approval.
</t>
    </r>
    <r>
      <rPr>
        <b/>
        <u/>
        <sz val="10"/>
        <rFont val="Arial"/>
        <family val="2"/>
      </rPr>
      <t xml:space="preserve">
</t>
    </r>
  </si>
  <si>
    <t xml:space="preserve">Slab Deck (10 Floors)
</t>
  </si>
  <si>
    <t>View Deck canopy</t>
  </si>
  <si>
    <t>Hedge Balustrade</t>
  </si>
  <si>
    <t>Design and Structural Calculation of Steel Structure &amp; connections for covered the following.
- Preparing the necessary analysis model for the steel structure design.
- Design the section as per American standard.
- Design all connections; Steel/Steel and Steel/Concrete.
- Prepare the design calculations sheets.
- Prepare Sketches for the design of section and connections and the Shop drawings approval.</t>
  </si>
  <si>
    <t>Fire Testing &amp; Certification for the Aluminum Architectural Decorative Fins as per the new requirements as per attached cost &amp; description for the method as received from M/s. Thomas Bell-Wright International Consultants (TBWIC).
The Test only for Aluminum Flat Bar 
200 mm (Width) x 5 mm (thick). 
Summary for total cost as per the attachment and procedure = AED. 93,130.00</t>
  </si>
  <si>
    <t xml:space="preserve">Overhead and Administration 15%. </t>
  </si>
  <si>
    <t>Fabrication, supply and installation for Powder Coated Aluminum coping cover above sliding gate rail to be made of 4 mm thick Aluminum Sheet as per your drawing no. KCE-SK-0001 Rev. 0.
Size: 320 mm (Width) x 3560 mm (Length).</t>
  </si>
  <si>
    <t>WA ref. PS08 R0 &amp; SI ref. E11/K108/SC/dm/128 dated 23-Aug-2022 &amp; Quotation ref. AMI/QTN/22/4926 dated 30-Jun-2022
Residential Canopy Ateel Work at L32</t>
  </si>
  <si>
    <t>WA ref. PS08 R0 &amp; SI ref. E11/K108/SC/dm/128 dated 23-Aug-2022 &amp; Quotation ref. AMI/QTN/22/4913 dated 23-Jun-2022
Design Services for the Steel structure works &amp; Connections for Additional works .</t>
  </si>
  <si>
    <t>WA ref. PS08 R0 &amp; SI ref. E11/K108/SC/dm/128 dated 23-Aug-2022 &amp; Quotation ref. AMI/QTN/22/4955 dated 21-Jul-2022
Fire Testing &amp; Certification for the Aluminum Architectural Decorative Fins.</t>
  </si>
  <si>
    <t>WA ref. PS08 R0 &amp; SI ref. E11/K108/SC/dm/128 dated 23-Aug-2022 &amp; Quotation ref. AMI/QTN/22/4958 dated 23-Jul-2022
Powder Coated Aluminum Coping cover above sliding gate rail - 2 Nos.</t>
  </si>
  <si>
    <t xml:space="preserve">Extra over changes of the Hedge balustrades as per the email dated 16.04.2022 &amp; 18.04.2022 (attached) and drawings as per the new requirements for above items only and as per the below drawings ref. 
AMI-AX-SD-GF-00014 &amp; AMI-AX-SD-GF-00015
AMI-AX-SD-L2-00016 &amp; AMI-AX-SD-L2-00017
AMI-AX-SD-L4-00018 &amp; AMI-AX-SD-L4-00019
AMI-AX-SD-L4-00020 &amp; AMI-AX-SD-L4-00021
AMI-AX-SD-L10-00022
AMI-AX-SD-L26-00023 &amp; AMI-AX-SD-L26-00024
&amp; Approved Mockup WIR ref. AMI-AX-WR-MU-00007_03.
The amount of AED. 45,000.00 was highlighted at the attached email during the finalization of contract with KCE and Omniyat.
</t>
  </si>
  <si>
    <t>WA ref. PS08 R1 &amp; SI ref. E11/K108/SC/dm/128 dated 23-Aug-2022 &amp; Quotation ref. AMI/QTN/22/4973 dated 02-Aug-2022
Extra Over to Hedge Balustrade at Contract for 
Item 6: EC-10-A, H=1200 mm
Item 9: EC-07-A, H= 1200 mm
Item 10: EC-05-A, H=1600 mm
Item 12: EC-07-A, H=1300 mm
Item 16: EC-05-A, H=1200 mm
Item 21: EC-04-A, H=1200 mm</t>
  </si>
  <si>
    <t>WA ref. PS08 R1 &amp; SI ref. E11/K108/SC/dm/128 dated 23-Aug-2022 &amp; Quotation ref. AMI/QTN/22/4981 dated 08-Aug-2022
Stainless Steel Gabion Wall at Hotel - Ground floor instead of Galvanized Mild Steel mesh.</t>
  </si>
  <si>
    <t>Structural Calculation – If required.</t>
  </si>
  <si>
    <t>As per your RFI - Fabrication, Supply, and Installation of Stainless-Steel Mesh to Gabion Wall to be made of Ф 4 mm thick wire mesh, 50 x 50 mm thick opening with Stainless Steel brackets.
Sq.mtr. 280 m2
Note:
-	Any stone materials not included for both supply and installation (by others).</t>
  </si>
  <si>
    <t>WA ref. PS08 R1 &amp; SI ref. E11/K108/SC/dm/128 dated 23-Aug-2022 &amp; Quotation ref. AMI/QTN/22/4974 dated 02-Aug-2022
Stainless Steel Sheet Screen Decorative at level 17 - C002 Bronze mirror water ripple.</t>
  </si>
  <si>
    <t>Fabrication, supply and installation of 1.2 mm thick Stainless steel sheet screen, decorative – C002 Bronze mirror. Water ripple C002 finish to Level 17. 
C002 to be as per the attached photos &amp; sketches received from the source of China supplier with normal Stainless steel angle supports backside.
Height = 1100 mm – 1500 mm</t>
  </si>
  <si>
    <t>WA ref. PS08 R0 &amp; SI ref. E11/K108/SK/dm/029 dated 10-Jun-2022 &amp; Quotation ref. AMI/QTN/22/4924 dated 30-Jun-2022
 Supply and Installation of Slab Extensions.</t>
  </si>
  <si>
    <t>WA ref. PS08 R0 &amp; SI ref. E11/K108/KD/dm/037 dated 16-Jun-2022 &amp; Quotation ref. AMI/QTN/22/4905 dated 20-Jun-2022
 Supply and Installation of Stainless Steel handrails at Level 4 Swimming pool - 5 L.M</t>
  </si>
  <si>
    <t>WA ref. PS08 R0 &amp; SI ref. E11/K108/SC/dm/039 dated 21-Jun-2022 &amp; Quotation ref. AMI/QTN/22/4910 dated 22-Jun-2022
 Supply and Installation of Canopy in Level 10 Residential Building.</t>
  </si>
  <si>
    <t>WA ref. PS08 R1 &amp; SI ref. E11/K108/SC/dm/066 dated 18-Jul-2022 &amp; Quotation ref. AMI/QTN/22/4975 dated 3-Aug-2022
Hotel - Level 5 Core wall strengthening / Epoxy Painted Mild Steel UB - 1 No.</t>
  </si>
  <si>
    <t>WA ref. PS08 R1 &amp; SI ref. E11/K108/PK/dm/073 dated 29-Jul-2022 &amp; Quotation ref. AMI/QTN/22/4977 dated 03-Aug-2022
Powder Coated Aluminum Planter Box at level 04 to be made of 5 mm thick Aluminum Sheet - 1 No.</t>
  </si>
  <si>
    <t>WA ref. PS001R1 &amp; SI ref. E11/K108/SK/dm/009 R1 dated 26-Jun-2022 &amp; Quotation ref. AMI/QTN/22/4912 dated 22-Jun-2022.
Supply and Installation of Hotel Roof Deck cabana.</t>
  </si>
  <si>
    <t>TABLE SUMMARY</t>
  </si>
  <si>
    <t>1.1. Advance Payment</t>
  </si>
  <si>
    <t>Table No.</t>
  </si>
  <si>
    <t>Description</t>
  </si>
  <si>
    <t>Amount</t>
  </si>
  <si>
    <t xml:space="preserve">  Table 1  </t>
  </si>
  <si>
    <t>Supply , Delivery and Installation of Metal Works to Landscape areas &amp; Gabion Wall  and Agreed Variation - Advance Payment</t>
  </si>
  <si>
    <t>AED 3,330,440.00 x 15% = AED 499,566.00</t>
  </si>
  <si>
    <t>TOTAL AMOUNT     AED.</t>
  </si>
  <si>
    <t>External Metal Works &amp; Agreed Variations as per the Contract</t>
  </si>
  <si>
    <t>Other Agreed Variations</t>
  </si>
  <si>
    <t>Table 1</t>
  </si>
  <si>
    <t>WA ref. PS08 R0 &amp; SI ref. E11/K108/SC/dm/039 dated 21-Jun-2022 &amp; Quotation ref. AMI/QTN/22/4910 dated 22-Jun-2022
Supply and Installation of Canopy in Level 10 Residential Building.</t>
  </si>
  <si>
    <t>100% Advance Payment of Fire Testing &amp; Certification for the Aluminum Architectural Decorative Fins.
As per our notes and condition to submitted cost.</t>
  </si>
  <si>
    <t>WA ref. PS08 R0 &amp; SI ref. E11/K108/SK/dm/027 dated 10-Jun-2022 &amp; Quotation ref. AMI/QTN/22/4925 dated 30-Jun-2022
Supply and Installation of Steel Plates to the Shaft openings</t>
  </si>
  <si>
    <t xml:space="preserve">  Table 2  </t>
  </si>
  <si>
    <t>Table 2</t>
  </si>
  <si>
    <t xml:space="preserve">1.2. External Metal Works &amp; Agreed Variations </t>
  </si>
  <si>
    <t>As per Request for Information (RFI) ref. KCE-LX-RFI-PW-00140 dated Rev.00 &amp; Aconex mail ref. KCE-TRANSMIT-001057 dated 07-Sep-2022 &amp; Quotation ref. AMI/QTN/22/5024 dated 08-Sep-2022
Request to change Aluminum Cladding from Agreed thickness in the Contract of 5 mm thick to new thickness of 10mm thick.</t>
  </si>
  <si>
    <t>Fabrication, Supply, and Installation of Additional 5 mm thick Powder Coated Aluminum Planter box for Level 04.
Note: The used Unit rate as per the agreed contract.</t>
  </si>
  <si>
    <t>SI ref. E11/K108/SC/dm/262 dated 29-Sep-2022 &amp; Quotation ref. AMI/QTN/22/5064 dated 12-Oct-2022</t>
  </si>
  <si>
    <t>Fabrication, supply and installation of Top and Bottom Runners Galvanized Mild Steel Structure behind the Aluminum Fins at Level 05 as per your Sketch at your SI ref. E11/K108/SC/dm/262.</t>
  </si>
  <si>
    <t>1. Residential Area</t>
  </si>
  <si>
    <t>2. Hotel Tower</t>
  </si>
  <si>
    <t>Amount After Retention &amp; Recovery of Advance Payment</t>
  </si>
  <si>
    <t xml:space="preserve">4. </t>
  </si>
  <si>
    <t>3.</t>
  </si>
  <si>
    <t>2.</t>
  </si>
  <si>
    <t>Total Amount (AED)</t>
  </si>
  <si>
    <t>:</t>
  </si>
  <si>
    <t>Contract no.</t>
  </si>
  <si>
    <t>Subject</t>
  </si>
  <si>
    <t>Project</t>
  </si>
  <si>
    <t>Main Contractor</t>
  </si>
  <si>
    <t>Khansaheb Civil Engineering LLC</t>
  </si>
  <si>
    <t>Dorchester Hotel &amp; Residences (Plot 18), Business Bay, Dubai - UAE</t>
  </si>
  <si>
    <t>External Metal Works and Agreed Variations</t>
  </si>
  <si>
    <t>Letter of Intent ref. 201A22002/SW/ARM/152</t>
  </si>
  <si>
    <t>AED. 3,330,440.00</t>
  </si>
  <si>
    <t>Advance Payment (15% * 3,330,440.00 = 499,566.00)</t>
  </si>
  <si>
    <t xml:space="preserve">External Metal Works &amp; Agreed Variations	</t>
  </si>
  <si>
    <t>Retention (10%) for Executed work from Item 1.2</t>
  </si>
  <si>
    <t xml:space="preserve">Recovery of Advance Payment 15% from Item 1.2 </t>
  </si>
  <si>
    <t>Deck slab at Levels - 12</t>
  </si>
  <si>
    <t>Deck slab at Levels - 29A</t>
  </si>
  <si>
    <t>As per Quotation ref. AMI/QTN/22/5065 dated 12-Oct-2022
 Supply and Installation of Additional level for External Façade Deck Slabs at Hotel Level 12</t>
  </si>
  <si>
    <t>As per Quotation ref. AMI/QTN/22/5067 dated 12-Oct-2022
 Supply and Installation of Additional level for External Façade Deck Slabs at Hotel Level 29A</t>
  </si>
  <si>
    <t>Modification for each extended steel beam</t>
  </si>
  <si>
    <t>Modification for each Stub</t>
  </si>
  <si>
    <t>Modification for each horizontal beam</t>
  </si>
  <si>
    <t>Fire proofing for the additional items.</t>
  </si>
  <si>
    <t>As per Quotation ref. AMI/QTN/22/5074 dated 18-Oct-2022
Modification of the External Façade Deck Slabs</t>
  </si>
  <si>
    <t>Plate Size: 175 x 195 x 10 mm thick</t>
  </si>
  <si>
    <t>Quantitiy: 170 nos.</t>
  </si>
  <si>
    <t>As per Quotation ref. AMI/QTN/22/5123 dated 29-Nov-2022
Painted Mild Steel Hedge Balustrade 
Request to change of full design for the Hedge Balustrade at Hotel and Residential Multilvel as per RFI ref. KCE-LX-RFI-ML-00229_Rev. 00 was received in Aconex mail no. KCE-TRANSMIT-001951 dated 05-Nov-2022.</t>
  </si>
  <si>
    <t>As per Quotation ref. AMI/QTN/22/5039 dated 14-Sep-2022
Painted Mild Steel View Deck at Hotel Level 29
Request to change the full design and loading for the View deck at Hotel Level 29 and additional platform 6 mm thick Chequered plate as per RFI ref. KCE-AX-RFI-L29-00052_00.</t>
  </si>
  <si>
    <t>New Rate for the Fabrication, Supply and Installation of View deck at Hotel Level 29 and additional platform 6 mm thick Chequered plate</t>
  </si>
  <si>
    <t>As per Quotation ref. AMI/QTN/22/5136 dated 12-Dec-2022
Supply and Apply of Water based intumescent including Top coat View Deck at Hotel Level 29
Request to supply and apply of water based intumescent including Topcoat for View Deck at Hotel Level 29.</t>
  </si>
  <si>
    <t>- Product : 1200 WF + Top coat
- Fire Rating : 120 mins.</t>
  </si>
  <si>
    <t xml:space="preserve">As per Quotation ref. AMI/QTN/22/5141 dated 14-Dec-2022
Request to Fabrication, supply and and installation of Galvanized Mild Steel Supports for the Slab Deck at Residential Level 24,25 and 29
</t>
  </si>
  <si>
    <t>Galvanized Mild Steel Supports for the Slab Deck at Residential Level 24,25 and 29 to be made of 200 x 150 x 6 mm thick Mild Steel Box and 150 x 90 x 9 mm thick Angle</t>
  </si>
  <si>
    <t>Kg</t>
  </si>
  <si>
    <t>Site Instruction ref. E11/K108/SK/dm/413 dated 09-Nov-2022 &amp; E11/K108/SK/dm/541 dated 20-Dec-2022 Quotation ref. AMI/QTN/22/5090 dated 02-Nov-2022
Supply and Apply of 2 hours Intumescent fire rating to the additional steel plate support to the existing structure in Hotel &amp; Residential area at Level 05 - Additional Work.</t>
  </si>
  <si>
    <t xml:space="preserve">Site Instruction ref. E11/K108/SC/dm/286 dated 11-Oct-2022 &amp;  Quotation ref. AMI/QTN/22/5143 dated 17-Dec-2022
</t>
  </si>
  <si>
    <t>Supply, supply, and installation of Stainless-steel Floor mounted Handrails with Brushed Finish as per approved drawing ref. AMI-AX-SD-L29-00139_00 to 00140_00, AMI-AX-SD-L29-00134_00 to 00135_00, AMI-AX-SD-L29-00138_00, AMI-AX-SD-L26-00153.</t>
  </si>
  <si>
    <t xml:space="preserve">1. Roof Top Pool Level 29  </t>
  </si>
  <si>
    <t>2.	Hotel Level 29, Stair ST-01</t>
  </si>
  <si>
    <t>3.	Hotel Level 29, Stair ST-02</t>
  </si>
  <si>
    <t>4.	Hotel Level 29 Stair ST-04</t>
  </si>
  <si>
    <t xml:space="preserve">5.	Residential Pool Level 26 </t>
  </si>
  <si>
    <t>Supply, supply, and installation of Stainless-steel Pool Ladders with Brushed finish as per the approved drawing ref. AMI-AX-SD-L29-00129_00 to 00130_00, AMI-AX-SD-L10-00152_00</t>
  </si>
  <si>
    <t>1.	Hotel Roof Top Level 29
Size: 610 mm (W) x 1500 mm (H)</t>
  </si>
  <si>
    <t>2.	Penthouse Level 10
Size: 660 mm (W) x 1750 mm (H)</t>
  </si>
  <si>
    <t>Total Amount each item</t>
  </si>
  <si>
    <t>WA ref. PS08 R0 &amp; SI ref. E11/K108/KD/dm/037 dated 16-Jun-2022 &amp; Quotation ref. AMI/QTN/22/4905 dated 20-Jun-2022
Supply and Installation of Stainless Steel handrails at Level 4 Swimming pool - 5 L.M</t>
  </si>
  <si>
    <t>WA ref. PS08 R0 &amp; SI ref. E11/K108/SC/dm/128 dated 23-Aug-2022 &amp; Quotation ref. AMI/QTN/22/4913 dated 23-Jun-2022
Design Services for the Steel structure works &amp; Connections for Additional works.</t>
  </si>
  <si>
    <t>H.1</t>
  </si>
  <si>
    <t>Additional Deck slab at Levels - 12</t>
  </si>
  <si>
    <t>As per our email dated 21.01.2023 for the lastest revised Quotation ref. AMI/QTN/23/5159 dated 21.01.2023 and your WA ref. PS08 R0 &amp; SI ref. E11/K108/SK/dm/029 dated 10-Jun-2022 &amp; Quotation ref. AMI/QTN/22/4924 dated 30-Jun-2022
 Supply and Installation of Slab Extensions.</t>
  </si>
  <si>
    <t>As per our email dated 19.01.2023 for the lastest revised Quotation ref. AMI/QTN/23/5158 dated 19.01.2023 and WA ref. PS08 R0 &amp; SI ref. E11/K108/SC/dm/128 dated 23-Aug-2022 &amp; Quotation ref. AMI/QTN/22/4926 dated 30-Jun-2022
Residential Canopy Steel Work at L32</t>
  </si>
  <si>
    <t xml:space="preserve">Supply and apply of 2 hours intumescent fire rating to steel beams (water based). </t>
  </si>
  <si>
    <t xml:space="preserve">(Fully recovered Amount of AED. 499,566.00)  </t>
  </si>
  <si>
    <r>
      <t>m</t>
    </r>
    <r>
      <rPr>
        <vertAlign val="superscript"/>
        <sz val="10"/>
        <rFont val="Verdana"/>
        <family val="2"/>
      </rPr>
      <t>2</t>
    </r>
  </si>
  <si>
    <r>
      <t xml:space="preserve">EC-01-B Planter wall cladding </t>
    </r>
    <r>
      <rPr>
        <strike/>
        <sz val="10"/>
        <rFont val="Verdana"/>
        <family val="2"/>
      </rPr>
      <t>with mild steel</t>
    </r>
    <r>
      <rPr>
        <sz val="10"/>
        <rFont val="Verdana"/>
        <family val="2"/>
      </rPr>
      <t>, RAL 7016 Anthracite Grey colour, Powder coated Matt finish, as per sketch no. AMI-SK-001_01
 - LEVEL 24 to LEVEL 29 RESIDENTIAL.</t>
    </r>
  </si>
  <si>
    <r>
      <t>Handrail 900 mm high, brushed stainless steel as per drawing LA-LD-L4-3651 - LEVEL 04 HOTEL</t>
    </r>
    <r>
      <rPr>
        <b/>
        <sz val="10"/>
        <rFont val="Verdana"/>
        <family val="2"/>
      </rPr>
      <t xml:space="preserve"> </t>
    </r>
    <r>
      <rPr>
        <b/>
        <sz val="10"/>
        <color rgb="FFFF0000"/>
        <rFont val="Verdana"/>
        <family val="2"/>
      </rPr>
      <t>(Material On Site = 15 L.M x .70% = 10.5 L.M)</t>
    </r>
  </si>
  <si>
    <r>
      <t xml:space="preserve">Handrail 900 mm high, brushed stainless steel as per drawing LA-LD-L10-3651 - LEVEL 10 RESIDENTIAL </t>
    </r>
    <r>
      <rPr>
        <b/>
        <sz val="10"/>
        <color rgb="FFFF0000"/>
        <rFont val="Verdana"/>
        <family val="2"/>
      </rPr>
      <t>(Material On Site = 15 L.M x .70% = 10.5 L.M)</t>
    </r>
  </si>
  <si>
    <r>
      <t xml:space="preserve">Handrail 900 mm high, brushed stainless steel as per drawing LA-LD-L23-3651 - LEVEL 23 RESIDENTIAL </t>
    </r>
    <r>
      <rPr>
        <b/>
        <sz val="10"/>
        <color rgb="FFFF0000"/>
        <rFont val="Verdana"/>
        <family val="2"/>
      </rPr>
      <t>(Material On Site = 15 L.M x .70% = 10.5 L.M)</t>
    </r>
  </si>
  <si>
    <r>
      <rPr>
        <sz val="12"/>
        <rFont val="Arial"/>
        <family val="2"/>
      </rPr>
      <t xml:space="preserve">Design and Structural Calculation of Steel Structure &amp; connections for covered the following.
-	Preparing the necessary analysis model for the steel structure design.
-	Design the section as per American standard.
-	Design all connections; Steel/Steel and Steel/Concrete.
-	Prepare the design calculations sheets.
-	Prepare Sketches for the design of section and connections and the Shop drawings approval.
</t>
    </r>
    <r>
      <rPr>
        <b/>
        <u/>
        <sz val="12"/>
        <rFont val="Arial"/>
        <family val="2"/>
      </rPr>
      <t xml:space="preserve">
</t>
    </r>
  </si>
  <si>
    <r>
      <t xml:space="preserve">Planter box 1200 x 1200 x 1335 mm as per Sketch no. AMI-SK-003_01 to be made of </t>
    </r>
    <r>
      <rPr>
        <b/>
        <sz val="12"/>
        <rFont val="Verdana"/>
        <family val="2"/>
      </rPr>
      <t xml:space="preserve">10 mm thick </t>
    </r>
    <r>
      <rPr>
        <sz val="12"/>
        <rFont val="Verdana"/>
        <family val="2"/>
      </rPr>
      <t>Powder Coated Aluminum Sheet - GROUND LEVEL</t>
    </r>
  </si>
  <si>
    <r>
      <t xml:space="preserve">Planter box 1000 x 1000 x 1650 mm, as per Sketch no. AMI-SK-003_01 to be made of </t>
    </r>
    <r>
      <rPr>
        <b/>
        <sz val="12"/>
        <rFont val="Verdana"/>
        <family val="2"/>
      </rPr>
      <t xml:space="preserve">10 mm thick </t>
    </r>
    <r>
      <rPr>
        <sz val="12"/>
        <rFont val="Verdana"/>
        <family val="2"/>
      </rPr>
      <t>Powder Coated Aluminum Sheet - LEVEL 4 RESIDENTIAL</t>
    </r>
  </si>
  <si>
    <r>
      <t xml:space="preserve">Raised Planter 8860 x 750 x 620 mm, as per Sketch no. AMI-SK-003_01 to be made of </t>
    </r>
    <r>
      <rPr>
        <b/>
        <sz val="12"/>
        <rFont val="Verdana"/>
        <family val="2"/>
      </rPr>
      <t>10 mm thick</t>
    </r>
    <r>
      <rPr>
        <sz val="12"/>
        <rFont val="Verdana"/>
        <family val="2"/>
      </rPr>
      <t xml:space="preserve"> Powder Coated Aluminum Sheet - LEVEL 04 HOTEL.</t>
    </r>
  </si>
  <si>
    <r>
      <t xml:space="preserve">Raised planter 5530 x 500 x 620 mm, as per Sketch no. AMI-SK-003_01 to be made of </t>
    </r>
    <r>
      <rPr>
        <b/>
        <sz val="12"/>
        <rFont val="Verdana"/>
        <family val="2"/>
      </rPr>
      <t>10 mm thick</t>
    </r>
    <r>
      <rPr>
        <sz val="12"/>
        <rFont val="Verdana"/>
        <family val="2"/>
      </rPr>
      <t xml:space="preserve"> Powder Coated Aluminum Sheet - LEVEL 04 HOTEL.</t>
    </r>
  </si>
  <si>
    <r>
      <t xml:space="preserve">Raised planter 3500 x 1300 / 500 x 620 mm, as per Sketch no. AMI-SK-003_01 to be made of </t>
    </r>
    <r>
      <rPr>
        <b/>
        <sz val="12"/>
        <rFont val="Verdana"/>
        <family val="2"/>
      </rPr>
      <t>10 mm thick</t>
    </r>
    <r>
      <rPr>
        <sz val="12"/>
        <rFont val="Verdana"/>
        <family val="2"/>
      </rPr>
      <t xml:space="preserve"> Powder Coated Aluminum Sheet - LEVEL 04 HOTEL.</t>
    </r>
  </si>
  <si>
    <r>
      <t xml:space="preserve">Raised planter 1320 x 1300/ 800 x 620 mm, as per Sketch no. AMI-SK-003_01 to be made of </t>
    </r>
    <r>
      <rPr>
        <b/>
        <sz val="12"/>
        <rFont val="Verdana"/>
        <family val="2"/>
      </rPr>
      <t>10 mm thick</t>
    </r>
    <r>
      <rPr>
        <sz val="12"/>
        <rFont val="Verdana"/>
        <family val="2"/>
      </rPr>
      <t xml:space="preserve"> Powder Coated Aluminum Sheet - LEVEL 04 HOTEL.</t>
    </r>
  </si>
  <si>
    <r>
      <t xml:space="preserve">Raised planter 5860 x 500 x 620 mm, as per Sketch no. AMI-SK-003_01 to be made of </t>
    </r>
    <r>
      <rPr>
        <b/>
        <sz val="12"/>
        <rFont val="Verdana"/>
        <family val="2"/>
      </rPr>
      <t xml:space="preserve">10 mm thick </t>
    </r>
    <r>
      <rPr>
        <sz val="12"/>
        <rFont val="Verdana"/>
        <family val="2"/>
      </rPr>
      <t>Powder Coated Aluminum Sheet - LEVEL 04 HOTEL.</t>
    </r>
  </si>
  <si>
    <r>
      <t xml:space="preserve">Raised planter 7000 x 500 x 620 mm, as per Sketch no. AMI-SK-003_01 to be made of </t>
    </r>
    <r>
      <rPr>
        <b/>
        <sz val="12"/>
        <rFont val="Verdana"/>
        <family val="2"/>
      </rPr>
      <t>10 mm thick</t>
    </r>
    <r>
      <rPr>
        <sz val="12"/>
        <rFont val="Verdana"/>
        <family val="2"/>
      </rPr>
      <t xml:space="preserve"> Powder Coated Aluminum Sheet - LEVEL 04 HOTEL.</t>
    </r>
  </si>
  <si>
    <r>
      <t xml:space="preserve">Raised planter 8730 x 1540 x 1170 mm, as per Sketch no. AMI-SK-003_01 to be made of </t>
    </r>
    <r>
      <rPr>
        <b/>
        <sz val="12"/>
        <rFont val="Verdana"/>
        <family val="2"/>
      </rPr>
      <t>10 mm thick</t>
    </r>
    <r>
      <rPr>
        <sz val="12"/>
        <rFont val="Verdana"/>
        <family val="2"/>
      </rPr>
      <t xml:space="preserve"> Powder Coated Aluminum Sheet - LEVEL 04 HOTEL.</t>
    </r>
  </si>
  <si>
    <r>
      <t xml:space="preserve">Planter on slab 4380 x 900 x 665 mm, as per Sketch no. AMI-SK-003_01 to be made of </t>
    </r>
    <r>
      <rPr>
        <b/>
        <sz val="12"/>
        <rFont val="Verdana"/>
        <family val="2"/>
      </rPr>
      <t>10 mm thick</t>
    </r>
    <r>
      <rPr>
        <sz val="12"/>
        <rFont val="Verdana"/>
        <family val="2"/>
      </rPr>
      <t xml:space="preserve"> Powder Coated Aluminum Sheet  - LEVEL 24.</t>
    </r>
  </si>
  <si>
    <r>
      <t xml:space="preserve">Planter on slab 3600 x 600 x 665 mm, as per Sketch no. AMI-SK-003_01 to be made of </t>
    </r>
    <r>
      <rPr>
        <b/>
        <sz val="12"/>
        <rFont val="Verdana"/>
        <family val="2"/>
      </rPr>
      <t>10 mm thick</t>
    </r>
    <r>
      <rPr>
        <sz val="12"/>
        <rFont val="Verdana"/>
        <family val="2"/>
      </rPr>
      <t xml:space="preserve"> Powder Coated Aluminum Sheet  - LEVEL 24.</t>
    </r>
  </si>
  <si>
    <r>
      <t xml:space="preserve">Planter on slab 7700 x 600 x 665 mm, as per Sketch no. AMI-SK-003_01 to be made of </t>
    </r>
    <r>
      <rPr>
        <b/>
        <sz val="12"/>
        <rFont val="Verdana"/>
        <family val="2"/>
      </rPr>
      <t>10 mm thick</t>
    </r>
    <r>
      <rPr>
        <sz val="12"/>
        <rFont val="Verdana"/>
        <family val="2"/>
      </rPr>
      <t xml:space="preserve"> Powder Coated Aluminum Sheet  - LEVEL 24.</t>
    </r>
  </si>
  <si>
    <r>
      <t xml:space="preserve">Planter on slab 3600 x 600 x 665 mm, as per Sketch no. AMI-SK-003_01 to be made of </t>
    </r>
    <r>
      <rPr>
        <b/>
        <sz val="12"/>
        <rFont val="Verdana"/>
        <family val="2"/>
      </rPr>
      <t>10 mm thick</t>
    </r>
    <r>
      <rPr>
        <sz val="12"/>
        <rFont val="Verdana"/>
        <family val="2"/>
      </rPr>
      <t xml:space="preserve"> Powder Coated Aluminum Sheet  - LEVEL 25.</t>
    </r>
  </si>
  <si>
    <r>
      <t xml:space="preserve">Planter on slab 7700 x 600 x 665 mm, as per Sketch no. AMI-SK-003_01 to be made of </t>
    </r>
    <r>
      <rPr>
        <b/>
        <sz val="12"/>
        <rFont val="Verdana"/>
        <family val="2"/>
      </rPr>
      <t>10 mm thick</t>
    </r>
    <r>
      <rPr>
        <sz val="12"/>
        <rFont val="Verdana"/>
        <family val="2"/>
      </rPr>
      <t xml:space="preserve"> Powder Coated Aluminum Sheet  - LEVEL 25.</t>
    </r>
  </si>
  <si>
    <r>
      <t xml:space="preserve">Planter on slab 3600 x 600 x 665 mm, as per Sketch no. AMI-SK-003_01 to be made of </t>
    </r>
    <r>
      <rPr>
        <b/>
        <sz val="12"/>
        <rFont val="Verdana"/>
        <family val="2"/>
      </rPr>
      <t>10 mm thick</t>
    </r>
    <r>
      <rPr>
        <sz val="12"/>
        <rFont val="Verdana"/>
        <family val="2"/>
      </rPr>
      <t xml:space="preserve"> Powder Coated Aluminum Sheet  -  LEVEL 27.</t>
    </r>
  </si>
  <si>
    <r>
      <t xml:space="preserve">Planter on slab 7700 x 600 x 665 mm, as per Sketch no. AMI-SK-003_01 to be made of </t>
    </r>
    <r>
      <rPr>
        <b/>
        <sz val="12"/>
        <rFont val="Verdana"/>
        <family val="2"/>
      </rPr>
      <t>10 mm thick</t>
    </r>
    <r>
      <rPr>
        <sz val="12"/>
        <rFont val="Verdana"/>
        <family val="2"/>
      </rPr>
      <t xml:space="preserve"> Powder Coated Aluminum Sheet  - LEVEL 27.</t>
    </r>
  </si>
  <si>
    <r>
      <t xml:space="preserve">Planter on slab 4400 x 900 x 665 mm, as per Sketch no. AMI-SK-003_01 to be made of </t>
    </r>
    <r>
      <rPr>
        <b/>
        <sz val="12"/>
        <rFont val="Verdana"/>
        <family val="2"/>
      </rPr>
      <t>10 mm thick</t>
    </r>
    <r>
      <rPr>
        <sz val="12"/>
        <rFont val="Verdana"/>
        <family val="2"/>
      </rPr>
      <t xml:space="preserve"> Powder Coated Aluminum Sheet - LEVEL 29.</t>
    </r>
  </si>
  <si>
    <r>
      <t xml:space="preserve">Planter on slab 3600 x 600 x 665 mm, as per Sketch no. AMI-SK-003_01 to be made of </t>
    </r>
    <r>
      <rPr>
        <b/>
        <sz val="12"/>
        <rFont val="Verdana"/>
        <family val="2"/>
      </rPr>
      <t>10 mm thick</t>
    </r>
    <r>
      <rPr>
        <sz val="12"/>
        <rFont val="Verdana"/>
        <family val="2"/>
      </rPr>
      <t xml:space="preserve"> Powder Coated Aluminum Sheet  - LEVEL 29.</t>
    </r>
  </si>
  <si>
    <r>
      <t xml:space="preserve">Planter on slab 7700 x 600 x 665 mm, as per Sketch no. AMI-SK-003_01 to be made of </t>
    </r>
    <r>
      <rPr>
        <b/>
        <sz val="12"/>
        <rFont val="Verdana"/>
        <family val="2"/>
      </rPr>
      <t>10 mm thick</t>
    </r>
    <r>
      <rPr>
        <sz val="12"/>
        <rFont val="Verdana"/>
        <family val="2"/>
      </rPr>
      <t xml:space="preserve"> Powder Coated Aluminum Sheet  - LEVEL 29.</t>
    </r>
  </si>
  <si>
    <r>
      <t>m</t>
    </r>
    <r>
      <rPr>
        <vertAlign val="superscript"/>
        <sz val="12"/>
        <rFont val="Verdana"/>
        <family val="2"/>
      </rPr>
      <t>2</t>
    </r>
  </si>
  <si>
    <t xml:space="preserve">As per Quotation ref. AMI/QTN/22/5177 dated 30-Jan-2023 and your SI ref. E11/K108/SC/AK/0591 dated 06.01.2023 
Cost Breakdown for Engineering &amp; Design Works.
</t>
  </si>
  <si>
    <t xml:space="preserve">Engineering works such as Approval of Shop drawings, material submittals etc. work started on June 2022 until November 2022.
</t>
  </si>
  <si>
    <t>AED 231,000.00 x 30% = AED 69,300.00 (i.e., values taken from original scope cost).</t>
  </si>
  <si>
    <t>Design and Structural Calculation started on November 2022.</t>
  </si>
  <si>
    <r>
      <t xml:space="preserve">EC-10-A Hedge balustrade </t>
    </r>
    <r>
      <rPr>
        <b/>
        <sz val="12"/>
        <rFont val="Arial"/>
        <family val="2"/>
      </rPr>
      <t xml:space="preserve">1200 mm high </t>
    </r>
    <r>
      <rPr>
        <sz val="12"/>
        <rFont val="Arial"/>
        <family val="2"/>
      </rPr>
      <t>as per drawing LA-LD-GL-3509, GROUND LEVEL</t>
    </r>
  </si>
  <si>
    <r>
      <t>EC-07-A, 1</t>
    </r>
    <r>
      <rPr>
        <b/>
        <sz val="12"/>
        <rFont val="Arial"/>
        <family val="2"/>
      </rPr>
      <t>200 mm high</t>
    </r>
    <r>
      <rPr>
        <sz val="12"/>
        <rFont val="Arial"/>
        <family val="2"/>
      </rPr>
      <t xml:space="preserve"> hedge balustrade, LEVEL 02</t>
    </r>
  </si>
  <si>
    <r>
      <t xml:space="preserve">Type EC-05-A, hedge balustrade, </t>
    </r>
    <r>
      <rPr>
        <b/>
        <sz val="12"/>
        <rFont val="Arial"/>
        <family val="2"/>
      </rPr>
      <t>1600 mm high</t>
    </r>
    <r>
      <rPr>
        <sz val="12"/>
        <rFont val="Arial"/>
        <family val="2"/>
      </rPr>
      <t>, LEVEL 04 RESIDENTIAL</t>
    </r>
  </si>
  <si>
    <r>
      <t xml:space="preserve">EC-07-A Hedge Balustrade aluminum, RAL7016 anthracite grey, </t>
    </r>
    <r>
      <rPr>
        <b/>
        <sz val="12"/>
        <rFont val="Arial"/>
        <family val="2"/>
      </rPr>
      <t>1300mm high</t>
    </r>
    <r>
      <rPr>
        <sz val="12"/>
        <rFont val="Arial"/>
        <family val="2"/>
      </rPr>
      <t xml:space="preserve"> -
LEVEL 04 HOTEL</t>
    </r>
  </si>
  <si>
    <r>
      <t xml:space="preserve">EC-05-A Hedge Balustrade, </t>
    </r>
    <r>
      <rPr>
        <b/>
        <sz val="12"/>
        <rFont val="Arial"/>
        <family val="2"/>
      </rPr>
      <t>1200 mm high</t>
    </r>
    <r>
      <rPr>
        <sz val="12"/>
        <rFont val="Arial"/>
        <family val="2"/>
      </rPr>
      <t>, LEVEL 10 RESIDENTIAL</t>
    </r>
  </si>
  <si>
    <r>
      <t>EC-04-A Hedge Balustrade, 1</t>
    </r>
    <r>
      <rPr>
        <b/>
        <sz val="12"/>
        <rFont val="Arial"/>
        <family val="2"/>
      </rPr>
      <t>200 mm high</t>
    </r>
    <r>
      <rPr>
        <sz val="12"/>
        <rFont val="Arial"/>
        <family val="2"/>
      </rPr>
      <t>, LEVEL 26 RESIDENTIAL</t>
    </r>
  </si>
  <si>
    <t>Comments</t>
  </si>
  <si>
    <t>70% only</t>
  </si>
  <si>
    <t>Site Instruction ref. E11/K108/SC/dm/684 dated 31-Jan-2023 &amp;  Quotation ref. AMI/QTN/23/5194 dated 23-Feb-2023
Extension of the Epoxy Painted Mild Steel Hedge Balustrade at Residential Podium Level 4 - Pool Side</t>
  </si>
  <si>
    <r>
      <t xml:space="preserve">Fabrication, supply and installation of Epoxy Painted Mild Steel Hedge Balustrade as per your Site Instruction no. E11/K108/SC/dm/684 and the highlighted Shop drawing no. AMI-AX-SD-L4-00160.
Height = 1200 mm
</t>
    </r>
    <r>
      <rPr>
        <b/>
        <sz val="12"/>
        <rFont val="Verdana"/>
        <family val="2"/>
      </rPr>
      <t>Note:
    - The rate used is similar to the Unit rate 
       submitted in our Quotation ref. 
       AMI/QTN/22/5123 dated 29.11.2022.</t>
    </r>
  </si>
  <si>
    <t>Site Instruction ref. E11/K108/NA/dm/824 dated 09-Mar-2023 &amp;  Quotation ref. AMI/QTN/23/5219 dated 18-Mar-2023
Extension of the Epoxy Painted Mild Steel Hedge Balustrade near Stair 2 at Residential Podium Level 4</t>
  </si>
  <si>
    <r>
      <t xml:space="preserve">Fabrication, supply and installation of Epoxy Painted Mild Steel Hedge Balustrade as per your Site Instruction no. E11/K108/SC/NA/dm/824 and the highlighted Shop drawing no. AMI-AX-SD-L4-00160.
Height = 1200 mm
</t>
    </r>
    <r>
      <rPr>
        <b/>
        <sz val="12"/>
        <rFont val="Verdana"/>
        <family val="2"/>
      </rPr>
      <t>Note:
    - The rate used is similar to the Unit rate 
       submitted in our Quotation ref. 
       AMI/QTN/22/5123 dated 29.11.2022.</t>
    </r>
  </si>
  <si>
    <t>Site Instruction ref. E11/K108/SC/dm/771 dated 23-Feb-2023 &amp;  Quotation ref. AMI/QTN/23/5216 dated 16-Mar-2023
Applying of Nexa Autocolor Paint for the Cabana Columns at Hotel Level 29</t>
  </si>
  <si>
    <t>Applying of Nexa Autocolor Paint (RAL# 1035 lighter pearl coat) for the Cabana Columns at Hotel Level 29 as per your Site Instruction ref. E11/K108/SC/dm/771 dated 23.02.2023.
Column’s Qty
Ф 273 mm = 4 Nos.
Ф 101.6 mm = 4 Nos.
Column’s Height = 3280 mm</t>
  </si>
  <si>
    <t>Site Instruction ref. E11/K108/SC/dm/156 dated 05-Sep-2022 &amp;  Quotation ref. AMI/QTN/22/5058 dated 05-Oct-2022.
Duct Slab Extension anchor bolt pull out test.</t>
  </si>
  <si>
    <t>Duct Slab Extention Anchor Bolt Pull out Test.
Note: 
- As per DM requirement, minimum of 5% bolts shall be test &amp; required. If additional bolts will be tested, then we shall consider the revised quantity for bolts.</t>
  </si>
  <si>
    <t xml:space="preserve">As per Quotation ref. AMI/QTN/23/5231 dated 30-Mar-2023 
Cost Breakdown for Engineering &amp; Design Works 
done for the Residential Level 10 Canopy
</t>
  </si>
  <si>
    <t xml:space="preserve">Engineering works such as Shop drawings etc. work started on August 2022.
</t>
  </si>
  <si>
    <t>AED 77,500.00 x 30% = AED 23,250.00 (i.e., values taken from Agreed Cost).</t>
  </si>
  <si>
    <t>Design and Structural Calculation started on August 2022.</t>
  </si>
  <si>
    <t xml:space="preserve">As per Quotation ref. AMI/QTN/23/5232 dated 30-Mar-2023 
Cost Breakdown for Engineering &amp; Design Works 
done for the Stainless Steel Sheet Screen Decorative at Level 17 - C002 Bronze Mirror water ripple.
</t>
  </si>
  <si>
    <t xml:space="preserve">Engineering works such as Shop drawings etc. work started on October 2022.
</t>
  </si>
  <si>
    <t>AED 289,250 x 30% = AED 86,775.00 (i.e., values taken from Agreed Cost).</t>
  </si>
  <si>
    <t>AMI-AX-WR-L24-00071</t>
  </si>
  <si>
    <t>Additional Deck slab at Levels - 29A</t>
  </si>
  <si>
    <t>AMI-AX-WR-L29-00046</t>
  </si>
  <si>
    <t>No WIR</t>
  </si>
  <si>
    <t>AMI-AX-WR-L32-00063</t>
  </si>
  <si>
    <t>AMI-AX-WR-L10-00070</t>
  </si>
  <si>
    <t>AMI-AX-WR-ML-00032</t>
  </si>
  <si>
    <t>AMI-AX-WR-L29-00057_00_B</t>
  </si>
  <si>
    <t>AMI-AX-MR-L29-00093_00 B</t>
  </si>
  <si>
    <t>AMI-AX-WR-L17-00076_00_B</t>
  </si>
  <si>
    <t>AMI-AX-WR-L28-00067_00_B</t>
  </si>
  <si>
    <t>AMI-AX-WR-L29-00039_00_B</t>
  </si>
  <si>
    <t>AMI-AX-MR-L4-00086_00_B</t>
  </si>
  <si>
    <t>AMI-AX-WR-L4-00038, 
AMI-AX-WR-L4-00048,	
AMI-AX-WR-L4-00051,</t>
  </si>
  <si>
    <t>AMI-AX-MR-L2-00088 (Issued for approval)
AMI-AX-MR-L2-00094 (Issued  for approval)</t>
  </si>
  <si>
    <t>AMI-AX-MR-L4-00089 (issued for 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</si>
</sst>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quot;True&quot;;&quot;True&quot;;&quot;False&quot;"/>
    <numFmt numFmtId="166" formatCode="[$-409]mmmm\ d\,\ yyyy;@"/>
  </numFmts>
  <fonts count="35" x14ac:knownFonts="1">
    <font>
      <sz val="10"/>
      <name val="Arial"/>
    </font>
    <font>
      <sz val="10"/>
      <name val="Arial"/>
      <family val="2"/>
    </font>
    <font>
      <sz val="10"/>
      <name val="Arial"/>
      <family val="2"/>
    </font>
    <font>
      <sz val="10"/>
      <name val="Arial"/>
      <family val="2"/>
    </font>
    <font>
      <sz val="8"/>
      <name val="Arial"/>
      <family val="2"/>
    </font>
    <font>
      <b/>
      <sz val="10"/>
      <name val="Arial"/>
      <family val="2"/>
    </font>
    <font>
      <b/>
      <u/>
      <sz val="10"/>
      <name val="Arial"/>
      <family val="2"/>
    </font>
    <font>
      <u/>
      <sz val="10"/>
      <name val="Arial"/>
      <family val="2"/>
    </font>
    <font>
      <sz val="10"/>
      <name val="Verdana"/>
      <family val="2"/>
    </font>
    <font>
      <sz val="9"/>
      <name val="Verdana"/>
      <family val="2"/>
    </font>
    <font>
      <b/>
      <sz val="9"/>
      <name val="Verdana"/>
      <family val="2"/>
    </font>
    <font>
      <b/>
      <u/>
      <sz val="9"/>
      <name val="Verdana"/>
      <family val="2"/>
    </font>
    <font>
      <b/>
      <sz val="12"/>
      <name val="Verdana"/>
      <family val="2"/>
    </font>
    <font>
      <b/>
      <sz val="10"/>
      <name val="Verdana"/>
      <family val="2"/>
    </font>
    <font>
      <b/>
      <u/>
      <sz val="10"/>
      <name val="Verdana"/>
      <family val="2"/>
    </font>
    <font>
      <vertAlign val="superscript"/>
      <sz val="10"/>
      <name val="Verdana"/>
      <family val="2"/>
    </font>
    <font>
      <b/>
      <sz val="10"/>
      <color rgb="FFFF0000"/>
      <name val="Verdana"/>
      <family val="2"/>
    </font>
    <font>
      <sz val="10"/>
      <color rgb="FFFF0000"/>
      <name val="Verdana"/>
      <family val="2"/>
    </font>
    <font>
      <strike/>
      <sz val="10"/>
      <name val="Verdana"/>
      <family val="2"/>
    </font>
    <font>
      <b/>
      <sz val="12"/>
      <name val="Arial"/>
      <family val="2"/>
    </font>
    <font>
      <b/>
      <sz val="12"/>
      <color rgb="FFFF0000"/>
      <name val="Arial"/>
      <family val="2"/>
    </font>
    <font>
      <sz val="12"/>
      <name val="Arial"/>
      <family val="2"/>
    </font>
    <font>
      <sz val="12"/>
      <color rgb="FFFF0000"/>
      <name val="Arial"/>
      <family val="2"/>
    </font>
    <font>
      <b/>
      <u/>
      <sz val="12"/>
      <name val="Arial"/>
      <family val="2"/>
    </font>
    <font>
      <u/>
      <sz val="12"/>
      <name val="Arial"/>
      <family val="2"/>
    </font>
    <font>
      <b/>
      <u/>
      <sz val="12"/>
      <name val="Verdana"/>
      <family val="2"/>
    </font>
    <font>
      <sz val="12"/>
      <name val="Verdana"/>
      <family val="2"/>
    </font>
    <font>
      <sz val="12"/>
      <color rgb="FFFF0000"/>
      <name val="Verdana"/>
      <family val="2"/>
    </font>
    <font>
      <vertAlign val="superscript"/>
      <sz val="12"/>
      <name val="Verdana"/>
      <family val="2"/>
    </font>
    <font>
      <sz val="10"/>
      <name val="Arial"/>
      <family val="2"/>
    </font>
    <font>
      <b/>
      <sz val="12"/>
      <color rgb="FF0070C0"/>
      <name val="Arial"/>
      <family val="2"/>
    </font>
    <font>
      <sz val="12"/>
      <color rgb="FF00B050"/>
      <name val="Arial"/>
      <family val="2"/>
    </font>
    <font>
      <sz val="12"/>
      <color rgb="FF00B050"/>
      <name val="Verdana"/>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s>
  <borders count="66">
    <border>
      <left/>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double">
        <color indexed="64"/>
      </top>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
      <left style="double">
        <color indexed="64"/>
      </left>
      <right style="thin">
        <color indexed="64"/>
      </right>
      <top style="thin">
        <color indexed="64"/>
      </top>
      <bottom style="double">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double">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double">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hair">
        <color indexed="64"/>
      </top>
      <bottom/>
      <diagonal/>
    </border>
    <border>
      <left/>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top/>
      <bottom style="double">
        <color indexed="64"/>
      </bottom>
      <diagonal/>
    </border>
    <border>
      <left style="double">
        <color indexed="64"/>
      </left>
      <right style="double">
        <color indexed="64"/>
      </right>
      <top style="thin">
        <color indexed="64"/>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top style="double">
        <color indexed="64"/>
      </top>
      <bottom/>
      <diagonal/>
    </border>
    <border>
      <left style="double">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double">
        <color indexed="64"/>
      </right>
      <top/>
      <bottom style="medium">
        <color indexed="64"/>
      </bottom>
      <diagonal/>
    </border>
    <border>
      <left style="double">
        <color indexed="64"/>
      </left>
      <right style="double">
        <color indexed="64"/>
      </right>
      <top/>
      <bottom style="medium">
        <color indexed="64"/>
      </bottom>
      <diagonal/>
    </border>
  </borders>
  <cellStyleXfs count="17">
    <xf numFmtId="0" fontId="0" fillId="0" borderId="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165" fontId="2" fillId="0" borderId="0"/>
    <xf numFmtId="0" fontId="2" fillId="0" borderId="0"/>
    <xf numFmtId="0" fontId="1" fillId="0" borderId="0"/>
    <xf numFmtId="9"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165" fontId="1" fillId="0" borderId="0"/>
    <xf numFmtId="0" fontId="1" fillId="0" borderId="0"/>
    <xf numFmtId="9" fontId="1" fillId="0" borderId="0" applyFont="0" applyFill="0" applyBorder="0" applyAlignment="0" applyProtection="0"/>
  </cellStyleXfs>
  <cellXfs count="705">
    <xf numFmtId="0" fontId="0" fillId="0" borderId="0" xfId="0"/>
    <xf numFmtId="0" fontId="5" fillId="0" borderId="0" xfId="0" applyFont="1" applyAlignment="1">
      <alignment horizontal="left" vertical="center"/>
    </xf>
    <xf numFmtId="0" fontId="5" fillId="0" borderId="0" xfId="0" applyFont="1" applyAlignment="1">
      <alignment horizontal="center" vertical="center"/>
    </xf>
    <xf numFmtId="0" fontId="5" fillId="0" borderId="9" xfId="0" applyFont="1" applyBorder="1" applyAlignment="1">
      <alignment horizontal="center" vertical="center"/>
    </xf>
    <xf numFmtId="0" fontId="5" fillId="0" borderId="9" xfId="0" applyFont="1" applyBorder="1" applyAlignment="1">
      <alignment horizontal="center" vertical="top"/>
    </xf>
    <xf numFmtId="0" fontId="5" fillId="0" borderId="11" xfId="0" applyFont="1" applyBorder="1" applyAlignment="1">
      <alignment horizontal="center" vertical="center"/>
    </xf>
    <xf numFmtId="0" fontId="5" fillId="0" borderId="13" xfId="0" applyFont="1" applyBorder="1" applyAlignment="1">
      <alignment vertical="center"/>
    </xf>
    <xf numFmtId="0" fontId="5" fillId="0" borderId="15" xfId="0" applyFont="1" applyBorder="1" applyAlignment="1">
      <alignment horizontal="center" vertical="center"/>
    </xf>
    <xf numFmtId="43" fontId="5" fillId="0" borderId="11" xfId="1" applyFont="1" applyBorder="1" applyAlignment="1">
      <alignment horizontal="center" vertical="center" wrapText="1"/>
    </xf>
    <xf numFmtId="43" fontId="5" fillId="0" borderId="7" xfId="1" applyFont="1" applyBorder="1" applyAlignment="1">
      <alignment horizontal="center" vertical="center" wrapText="1"/>
    </xf>
    <xf numFmtId="43" fontId="5" fillId="0" borderId="12" xfId="1" applyFont="1" applyBorder="1" applyAlignment="1">
      <alignment horizontal="center" vertical="center" wrapText="1"/>
    </xf>
    <xf numFmtId="0" fontId="5" fillId="0" borderId="31" xfId="0" applyFont="1" applyBorder="1" applyAlignment="1">
      <alignment horizontal="center" vertical="top"/>
    </xf>
    <xf numFmtId="0" fontId="1" fillId="0" borderId="1" xfId="0" applyFont="1" applyBorder="1" applyAlignment="1">
      <alignment horizontal="center" vertical="center"/>
    </xf>
    <xf numFmtId="4" fontId="5" fillId="0" borderId="0" xfId="1" applyNumberFormat="1" applyFont="1" applyBorder="1" applyAlignment="1">
      <alignment horizontal="center" vertical="center"/>
    </xf>
    <xf numFmtId="43" fontId="5" fillId="0" borderId="0" xfId="1" applyFont="1" applyBorder="1" applyAlignment="1">
      <alignment horizontal="center" vertical="center"/>
    </xf>
    <xf numFmtId="4" fontId="5" fillId="0" borderId="15" xfId="1" applyNumberFormat="1" applyFont="1" applyBorder="1" applyAlignment="1">
      <alignment horizontal="center" vertical="center"/>
    </xf>
    <xf numFmtId="4" fontId="5" fillId="0" borderId="14" xfId="0" applyNumberFormat="1" applyFont="1" applyBorder="1" applyAlignment="1">
      <alignment horizontal="center" vertical="center"/>
    </xf>
    <xf numFmtId="43" fontId="5" fillId="0" borderId="28" xfId="1" applyFont="1" applyBorder="1" applyAlignment="1">
      <alignment horizontal="center" vertical="center"/>
    </xf>
    <xf numFmtId="43" fontId="5" fillId="0" borderId="15" xfId="1" applyFont="1" applyBorder="1" applyAlignment="1">
      <alignment horizontal="center" vertical="center"/>
    </xf>
    <xf numFmtId="43" fontId="5" fillId="0" borderId="14" xfId="1" applyFont="1" applyBorder="1" applyAlignment="1">
      <alignment horizontal="center" vertical="center"/>
    </xf>
    <xf numFmtId="43" fontId="5" fillId="0" borderId="0" xfId="1" applyFont="1" applyBorder="1" applyAlignment="1">
      <alignment horizontal="center" vertical="center" wrapText="1"/>
    </xf>
    <xf numFmtId="0" fontId="1" fillId="0" borderId="0" xfId="0" applyFont="1" applyAlignment="1">
      <alignment horizontal="center" vertical="center"/>
    </xf>
    <xf numFmtId="0" fontId="1" fillId="0" borderId="7" xfId="0" applyFont="1" applyBorder="1" applyAlignment="1">
      <alignment horizontal="center" vertical="center"/>
    </xf>
    <xf numFmtId="43" fontId="1" fillId="0" borderId="9" xfId="1" applyFont="1" applyBorder="1" applyAlignment="1">
      <alignment horizontal="center" vertical="top"/>
    </xf>
    <xf numFmtId="43" fontId="1" fillId="0" borderId="0" xfId="1" applyFont="1" applyAlignment="1">
      <alignment horizontal="center" vertical="center"/>
    </xf>
    <xf numFmtId="0" fontId="1" fillId="0" borderId="0" xfId="0" applyFont="1"/>
    <xf numFmtId="0" fontId="1" fillId="0" borderId="0" xfId="0" applyFont="1" applyAlignment="1">
      <alignment vertical="center"/>
    </xf>
    <xf numFmtId="0" fontId="1" fillId="0" borderId="0" xfId="0" applyFont="1" applyAlignment="1">
      <alignment vertical="top"/>
    </xf>
    <xf numFmtId="0" fontId="1" fillId="0" borderId="2" xfId="0" applyFont="1" applyBorder="1" applyAlignment="1">
      <alignment horizontal="center" vertical="center"/>
    </xf>
    <xf numFmtId="0" fontId="1" fillId="0" borderId="3" xfId="0" applyFont="1" applyBorder="1" applyAlignment="1">
      <alignment horizontal="center" vertical="center"/>
    </xf>
    <xf numFmtId="4" fontId="1" fillId="0" borderId="1" xfId="1" applyNumberFormat="1" applyFont="1" applyBorder="1" applyAlignment="1">
      <alignment horizontal="center" vertical="center"/>
    </xf>
    <xf numFmtId="43" fontId="1" fillId="0" borderId="10" xfId="1" applyFont="1" applyBorder="1" applyAlignment="1">
      <alignment horizontal="center" vertical="center"/>
    </xf>
    <xf numFmtId="43" fontId="1" fillId="0" borderId="9" xfId="1" applyFont="1" applyBorder="1" applyAlignment="1">
      <alignment horizontal="center" vertical="center"/>
    </xf>
    <xf numFmtId="43" fontId="1" fillId="0" borderId="1" xfId="1" applyFont="1" applyBorder="1" applyAlignment="1">
      <alignment horizontal="center" vertical="center"/>
    </xf>
    <xf numFmtId="0" fontId="1" fillId="2" borderId="2" xfId="6" applyNumberFormat="1" applyFont="1" applyFill="1" applyBorder="1" applyAlignment="1">
      <alignment horizontal="center" vertical="center" wrapText="1"/>
    </xf>
    <xf numFmtId="1" fontId="1" fillId="0" borderId="2" xfId="0" applyNumberFormat="1" applyFont="1" applyBorder="1" applyAlignment="1">
      <alignment horizontal="center" vertical="center"/>
    </xf>
    <xf numFmtId="0" fontId="1" fillId="0" borderId="4" xfId="0" applyFont="1" applyBorder="1" applyAlignment="1">
      <alignment horizontal="center" vertical="center"/>
    </xf>
    <xf numFmtId="4" fontId="1" fillId="0" borderId="7" xfId="1" applyNumberFormat="1" applyFont="1" applyBorder="1" applyAlignment="1">
      <alignment horizontal="center" vertical="center"/>
    </xf>
    <xf numFmtId="43" fontId="1" fillId="0" borderId="12" xfId="1" applyFont="1" applyBorder="1" applyAlignment="1">
      <alignment horizontal="center" vertical="center"/>
    </xf>
    <xf numFmtId="43" fontId="1" fillId="0" borderId="11" xfId="1" applyFont="1" applyBorder="1" applyAlignment="1">
      <alignment horizontal="center" vertical="center"/>
    </xf>
    <xf numFmtId="43" fontId="1" fillId="0" borderId="7" xfId="1" applyFont="1" applyBorder="1" applyAlignment="1">
      <alignment horizontal="center" vertical="center"/>
    </xf>
    <xf numFmtId="0" fontId="1" fillId="0" borderId="2" xfId="0" applyFont="1" applyBorder="1" applyAlignment="1">
      <alignment horizontal="center" vertical="top"/>
    </xf>
    <xf numFmtId="0" fontId="1" fillId="0" borderId="1" xfId="0" applyFont="1" applyBorder="1" applyAlignment="1">
      <alignment horizontal="center" vertical="top"/>
    </xf>
    <xf numFmtId="4" fontId="1" fillId="0" borderId="1" xfId="1" applyNumberFormat="1" applyFont="1" applyBorder="1" applyAlignment="1">
      <alignment horizontal="center" vertical="top"/>
    </xf>
    <xf numFmtId="43" fontId="1" fillId="0" borderId="10" xfId="1" applyFont="1" applyBorder="1" applyAlignment="1">
      <alignment horizontal="center" vertical="top"/>
    </xf>
    <xf numFmtId="43" fontId="1" fillId="0" borderId="1" xfId="1" applyFont="1" applyBorder="1" applyAlignment="1">
      <alignment horizontal="center" vertical="top"/>
    </xf>
    <xf numFmtId="4" fontId="1" fillId="0" borderId="1" xfId="0" applyNumberFormat="1" applyFont="1" applyBorder="1" applyAlignment="1">
      <alignment horizontal="center" vertical="center"/>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4" fontId="1" fillId="0" borderId="0" xfId="1" applyNumberFormat="1" applyFont="1" applyAlignment="1">
      <alignment horizontal="center" vertical="center"/>
    </xf>
    <xf numFmtId="0" fontId="1" fillId="0" borderId="37" xfId="0" applyFont="1" applyBorder="1" applyAlignment="1">
      <alignment horizontal="center" vertical="top"/>
    </xf>
    <xf numFmtId="0" fontId="1" fillId="0" borderId="38" xfId="0" applyFont="1" applyBorder="1" applyAlignment="1">
      <alignment horizontal="center" vertical="center"/>
    </xf>
    <xf numFmtId="4" fontId="1" fillId="0" borderId="38" xfId="1" applyNumberFormat="1" applyFont="1" applyBorder="1" applyAlignment="1">
      <alignment horizontal="center" vertical="center"/>
    </xf>
    <xf numFmtId="43" fontId="1" fillId="0" borderId="39" xfId="1" applyFont="1" applyBorder="1" applyAlignment="1">
      <alignment horizontal="center" vertical="center"/>
    </xf>
    <xf numFmtId="43" fontId="1" fillId="0" borderId="37" xfId="1" applyFont="1" applyBorder="1" applyAlignment="1">
      <alignment horizontal="center" vertical="center"/>
    </xf>
    <xf numFmtId="43" fontId="1" fillId="0" borderId="38" xfId="1" applyFont="1" applyBorder="1" applyAlignment="1">
      <alignment horizontal="center" vertical="center"/>
    </xf>
    <xf numFmtId="0" fontId="5" fillId="0" borderId="37" xfId="0" applyFont="1" applyBorder="1" applyAlignment="1">
      <alignment horizontal="center" vertical="top"/>
    </xf>
    <xf numFmtId="0" fontId="1" fillId="0" borderId="40" xfId="0" applyFont="1" applyBorder="1" applyAlignment="1">
      <alignment horizontal="center" vertical="center"/>
    </xf>
    <xf numFmtId="3" fontId="1" fillId="0" borderId="2" xfId="0" applyNumberFormat="1" applyFont="1" applyBorder="1" applyAlignment="1">
      <alignment horizontal="center" vertical="center"/>
    </xf>
    <xf numFmtId="0" fontId="1" fillId="0" borderId="40" xfId="0" applyFont="1" applyBorder="1" applyAlignment="1">
      <alignment horizontal="center" vertical="top"/>
    </xf>
    <xf numFmtId="0" fontId="1" fillId="0" borderId="38" xfId="0" applyFont="1" applyBorder="1" applyAlignment="1">
      <alignment horizontal="center" vertical="top"/>
    </xf>
    <xf numFmtId="4" fontId="1" fillId="0" borderId="38" xfId="1" applyNumberFormat="1" applyFont="1" applyBorder="1" applyAlignment="1">
      <alignment horizontal="center" vertical="top"/>
    </xf>
    <xf numFmtId="43" fontId="1" fillId="0" borderId="39" xfId="1" applyFont="1" applyBorder="1" applyAlignment="1">
      <alignment horizontal="center" vertical="top"/>
    </xf>
    <xf numFmtId="43" fontId="1" fillId="0" borderId="37" xfId="1" applyFont="1" applyBorder="1" applyAlignment="1">
      <alignment horizontal="center" vertical="top"/>
    </xf>
    <xf numFmtId="43" fontId="1" fillId="0" borderId="38" xfId="1" applyFont="1" applyBorder="1" applyAlignment="1">
      <alignment horizontal="center" vertical="top"/>
    </xf>
    <xf numFmtId="1" fontId="1" fillId="0" borderId="1" xfId="0" applyNumberFormat="1" applyFont="1" applyBorder="1" applyAlignment="1">
      <alignment horizontal="center" vertical="center"/>
    </xf>
    <xf numFmtId="1" fontId="1" fillId="0" borderId="1" xfId="0" applyNumberFormat="1" applyFont="1" applyBorder="1" applyAlignment="1">
      <alignment horizontal="center" vertical="center" wrapText="1"/>
    </xf>
    <xf numFmtId="0" fontId="5" fillId="0" borderId="0" xfId="0" applyFont="1" applyAlignment="1">
      <alignment vertical="top"/>
    </xf>
    <xf numFmtId="43" fontId="5" fillId="0" borderId="10" xfId="1" applyFont="1" applyBorder="1" applyAlignment="1">
      <alignment horizontal="center" vertical="top"/>
    </xf>
    <xf numFmtId="43" fontId="1" fillId="0" borderId="0" xfId="0" applyNumberFormat="1" applyFont="1" applyAlignment="1">
      <alignment vertical="center"/>
    </xf>
    <xf numFmtId="1" fontId="1" fillId="0" borderId="38" xfId="0" applyNumberFormat="1" applyFont="1" applyBorder="1" applyAlignment="1">
      <alignment vertical="top"/>
    </xf>
    <xf numFmtId="0" fontId="1" fillId="0" borderId="41" xfId="0" applyFont="1" applyBorder="1" applyAlignment="1">
      <alignment vertical="top"/>
    </xf>
    <xf numFmtId="0" fontId="1" fillId="0" borderId="32" xfId="0" applyFont="1" applyBorder="1" applyAlignment="1">
      <alignment horizontal="center" vertical="center"/>
    </xf>
    <xf numFmtId="0" fontId="1" fillId="0" borderId="35" xfId="0" applyFont="1" applyBorder="1" applyAlignment="1">
      <alignment horizontal="center" vertical="center"/>
    </xf>
    <xf numFmtId="4" fontId="1" fillId="0" borderId="35" xfId="1" applyNumberFormat="1" applyFont="1" applyBorder="1" applyAlignment="1">
      <alignment horizontal="center" vertical="center"/>
    </xf>
    <xf numFmtId="43" fontId="1" fillId="0" borderId="36" xfId="1" applyFont="1" applyBorder="1" applyAlignment="1">
      <alignment horizontal="center" vertical="center"/>
    </xf>
    <xf numFmtId="43" fontId="1" fillId="0" borderId="31" xfId="1" applyFont="1" applyBorder="1" applyAlignment="1">
      <alignment horizontal="center" vertical="center"/>
    </xf>
    <xf numFmtId="43" fontId="1" fillId="0" borderId="35" xfId="1" applyFont="1" applyBorder="1" applyAlignment="1">
      <alignment horizontal="center" vertical="center"/>
    </xf>
    <xf numFmtId="0" fontId="5" fillId="2" borderId="40" xfId="6" applyNumberFormat="1" applyFont="1" applyFill="1" applyBorder="1" applyAlignment="1">
      <alignment vertical="top" wrapText="1"/>
    </xf>
    <xf numFmtId="0" fontId="5" fillId="2" borderId="41" xfId="6" applyNumberFormat="1" applyFont="1" applyFill="1" applyBorder="1" applyAlignment="1">
      <alignment vertical="top" wrapText="1"/>
    </xf>
    <xf numFmtId="0" fontId="5" fillId="2" borderId="42" xfId="6" applyNumberFormat="1" applyFont="1" applyFill="1" applyBorder="1" applyAlignment="1">
      <alignment vertical="top" wrapText="1"/>
    </xf>
    <xf numFmtId="0" fontId="5" fillId="0" borderId="40" xfId="0" applyFont="1" applyBorder="1" applyAlignment="1">
      <alignment vertical="center"/>
    </xf>
    <xf numFmtId="0" fontId="5" fillId="0" borderId="38" xfId="0" applyFont="1" applyBorder="1" applyAlignment="1">
      <alignment vertical="center"/>
    </xf>
    <xf numFmtId="4" fontId="5" fillId="0" borderId="38" xfId="1" applyNumberFormat="1" applyFont="1" applyBorder="1" applyAlignment="1">
      <alignment horizontal="center" vertical="center"/>
    </xf>
    <xf numFmtId="43" fontId="5" fillId="0" borderId="39" xfId="1" applyFont="1" applyBorder="1" applyAlignment="1">
      <alignment horizontal="center" vertical="center"/>
    </xf>
    <xf numFmtId="43" fontId="5" fillId="0" borderId="37" xfId="1" applyFont="1" applyBorder="1" applyAlignment="1">
      <alignment horizontal="center" vertical="center"/>
    </xf>
    <xf numFmtId="43" fontId="5" fillId="0" borderId="38" xfId="1" applyFont="1" applyBorder="1" applyAlignment="1">
      <alignment horizontal="center" vertical="center"/>
    </xf>
    <xf numFmtId="0" fontId="5" fillId="0" borderId="31" xfId="0" applyFont="1" applyBorder="1" applyAlignment="1">
      <alignment horizontal="center" vertical="center"/>
    </xf>
    <xf numFmtId="0" fontId="1" fillId="2" borderId="40" xfId="6" applyNumberFormat="1" applyFont="1" applyFill="1" applyBorder="1" applyAlignment="1">
      <alignment horizontal="left" vertical="top" wrapText="1"/>
    </xf>
    <xf numFmtId="0" fontId="1" fillId="2" borderId="41" xfId="6" applyNumberFormat="1" applyFont="1" applyFill="1" applyBorder="1" applyAlignment="1">
      <alignment horizontal="left" vertical="top" wrapText="1"/>
    </xf>
    <xf numFmtId="0" fontId="1" fillId="2" borderId="42" xfId="6" applyNumberFormat="1" applyFont="1" applyFill="1" applyBorder="1" applyAlignment="1">
      <alignment horizontal="left" vertical="top" wrapText="1"/>
    </xf>
    <xf numFmtId="39" fontId="1" fillId="0" borderId="39" xfId="1" applyNumberFormat="1" applyFont="1" applyBorder="1" applyAlignment="1">
      <alignment horizontal="right" vertical="center"/>
    </xf>
    <xf numFmtId="0" fontId="8" fillId="0" borderId="0" xfId="0" applyFont="1"/>
    <xf numFmtId="0" fontId="9" fillId="0" borderId="0" xfId="0" applyFont="1" applyAlignment="1">
      <alignment horizontal="center"/>
    </xf>
    <xf numFmtId="0" fontId="8" fillId="0" borderId="0" xfId="0" applyFont="1" applyAlignment="1">
      <alignment horizontal="center"/>
    </xf>
    <xf numFmtId="166" fontId="10" fillId="0" borderId="0" xfId="0" applyNumberFormat="1" applyFont="1"/>
    <xf numFmtId="0" fontId="9" fillId="0" borderId="0" xfId="0" applyFont="1"/>
    <xf numFmtId="0" fontId="11" fillId="0" borderId="0" xfId="0" applyFont="1"/>
    <xf numFmtId="0" fontId="11" fillId="0" borderId="0" xfId="0" applyFont="1" applyAlignment="1">
      <alignment horizontal="center" vertical="center"/>
    </xf>
    <xf numFmtId="0" fontId="12" fillId="0" borderId="0" xfId="0" applyFont="1" applyAlignment="1">
      <alignment horizontal="center"/>
    </xf>
    <xf numFmtId="0" fontId="11" fillId="0" borderId="46" xfId="0" applyFont="1" applyBorder="1" applyAlignment="1">
      <alignment horizontal="center" vertical="center"/>
    </xf>
    <xf numFmtId="0" fontId="11" fillId="0" borderId="45" xfId="0" applyFont="1" applyBorder="1" applyAlignment="1">
      <alignment horizontal="center" vertical="center"/>
    </xf>
    <xf numFmtId="0" fontId="8" fillId="0" borderId="0" xfId="0" applyFont="1" applyAlignment="1">
      <alignment horizontal="left" vertical="center"/>
    </xf>
    <xf numFmtId="0" fontId="9" fillId="0" borderId="0" xfId="0" applyFont="1" applyAlignment="1">
      <alignment horizontal="left" vertical="center"/>
    </xf>
    <xf numFmtId="0" fontId="9" fillId="0" borderId="49" xfId="0" applyFont="1" applyBorder="1" applyAlignment="1">
      <alignment horizontal="left" vertical="center" wrapText="1"/>
    </xf>
    <xf numFmtId="0" fontId="12" fillId="0" borderId="0" xfId="0" applyFont="1" applyAlignment="1">
      <alignment horizontal="left" vertical="center"/>
    </xf>
    <xf numFmtId="2" fontId="9" fillId="0" borderId="7" xfId="0" applyNumberFormat="1" applyFont="1" applyBorder="1" applyAlignment="1">
      <alignment horizontal="left" vertical="center" wrapText="1"/>
    </xf>
    <xf numFmtId="0" fontId="8" fillId="0" borderId="0" xfId="0" applyFont="1" applyAlignment="1">
      <alignment vertical="center"/>
    </xf>
    <xf numFmtId="0" fontId="8" fillId="0" borderId="44" xfId="0" applyFont="1" applyBorder="1" applyAlignment="1">
      <alignment vertical="center"/>
    </xf>
    <xf numFmtId="0" fontId="13" fillId="0" borderId="50" xfId="0" applyFont="1" applyBorder="1" applyAlignment="1">
      <alignment vertical="center"/>
    </xf>
    <xf numFmtId="0" fontId="13" fillId="0" borderId="50" xfId="0" applyFont="1" applyBorder="1" applyAlignment="1">
      <alignment horizontal="right" vertical="center"/>
    </xf>
    <xf numFmtId="4" fontId="13" fillId="0" borderId="45" xfId="0" applyNumberFormat="1" applyFont="1" applyBorder="1" applyAlignment="1">
      <alignment vertical="center"/>
    </xf>
    <xf numFmtId="0" fontId="9" fillId="0" borderId="0" xfId="0" applyFont="1" applyAlignment="1">
      <alignment vertical="center"/>
    </xf>
    <xf numFmtId="0" fontId="9" fillId="0" borderId="53" xfId="0" applyFont="1" applyBorder="1" applyAlignment="1">
      <alignment horizontal="left" vertical="center" wrapText="1"/>
    </xf>
    <xf numFmtId="4" fontId="9" fillId="0" borderId="52" xfId="0" applyNumberFormat="1" applyFont="1" applyBorder="1" applyAlignment="1">
      <alignment vertical="center"/>
    </xf>
    <xf numFmtId="0" fontId="12" fillId="0" borderId="0" xfId="0" applyFont="1" applyAlignment="1">
      <alignment horizontal="center" vertical="center"/>
    </xf>
    <xf numFmtId="0" fontId="13" fillId="0" borderId="0" xfId="0" applyFont="1" applyAlignment="1">
      <alignment horizontal="center"/>
    </xf>
    <xf numFmtId="0" fontId="13" fillId="0" borderId="0" xfId="0" applyFont="1" applyAlignment="1">
      <alignment vertical="center"/>
    </xf>
    <xf numFmtId="0" fontId="13" fillId="0" borderId="0" xfId="0" applyFont="1" applyAlignment="1">
      <alignment horizontal="right" vertical="center"/>
    </xf>
    <xf numFmtId="4" fontId="13" fillId="0" borderId="0" xfId="0" applyNumberFormat="1" applyFont="1" applyAlignment="1">
      <alignment vertical="center"/>
    </xf>
    <xf numFmtId="43" fontId="8" fillId="0" borderId="0" xfId="4" applyFont="1" applyAlignment="1">
      <alignment vertical="center"/>
    </xf>
    <xf numFmtId="0" fontId="13" fillId="0" borderId="0" xfId="0" applyFont="1" applyAlignment="1">
      <alignment horizontal="center" vertical="center"/>
    </xf>
    <xf numFmtId="0" fontId="8" fillId="0" borderId="0" xfId="8" applyFont="1"/>
    <xf numFmtId="0" fontId="8" fillId="0" borderId="0" xfId="8" applyFont="1" applyAlignment="1">
      <alignment vertical="center"/>
    </xf>
    <xf numFmtId="0" fontId="8" fillId="0" borderId="0" xfId="8" applyFont="1" applyAlignment="1">
      <alignment horizontal="left" vertical="center" wrapText="1"/>
    </xf>
    <xf numFmtId="0" fontId="8" fillId="0" borderId="5" xfId="8" applyFont="1" applyBorder="1"/>
    <xf numFmtId="0" fontId="13" fillId="0" borderId="0" xfId="8" applyFont="1"/>
    <xf numFmtId="0" fontId="8" fillId="0" borderId="0" xfId="8" quotePrefix="1" applyFont="1"/>
    <xf numFmtId="0" fontId="8" fillId="0" borderId="0" xfId="8" applyFont="1" applyAlignment="1">
      <alignment horizontal="left"/>
    </xf>
    <xf numFmtId="0" fontId="8" fillId="0" borderId="0" xfId="8" applyFont="1" applyAlignment="1">
      <alignment vertical="top"/>
    </xf>
    <xf numFmtId="4" fontId="8" fillId="0" borderId="0" xfId="8" applyNumberFormat="1" applyFont="1"/>
    <xf numFmtId="43" fontId="8" fillId="0" borderId="0" xfId="1" applyFont="1"/>
    <xf numFmtId="43" fontId="13" fillId="0" borderId="0" xfId="1" applyFont="1" applyBorder="1" applyAlignment="1">
      <alignment horizontal="left"/>
    </xf>
    <xf numFmtId="43" fontId="16" fillId="0" borderId="0" xfId="1" applyFont="1" applyFill="1" applyBorder="1" applyAlignment="1">
      <alignment horizontal="left"/>
    </xf>
    <xf numFmtId="43" fontId="8" fillId="0" borderId="0" xfId="1" applyFont="1" applyAlignment="1"/>
    <xf numFmtId="0" fontId="13" fillId="0" borderId="0" xfId="0" applyFont="1" applyAlignment="1">
      <alignment horizontal="left" vertical="center"/>
    </xf>
    <xf numFmtId="4" fontId="13" fillId="0" borderId="0" xfId="1" applyNumberFormat="1" applyFont="1" applyBorder="1" applyAlignment="1">
      <alignment horizontal="left" vertical="center"/>
    </xf>
    <xf numFmtId="43" fontId="13" fillId="0" borderId="0" xfId="1" applyFont="1" applyBorder="1" applyAlignment="1">
      <alignment horizontal="left" vertical="center"/>
    </xf>
    <xf numFmtId="43" fontId="16" fillId="0" borderId="0" xfId="1" applyFont="1" applyFill="1" applyBorder="1" applyAlignment="1">
      <alignment horizontal="left" vertical="center"/>
    </xf>
    <xf numFmtId="43" fontId="16" fillId="0" borderId="0" xfId="1" applyFont="1" applyBorder="1" applyAlignment="1">
      <alignment horizontal="left" vertical="center"/>
    </xf>
    <xf numFmtId="43" fontId="13" fillId="0" borderId="0" xfId="1" applyFont="1" applyBorder="1" applyAlignment="1">
      <alignment horizontal="left" vertical="top" wrapText="1"/>
    </xf>
    <xf numFmtId="43" fontId="16" fillId="0" borderId="0" xfId="1" applyFont="1" applyFill="1" applyBorder="1" applyAlignment="1">
      <alignment horizontal="left" vertical="top" wrapText="1"/>
    </xf>
    <xf numFmtId="43" fontId="8" fillId="0" borderId="0" xfId="1" applyFont="1" applyAlignment="1">
      <alignment vertical="top"/>
    </xf>
    <xf numFmtId="0" fontId="8" fillId="0" borderId="0" xfId="0" applyFont="1" applyAlignment="1">
      <alignment vertical="top"/>
    </xf>
    <xf numFmtId="0" fontId="13" fillId="0" borderId="9" xfId="0" applyFont="1" applyBorder="1" applyAlignment="1">
      <alignment horizontal="center" vertical="center"/>
    </xf>
    <xf numFmtId="0" fontId="8" fillId="0" borderId="2" xfId="0" applyFont="1" applyBorder="1" applyAlignment="1">
      <alignment horizontal="center" vertical="center"/>
    </xf>
    <xf numFmtId="4" fontId="8" fillId="0" borderId="1" xfId="1" applyNumberFormat="1" applyFont="1" applyBorder="1" applyAlignment="1">
      <alignment horizontal="center" vertical="center"/>
    </xf>
    <xf numFmtId="43" fontId="8" fillId="0" borderId="10" xfId="1" applyFont="1" applyBorder="1" applyAlignment="1">
      <alignment horizontal="right" vertical="center"/>
    </xf>
    <xf numFmtId="43" fontId="8" fillId="0" borderId="9" xfId="1" applyFont="1" applyBorder="1" applyAlignment="1">
      <alignment horizontal="center" vertical="center"/>
    </xf>
    <xf numFmtId="43" fontId="17" fillId="0" borderId="1" xfId="1" applyFont="1" applyFill="1" applyBorder="1" applyAlignment="1">
      <alignment horizontal="center" vertical="center"/>
    </xf>
    <xf numFmtId="43" fontId="8" fillId="0" borderId="1" xfId="1" applyFont="1" applyBorder="1" applyAlignment="1">
      <alignment horizontal="center" vertical="center"/>
    </xf>
    <xf numFmtId="43" fontId="17" fillId="0" borderId="1" xfId="1" applyFont="1" applyBorder="1" applyAlignment="1">
      <alignment horizontal="center" vertical="center"/>
    </xf>
    <xf numFmtId="43" fontId="8" fillId="0" borderId="10" xfId="1" applyFont="1" applyBorder="1" applyAlignment="1">
      <alignment horizontal="center" vertical="center"/>
    </xf>
    <xf numFmtId="0" fontId="8" fillId="0" borderId="1" xfId="0" applyFont="1" applyBorder="1" applyAlignment="1">
      <alignment horizontal="center" vertical="center"/>
    </xf>
    <xf numFmtId="0" fontId="8" fillId="2" borderId="2" xfId="6" applyNumberFormat="1" applyFont="1" applyFill="1" applyBorder="1" applyAlignment="1">
      <alignment horizontal="center" vertical="center" wrapText="1"/>
    </xf>
    <xf numFmtId="0" fontId="13" fillId="0" borderId="9" xfId="0" applyFont="1" applyBorder="1" applyAlignment="1">
      <alignment horizontal="center" vertical="top"/>
    </xf>
    <xf numFmtId="1" fontId="8" fillId="0" borderId="2" xfId="0" applyNumberFormat="1" applyFont="1" applyBorder="1" applyAlignment="1">
      <alignment horizontal="center" vertical="top"/>
    </xf>
    <xf numFmtId="0" fontId="8" fillId="0" borderId="1" xfId="0" applyFont="1" applyBorder="1" applyAlignment="1">
      <alignment horizontal="center" vertical="top"/>
    </xf>
    <xf numFmtId="4" fontId="8" fillId="0" borderId="1" xfId="1" applyNumberFormat="1" applyFont="1" applyBorder="1" applyAlignment="1">
      <alignment horizontal="center" vertical="top"/>
    </xf>
    <xf numFmtId="43" fontId="8" fillId="0" borderId="10" xfId="1" applyFont="1" applyBorder="1" applyAlignment="1">
      <alignment horizontal="right" vertical="top"/>
    </xf>
    <xf numFmtId="43" fontId="8" fillId="0" borderId="9" xfId="1" applyFont="1" applyBorder="1" applyAlignment="1">
      <alignment horizontal="center" vertical="top"/>
    </xf>
    <xf numFmtId="43" fontId="17" fillId="0" borderId="1" xfId="1" applyFont="1" applyFill="1" applyBorder="1" applyAlignment="1">
      <alignment horizontal="center" vertical="top"/>
    </xf>
    <xf numFmtId="43" fontId="8" fillId="0" borderId="1" xfId="1" applyFont="1" applyBorder="1" applyAlignment="1">
      <alignment horizontal="center" vertical="top"/>
    </xf>
    <xf numFmtId="43" fontId="17" fillId="0" borderId="1" xfId="1" applyFont="1" applyBorder="1" applyAlignment="1">
      <alignment horizontal="center" vertical="top"/>
    </xf>
    <xf numFmtId="43" fontId="8" fillId="0" borderId="10" xfId="1" applyFont="1" applyBorder="1" applyAlignment="1">
      <alignment horizontal="center" vertical="top"/>
    </xf>
    <xf numFmtId="0" fontId="8" fillId="0" borderId="2" xfId="0" applyFont="1" applyBorder="1" applyAlignment="1">
      <alignment horizontal="center" vertical="top"/>
    </xf>
    <xf numFmtId="2" fontId="8" fillId="0" borderId="2" xfId="0" applyNumberFormat="1" applyFont="1" applyBorder="1" applyAlignment="1">
      <alignment horizontal="center" vertical="top"/>
    </xf>
    <xf numFmtId="0" fontId="13" fillId="0" borderId="31" xfId="0" applyFont="1" applyBorder="1" applyAlignment="1">
      <alignment horizontal="center" vertical="center"/>
    </xf>
    <xf numFmtId="0" fontId="8" fillId="0" borderId="32" xfId="0" applyFont="1" applyBorder="1" applyAlignment="1">
      <alignment horizontal="center" vertical="center"/>
    </xf>
    <xf numFmtId="0" fontId="8" fillId="0" borderId="35" xfId="0" applyFont="1" applyBorder="1" applyAlignment="1">
      <alignment horizontal="center" vertical="center"/>
    </xf>
    <xf numFmtId="4" fontId="8" fillId="0" borderId="35" xfId="1" applyNumberFormat="1" applyFont="1" applyBorder="1" applyAlignment="1">
      <alignment horizontal="center" vertical="center"/>
    </xf>
    <xf numFmtId="43" fontId="8" fillId="0" borderId="36" xfId="1" applyFont="1" applyBorder="1" applyAlignment="1">
      <alignment horizontal="right" vertical="center"/>
    </xf>
    <xf numFmtId="43" fontId="8" fillId="0" borderId="31" xfId="1" applyFont="1" applyBorder="1" applyAlignment="1">
      <alignment horizontal="center" vertical="center"/>
    </xf>
    <xf numFmtId="43" fontId="17" fillId="0" borderId="35" xfId="1" applyFont="1" applyFill="1" applyBorder="1" applyAlignment="1">
      <alignment horizontal="center" vertical="center"/>
    </xf>
    <xf numFmtId="43" fontId="8" fillId="0" borderId="35" xfId="1" applyFont="1" applyBorder="1" applyAlignment="1">
      <alignment horizontal="center" vertical="center"/>
    </xf>
    <xf numFmtId="43" fontId="17" fillId="0" borderId="35" xfId="1" applyFont="1" applyBorder="1" applyAlignment="1">
      <alignment horizontal="center" vertical="center"/>
    </xf>
    <xf numFmtId="43" fontId="8" fillId="0" borderId="36" xfId="1" applyFont="1" applyBorder="1" applyAlignment="1">
      <alignment horizontal="center" vertical="center"/>
    </xf>
    <xf numFmtId="0" fontId="8" fillId="0" borderId="1" xfId="0" applyFont="1" applyBorder="1" applyAlignment="1">
      <alignment horizontal="left" vertical="center"/>
    </xf>
    <xf numFmtId="0" fontId="8" fillId="0" borderId="0" xfId="0" applyFont="1" applyAlignment="1">
      <alignment horizontal="center" vertical="top"/>
    </xf>
    <xf numFmtId="0" fontId="13" fillId="0" borderId="31" xfId="0" applyFont="1" applyBorder="1" applyAlignment="1">
      <alignment horizontal="center" vertical="top"/>
    </xf>
    <xf numFmtId="0" fontId="8" fillId="0" borderId="35" xfId="0" applyFont="1" applyBorder="1" applyAlignment="1">
      <alignment horizontal="center" vertical="top"/>
    </xf>
    <xf numFmtId="0" fontId="8" fillId="0" borderId="33" xfId="0" applyFont="1" applyBorder="1" applyAlignment="1">
      <alignment horizontal="center" vertical="top"/>
    </xf>
    <xf numFmtId="4" fontId="8" fillId="0" borderId="35" xfId="1" applyNumberFormat="1" applyFont="1" applyBorder="1" applyAlignment="1">
      <alignment horizontal="center" vertical="top"/>
    </xf>
    <xf numFmtId="43" fontId="8" fillId="0" borderId="36" xfId="1" applyFont="1" applyBorder="1" applyAlignment="1">
      <alignment horizontal="right" vertical="top"/>
    </xf>
    <xf numFmtId="43" fontId="8" fillId="0" borderId="31" xfId="1" applyFont="1" applyBorder="1" applyAlignment="1">
      <alignment horizontal="center" vertical="top"/>
    </xf>
    <xf numFmtId="43" fontId="17" fillId="0" borderId="35" xfId="1" applyFont="1" applyFill="1" applyBorder="1" applyAlignment="1">
      <alignment horizontal="center" vertical="top"/>
    </xf>
    <xf numFmtId="43" fontId="8" fillId="0" borderId="35" xfId="1" applyFont="1" applyBorder="1" applyAlignment="1">
      <alignment horizontal="center" vertical="top"/>
    </xf>
    <xf numFmtId="43" fontId="17" fillId="0" borderId="35" xfId="1" applyFont="1" applyBorder="1" applyAlignment="1">
      <alignment horizontal="center" vertical="top"/>
    </xf>
    <xf numFmtId="1" fontId="8" fillId="0" borderId="1" xfId="0" applyNumberFormat="1" applyFont="1" applyBorder="1" applyAlignment="1">
      <alignment horizontal="center" vertical="top"/>
    </xf>
    <xf numFmtId="0" fontId="13" fillId="0" borderId="37" xfId="0" applyFont="1" applyBorder="1" applyAlignment="1">
      <alignment horizontal="center" vertical="top"/>
    </xf>
    <xf numFmtId="0" fontId="8" fillId="0" borderId="38" xfId="0" applyFont="1" applyBorder="1" applyAlignment="1">
      <alignment horizontal="center" vertical="top"/>
    </xf>
    <xf numFmtId="4" fontId="8" fillId="0" borderId="38" xfId="1" applyNumberFormat="1" applyFont="1" applyBorder="1" applyAlignment="1">
      <alignment horizontal="center" vertical="top"/>
    </xf>
    <xf numFmtId="43" fontId="8" fillId="0" borderId="39" xfId="1" applyFont="1" applyBorder="1" applyAlignment="1">
      <alignment horizontal="right" vertical="top"/>
    </xf>
    <xf numFmtId="43" fontId="8" fillId="0" borderId="37" xfId="1" applyFont="1" applyBorder="1" applyAlignment="1">
      <alignment horizontal="center" vertical="top"/>
    </xf>
    <xf numFmtId="43" fontId="17" fillId="0" borderId="38" xfId="1" applyFont="1" applyFill="1" applyBorder="1" applyAlignment="1">
      <alignment horizontal="center" vertical="top"/>
    </xf>
    <xf numFmtId="43" fontId="8" fillId="0" borderId="38" xfId="1" applyFont="1" applyBorder="1" applyAlignment="1">
      <alignment horizontal="center" vertical="top"/>
    </xf>
    <xf numFmtId="43" fontId="17" fillId="0" borderId="38" xfId="1" applyFont="1" applyBorder="1" applyAlignment="1">
      <alignment horizontal="center" vertical="top"/>
    </xf>
    <xf numFmtId="0" fontId="8" fillId="0" borderId="9" xfId="0" applyFont="1" applyBorder="1" applyAlignment="1">
      <alignment horizontal="center" vertical="top"/>
    </xf>
    <xf numFmtId="0" fontId="8" fillId="2" borderId="2" xfId="6" applyNumberFormat="1" applyFont="1" applyFill="1" applyBorder="1" applyAlignment="1">
      <alignment horizontal="left" vertical="top" wrapText="1"/>
    </xf>
    <xf numFmtId="0" fontId="8" fillId="2" borderId="0" xfId="6" applyNumberFormat="1" applyFont="1" applyFill="1" applyAlignment="1">
      <alignment horizontal="left" vertical="top" wrapText="1"/>
    </xf>
    <xf numFmtId="0" fontId="8" fillId="2" borderId="20" xfId="6" applyNumberFormat="1" applyFont="1" applyFill="1" applyBorder="1" applyAlignment="1">
      <alignment horizontal="left" vertical="top" wrapText="1"/>
    </xf>
    <xf numFmtId="0" fontId="13" fillId="0" borderId="11" xfId="0" applyFont="1" applyBorder="1" applyAlignment="1">
      <alignment horizontal="center" vertical="center"/>
    </xf>
    <xf numFmtId="0" fontId="8" fillId="0" borderId="4" xfId="0" applyFont="1" applyBorder="1" applyAlignment="1">
      <alignment wrapText="1"/>
    </xf>
    <xf numFmtId="0" fontId="8" fillId="0" borderId="5" xfId="0" applyFont="1" applyBorder="1" applyAlignment="1">
      <alignment wrapText="1"/>
    </xf>
    <xf numFmtId="0" fontId="8" fillId="0" borderId="6" xfId="0" applyFont="1" applyBorder="1" applyAlignment="1">
      <alignment wrapText="1"/>
    </xf>
    <xf numFmtId="0" fontId="8" fillId="0" borderId="4" xfId="0" applyFont="1" applyBorder="1" applyAlignment="1">
      <alignment horizontal="center" vertical="center"/>
    </xf>
    <xf numFmtId="0" fontId="8" fillId="0" borderId="7" xfId="0" applyFont="1" applyBorder="1" applyAlignment="1">
      <alignment horizontal="center" vertical="center"/>
    </xf>
    <xf numFmtId="4" fontId="8" fillId="0" borderId="7" xfId="1" applyNumberFormat="1" applyFont="1" applyBorder="1" applyAlignment="1">
      <alignment horizontal="center" vertical="center"/>
    </xf>
    <xf numFmtId="43" fontId="8" fillId="0" borderId="12" xfId="1" applyFont="1" applyBorder="1" applyAlignment="1">
      <alignment horizontal="right" vertical="center"/>
    </xf>
    <xf numFmtId="43" fontId="8" fillId="0" borderId="11" xfId="1" applyFont="1" applyBorder="1" applyAlignment="1">
      <alignment horizontal="center" vertical="center"/>
    </xf>
    <xf numFmtId="43" fontId="17" fillId="0" borderId="7" xfId="1" applyFont="1" applyFill="1" applyBorder="1" applyAlignment="1">
      <alignment horizontal="center" vertical="center"/>
    </xf>
    <xf numFmtId="43" fontId="8" fillId="0" borderId="7" xfId="1" applyFont="1" applyBorder="1" applyAlignment="1">
      <alignment horizontal="center" vertical="center"/>
    </xf>
    <xf numFmtId="43" fontId="17" fillId="0" borderId="7" xfId="1" applyFont="1" applyBorder="1" applyAlignment="1">
      <alignment horizontal="center" vertical="center"/>
    </xf>
    <xf numFmtId="43" fontId="8" fillId="0" borderId="12" xfId="1" applyFont="1" applyBorder="1" applyAlignment="1">
      <alignment horizontal="center" vertical="center"/>
    </xf>
    <xf numFmtId="0" fontId="13" fillId="0" borderId="13" xfId="0" applyFont="1" applyBorder="1" applyAlignment="1">
      <alignment vertical="center"/>
    </xf>
    <xf numFmtId="0" fontId="13" fillId="0" borderId="15" xfId="0" applyFont="1" applyBorder="1" applyAlignment="1">
      <alignment horizontal="center" vertical="center"/>
    </xf>
    <xf numFmtId="4" fontId="13" fillId="0" borderId="15" xfId="1" applyNumberFormat="1" applyFont="1" applyBorder="1" applyAlignment="1">
      <alignment vertical="center"/>
    </xf>
    <xf numFmtId="4" fontId="13" fillId="0" borderId="14" xfId="0" applyNumberFormat="1" applyFont="1" applyBorder="1" applyAlignment="1">
      <alignment vertical="center"/>
    </xf>
    <xf numFmtId="43" fontId="13" fillId="0" borderId="28" xfId="1" applyFont="1" applyBorder="1" applyAlignment="1">
      <alignment vertical="center"/>
    </xf>
    <xf numFmtId="43" fontId="16" fillId="0" borderId="15" xfId="1" applyFont="1" applyFill="1" applyBorder="1" applyAlignment="1">
      <alignment vertical="center"/>
    </xf>
    <xf numFmtId="43" fontId="13" fillId="0" borderId="15" xfId="1" applyFont="1" applyBorder="1" applyAlignment="1">
      <alignment vertical="center"/>
    </xf>
    <xf numFmtId="43" fontId="16" fillId="0" borderId="15" xfId="1" applyFont="1" applyBorder="1" applyAlignment="1">
      <alignment vertical="center"/>
    </xf>
    <xf numFmtId="43" fontId="13" fillId="0" borderId="14" xfId="1" applyFont="1" applyBorder="1" applyAlignment="1">
      <alignment vertical="center"/>
    </xf>
    <xf numFmtId="4" fontId="13" fillId="0" borderId="0" xfId="1" applyNumberFormat="1" applyFont="1" applyBorder="1" applyAlignment="1">
      <alignment vertical="center"/>
    </xf>
    <xf numFmtId="43" fontId="13" fillId="0" borderId="0" xfId="1" applyFont="1" applyBorder="1" applyAlignment="1">
      <alignment vertical="center"/>
    </xf>
    <xf numFmtId="43" fontId="16" fillId="0" borderId="0" xfId="1" applyFont="1" applyFill="1" applyBorder="1" applyAlignment="1">
      <alignment vertical="center"/>
    </xf>
    <xf numFmtId="43" fontId="16" fillId="0" borderId="0" xfId="1" applyFont="1" applyBorder="1" applyAlignment="1">
      <alignment vertical="center"/>
    </xf>
    <xf numFmtId="4" fontId="8" fillId="0" borderId="0" xfId="1" applyNumberFormat="1" applyFont="1"/>
    <xf numFmtId="43" fontId="17" fillId="0" borderId="0" xfId="1" applyFont="1" applyFill="1"/>
    <xf numFmtId="43" fontId="17" fillId="0" borderId="0" xfId="1" applyFont="1"/>
    <xf numFmtId="0" fontId="19" fillId="0" borderId="0" xfId="0" applyFont="1" applyAlignment="1">
      <alignment horizontal="left"/>
    </xf>
    <xf numFmtId="43" fontId="19" fillId="0" borderId="0" xfId="1" applyFont="1" applyBorder="1" applyAlignment="1">
      <alignment horizontal="center" vertical="center"/>
    </xf>
    <xf numFmtId="43" fontId="20" fillId="0" borderId="0" xfId="1" applyFont="1" applyBorder="1" applyAlignment="1">
      <alignment horizontal="center" vertical="center"/>
    </xf>
    <xf numFmtId="43" fontId="21" fillId="0" borderId="0" xfId="1" applyFont="1" applyAlignment="1">
      <alignment horizontal="center" vertical="center"/>
    </xf>
    <xf numFmtId="0" fontId="21" fillId="0" borderId="0" xfId="0" applyFont="1"/>
    <xf numFmtId="0" fontId="19" fillId="0" borderId="0" xfId="0" applyFont="1" applyAlignment="1">
      <alignment horizontal="left" vertical="center"/>
    </xf>
    <xf numFmtId="0" fontId="19" fillId="0" borderId="0" xfId="0" applyFont="1" applyAlignment="1">
      <alignment horizontal="center" vertical="center"/>
    </xf>
    <xf numFmtId="4" fontId="19" fillId="0" borderId="0" xfId="1" applyNumberFormat="1" applyFont="1" applyBorder="1" applyAlignment="1">
      <alignment horizontal="center" vertical="center"/>
    </xf>
    <xf numFmtId="0" fontId="21" fillId="0" borderId="0" xfId="0" applyFont="1" applyAlignment="1">
      <alignment vertical="center"/>
    </xf>
    <xf numFmtId="0" fontId="19" fillId="0" borderId="0" xfId="0" applyFont="1" applyAlignment="1">
      <alignment horizontal="left" vertical="top" wrapText="1"/>
    </xf>
    <xf numFmtId="43" fontId="19" fillId="0" borderId="0" xfId="1" applyFont="1" applyBorder="1" applyAlignment="1">
      <alignment horizontal="center" vertical="center" wrapText="1"/>
    </xf>
    <xf numFmtId="43" fontId="20" fillId="0" borderId="0" xfId="1" applyFont="1" applyBorder="1" applyAlignment="1">
      <alignment horizontal="center" vertical="center" wrapText="1"/>
    </xf>
    <xf numFmtId="0" fontId="21" fillId="0" borderId="0" xfId="0" applyFont="1" applyAlignment="1">
      <alignment vertical="top"/>
    </xf>
    <xf numFmtId="0" fontId="19" fillId="0" borderId="16" xfId="0" applyFont="1" applyBorder="1" applyAlignment="1">
      <alignment horizontal="center" vertical="center" wrapText="1"/>
    </xf>
    <xf numFmtId="0" fontId="19" fillId="0" borderId="9" xfId="0" applyFont="1" applyBorder="1" applyAlignment="1">
      <alignment horizontal="center" vertical="center"/>
    </xf>
    <xf numFmtId="0" fontId="21" fillId="0" borderId="2" xfId="0" applyFont="1" applyBorder="1" applyAlignment="1">
      <alignment horizontal="center" vertical="center"/>
    </xf>
    <xf numFmtId="4" fontId="21" fillId="0" borderId="1" xfId="1" applyNumberFormat="1" applyFont="1" applyBorder="1" applyAlignment="1">
      <alignment horizontal="center" vertical="center"/>
    </xf>
    <xf numFmtId="43" fontId="21" fillId="0" borderId="10" xfId="1" applyFont="1" applyBorder="1" applyAlignment="1">
      <alignment horizontal="center" vertical="center"/>
    </xf>
    <xf numFmtId="43" fontId="21" fillId="0" borderId="0" xfId="1" applyFont="1" applyBorder="1" applyAlignment="1">
      <alignment horizontal="center" vertical="center"/>
    </xf>
    <xf numFmtId="43" fontId="21" fillId="0" borderId="9" xfId="1" applyFont="1" applyBorder="1" applyAlignment="1">
      <alignment horizontal="center" vertical="center"/>
    </xf>
    <xf numFmtId="43" fontId="22" fillId="0" borderId="1" xfId="1" applyFont="1" applyBorder="1" applyAlignment="1">
      <alignment horizontal="center" vertical="center"/>
    </xf>
    <xf numFmtId="43" fontId="21" fillId="0" borderId="1" xfId="1" applyFont="1" applyBorder="1" applyAlignment="1">
      <alignment horizontal="center" vertical="center"/>
    </xf>
    <xf numFmtId="0" fontId="19" fillId="0" borderId="9" xfId="0" applyFont="1" applyBorder="1" applyAlignment="1">
      <alignment horizontal="center" vertical="top"/>
    </xf>
    <xf numFmtId="0" fontId="21" fillId="0" borderId="1" xfId="0" applyFont="1" applyBorder="1" applyAlignment="1">
      <alignment horizontal="center" vertical="center"/>
    </xf>
    <xf numFmtId="43" fontId="19" fillId="0" borderId="10" xfId="1" applyFont="1" applyBorder="1" applyAlignment="1">
      <alignment horizontal="center" vertical="center"/>
    </xf>
    <xf numFmtId="43" fontId="19" fillId="3" borderId="0" xfId="1" applyFont="1" applyFill="1" applyBorder="1" applyAlignment="1">
      <alignment horizontal="center" vertical="top"/>
    </xf>
    <xf numFmtId="0" fontId="21" fillId="0" borderId="2" xfId="6" applyNumberFormat="1" applyFont="1" applyBorder="1" applyAlignment="1">
      <alignment horizontal="center" vertical="center" wrapText="1"/>
    </xf>
    <xf numFmtId="1" fontId="21" fillId="0" borderId="2" xfId="0" applyNumberFormat="1" applyFont="1" applyBorder="1" applyAlignment="1">
      <alignment horizontal="center" vertical="center"/>
    </xf>
    <xf numFmtId="0" fontId="19" fillId="0" borderId="31" xfId="0" applyFont="1" applyBorder="1" applyAlignment="1">
      <alignment horizontal="center" vertical="top"/>
    </xf>
    <xf numFmtId="0" fontId="21" fillId="0" borderId="32" xfId="0" applyFont="1" applyBorder="1" applyAlignment="1">
      <alignment horizontal="center" vertical="center"/>
    </xf>
    <xf numFmtId="0" fontId="21" fillId="0" borderId="35" xfId="0" applyFont="1" applyBorder="1" applyAlignment="1">
      <alignment horizontal="center" vertical="center"/>
    </xf>
    <xf numFmtId="4" fontId="21" fillId="0" borderId="35" xfId="1" applyNumberFormat="1" applyFont="1" applyBorder="1" applyAlignment="1">
      <alignment horizontal="center" vertical="center"/>
    </xf>
    <xf numFmtId="43" fontId="21" fillId="0" borderId="36" xfId="1" applyFont="1" applyBorder="1" applyAlignment="1">
      <alignment horizontal="center" vertical="center"/>
    </xf>
    <xf numFmtId="43" fontId="21" fillId="0" borderId="33" xfId="1" applyFont="1" applyBorder="1" applyAlignment="1">
      <alignment horizontal="center" vertical="center"/>
    </xf>
    <xf numFmtId="43" fontId="21" fillId="0" borderId="31" xfId="1" applyFont="1" applyBorder="1" applyAlignment="1">
      <alignment horizontal="center" vertical="center"/>
    </xf>
    <xf numFmtId="43" fontId="22" fillId="0" borderId="35" xfId="1" applyFont="1" applyBorder="1" applyAlignment="1">
      <alignment horizontal="center" vertical="center"/>
    </xf>
    <xf numFmtId="43" fontId="21" fillId="0" borderId="35" xfId="1" applyFont="1" applyBorder="1" applyAlignment="1">
      <alignment horizontal="center" vertical="center"/>
    </xf>
    <xf numFmtId="43" fontId="19" fillId="3" borderId="0" xfId="1" applyFont="1" applyFill="1" applyBorder="1" applyAlignment="1">
      <alignment horizontal="center" vertical="center"/>
    </xf>
    <xf numFmtId="0" fontId="21" fillId="0" borderId="0" xfId="0" applyFont="1" applyAlignment="1">
      <alignment horizontal="center" vertical="center"/>
    </xf>
    <xf numFmtId="4" fontId="21" fillId="0" borderId="1" xfId="0" applyNumberFormat="1" applyFont="1" applyBorder="1" applyAlignment="1">
      <alignment horizontal="center" vertical="center"/>
    </xf>
    <xf numFmtId="4" fontId="21" fillId="0" borderId="35" xfId="0" applyNumberFormat="1" applyFont="1" applyBorder="1" applyAlignment="1">
      <alignment horizontal="center" vertical="center"/>
    </xf>
    <xf numFmtId="0" fontId="21" fillId="0" borderId="33" xfId="0" applyFont="1" applyBorder="1" applyAlignment="1">
      <alignment horizontal="center" vertical="center"/>
    </xf>
    <xf numFmtId="43" fontId="21" fillId="3" borderId="0" xfId="1" applyFont="1" applyFill="1" applyBorder="1" applyAlignment="1">
      <alignment horizontal="center" vertical="center"/>
    </xf>
    <xf numFmtId="0" fontId="21" fillId="0" borderId="37" xfId="0" applyFont="1" applyBorder="1" applyAlignment="1">
      <alignment horizontal="center" vertical="top"/>
    </xf>
    <xf numFmtId="0" fontId="21" fillId="0" borderId="38" xfId="0" applyFont="1" applyBorder="1" applyAlignment="1">
      <alignment horizontal="center" vertical="center"/>
    </xf>
    <xf numFmtId="4" fontId="21" fillId="0" borderId="38" xfId="1" applyNumberFormat="1" applyFont="1" applyBorder="1" applyAlignment="1">
      <alignment horizontal="center" vertical="center"/>
    </xf>
    <xf numFmtId="43" fontId="21" fillId="0" borderId="39" xfId="1" applyFont="1" applyBorder="1" applyAlignment="1">
      <alignment horizontal="center" vertical="center"/>
    </xf>
    <xf numFmtId="43" fontId="21" fillId="0" borderId="41" xfId="1" applyFont="1" applyBorder="1" applyAlignment="1">
      <alignment horizontal="center" vertical="center"/>
    </xf>
    <xf numFmtId="43" fontId="21" fillId="0" borderId="37" xfId="1" applyFont="1" applyBorder="1" applyAlignment="1">
      <alignment horizontal="center" vertical="center"/>
    </xf>
    <xf numFmtId="43" fontId="22" fillId="0" borderId="38" xfId="1" applyFont="1" applyBorder="1" applyAlignment="1">
      <alignment horizontal="center" vertical="center"/>
    </xf>
    <xf numFmtId="43" fontId="21" fillId="0" borderId="38" xfId="1" applyFont="1" applyBorder="1" applyAlignment="1">
      <alignment horizontal="center" vertical="center"/>
    </xf>
    <xf numFmtId="0" fontId="19" fillId="0" borderId="17" xfId="0" applyFont="1" applyBorder="1" applyAlignment="1">
      <alignment horizontal="center" vertical="center"/>
    </xf>
    <xf numFmtId="0" fontId="21" fillId="0" borderId="26" xfId="0" applyFont="1" applyBorder="1" applyAlignment="1">
      <alignment horizontal="center" vertical="center"/>
    </xf>
    <xf numFmtId="0" fontId="21" fillId="0" borderId="18" xfId="0" applyFont="1" applyBorder="1" applyAlignment="1">
      <alignment horizontal="center" vertical="center"/>
    </xf>
    <xf numFmtId="4" fontId="21" fillId="0" borderId="18" xfId="1" applyNumberFormat="1" applyFont="1" applyBorder="1" applyAlignment="1">
      <alignment horizontal="center" vertical="center"/>
    </xf>
    <xf numFmtId="43" fontId="21" fillId="0" borderId="19" xfId="1" applyFont="1" applyBorder="1" applyAlignment="1">
      <alignment horizontal="center" vertical="center"/>
    </xf>
    <xf numFmtId="43" fontId="21" fillId="3" borderId="16" xfId="1" applyFont="1" applyFill="1" applyBorder="1" applyAlignment="1">
      <alignment horizontal="center" vertical="center"/>
    </xf>
    <xf numFmtId="43" fontId="21" fillId="0" borderId="17" xfId="1" applyFont="1" applyBorder="1" applyAlignment="1">
      <alignment horizontal="center" vertical="center"/>
    </xf>
    <xf numFmtId="43" fontId="22" fillId="0" borderId="18" xfId="1" applyFont="1" applyBorder="1" applyAlignment="1">
      <alignment horizontal="center" vertical="center"/>
    </xf>
    <xf numFmtId="43" fontId="21" fillId="0" borderId="18" xfId="1" applyFont="1" applyBorder="1" applyAlignment="1">
      <alignment horizontal="center" vertical="center"/>
    </xf>
    <xf numFmtId="0" fontId="19" fillId="0" borderId="31" xfId="0" applyFont="1" applyBorder="1" applyAlignment="1">
      <alignment horizontal="center" vertical="center"/>
    </xf>
    <xf numFmtId="0" fontId="21" fillId="0" borderId="32" xfId="6" applyNumberFormat="1" applyFont="1" applyBorder="1" applyAlignment="1">
      <alignment horizontal="left" vertical="top" wrapText="1"/>
    </xf>
    <xf numFmtId="0" fontId="21" fillId="0" borderId="33" xfId="6" applyNumberFormat="1" applyFont="1" applyBorder="1" applyAlignment="1">
      <alignment horizontal="left" vertical="top" wrapText="1"/>
    </xf>
    <xf numFmtId="0" fontId="21" fillId="0" borderId="34" xfId="6" applyNumberFormat="1" applyFont="1" applyBorder="1" applyAlignment="1">
      <alignment horizontal="left" vertical="top" wrapText="1"/>
    </xf>
    <xf numFmtId="4" fontId="21" fillId="0" borderId="2" xfId="0" applyNumberFormat="1" applyFont="1" applyBorder="1" applyAlignment="1">
      <alignment horizontal="center" vertical="center"/>
    </xf>
    <xf numFmtId="2" fontId="19" fillId="0" borderId="31" xfId="0" applyNumberFormat="1" applyFont="1" applyBorder="1" applyAlignment="1">
      <alignment horizontal="center" vertical="top"/>
    </xf>
    <xf numFmtId="2" fontId="21" fillId="0" borderId="32" xfId="0" applyNumberFormat="1" applyFont="1" applyBorder="1" applyAlignment="1">
      <alignment horizontal="center" vertical="center"/>
    </xf>
    <xf numFmtId="2" fontId="21" fillId="0" borderId="35" xfId="0" applyNumberFormat="1" applyFont="1" applyBorder="1" applyAlignment="1">
      <alignment horizontal="center" vertical="center"/>
    </xf>
    <xf numFmtId="4" fontId="21" fillId="0" borderId="36" xfId="1" applyNumberFormat="1" applyFont="1" applyBorder="1" applyAlignment="1">
      <alignment horizontal="center" vertical="center"/>
    </xf>
    <xf numFmtId="2" fontId="21" fillId="0" borderId="33" xfId="1" applyNumberFormat="1" applyFont="1" applyBorder="1" applyAlignment="1">
      <alignment horizontal="center" vertical="center"/>
    </xf>
    <xf numFmtId="2" fontId="21" fillId="0" borderId="31" xfId="1" applyNumberFormat="1" applyFont="1" applyBorder="1" applyAlignment="1">
      <alignment horizontal="center" vertical="center"/>
    </xf>
    <xf numFmtId="2" fontId="21" fillId="0" borderId="35" xfId="1" applyNumberFormat="1" applyFont="1" applyBorder="1" applyAlignment="1">
      <alignment horizontal="center" vertical="center"/>
    </xf>
    <xf numFmtId="1" fontId="21" fillId="0" borderId="1" xfId="0" applyNumberFormat="1" applyFont="1" applyBorder="1" applyAlignment="1">
      <alignment horizontal="center" vertical="center"/>
    </xf>
    <xf numFmtId="0" fontId="21" fillId="0" borderId="31" xfId="0" applyFont="1" applyBorder="1" applyAlignment="1">
      <alignment horizontal="center" vertical="top"/>
    </xf>
    <xf numFmtId="1" fontId="21" fillId="0" borderId="35" xfId="0" applyNumberFormat="1" applyFont="1" applyBorder="1" applyAlignment="1">
      <alignment horizontal="center" vertical="center"/>
    </xf>
    <xf numFmtId="43" fontId="21" fillId="0" borderId="33" xfId="1" applyFont="1" applyBorder="1" applyAlignment="1">
      <alignment horizontal="center" vertical="top"/>
    </xf>
    <xf numFmtId="1" fontId="21" fillId="0" borderId="1" xfId="0" applyNumberFormat="1" applyFont="1" applyBorder="1" applyAlignment="1">
      <alignment horizontal="center" vertical="center" wrapText="1"/>
    </xf>
    <xf numFmtId="0" fontId="21" fillId="0" borderId="32" xfId="0" applyFont="1" applyBorder="1" applyAlignment="1">
      <alignment wrapText="1"/>
    </xf>
    <xf numFmtId="0" fontId="21" fillId="0" borderId="33" xfId="0" applyFont="1" applyBorder="1" applyAlignment="1">
      <alignment wrapText="1"/>
    </xf>
    <xf numFmtId="0" fontId="21" fillId="0" borderId="34" xfId="0" applyFont="1" applyBorder="1" applyAlignment="1">
      <alignment wrapText="1"/>
    </xf>
    <xf numFmtId="0" fontId="19" fillId="0" borderId="43" xfId="0" applyFont="1" applyBorder="1" applyAlignment="1">
      <alignment horizontal="center" vertical="center"/>
    </xf>
    <xf numFmtId="0" fontId="21" fillId="0" borderId="2" xfId="0" applyFont="1" applyBorder="1" applyAlignment="1">
      <alignment wrapText="1"/>
    </xf>
    <xf numFmtId="0" fontId="21" fillId="0" borderId="0" xfId="0" applyFont="1" applyAlignment="1">
      <alignment wrapText="1"/>
    </xf>
    <xf numFmtId="0" fontId="21" fillId="0" borderId="20" xfId="0" applyFont="1" applyBorder="1" applyAlignment="1">
      <alignment wrapText="1"/>
    </xf>
    <xf numFmtId="0" fontId="12" fillId="0" borderId="9" xfId="0" applyFont="1" applyBorder="1" applyAlignment="1">
      <alignment horizontal="center" vertical="center"/>
    </xf>
    <xf numFmtId="0" fontId="26" fillId="0" borderId="2" xfId="0" applyFont="1" applyBorder="1" applyAlignment="1">
      <alignment horizontal="center" vertical="center"/>
    </xf>
    <xf numFmtId="0" fontId="26" fillId="0" borderId="1" xfId="0" applyFont="1" applyBorder="1" applyAlignment="1">
      <alignment horizontal="left" vertical="center"/>
    </xf>
    <xf numFmtId="4" fontId="26" fillId="0" borderId="1" xfId="1" applyNumberFormat="1" applyFont="1" applyBorder="1" applyAlignment="1">
      <alignment horizontal="center" vertical="center"/>
    </xf>
    <xf numFmtId="43" fontId="26" fillId="0" borderId="10" xfId="1" applyFont="1" applyBorder="1" applyAlignment="1">
      <alignment horizontal="right" vertical="center"/>
    </xf>
    <xf numFmtId="43" fontId="26" fillId="0" borderId="0" xfId="1" applyFont="1" applyBorder="1" applyAlignment="1">
      <alignment horizontal="right" vertical="center"/>
    </xf>
    <xf numFmtId="43" fontId="26" fillId="0" borderId="9" xfId="1" applyFont="1" applyBorder="1" applyAlignment="1">
      <alignment horizontal="center" vertical="center"/>
    </xf>
    <xf numFmtId="43" fontId="27" fillId="0" borderId="1" xfId="1" applyFont="1" applyFill="1" applyBorder="1" applyAlignment="1">
      <alignment horizontal="center" vertical="center"/>
    </xf>
    <xf numFmtId="43" fontId="26" fillId="0" borderId="1" xfId="1" applyFont="1" applyBorder="1" applyAlignment="1">
      <alignment horizontal="center" vertical="center"/>
    </xf>
    <xf numFmtId="43" fontId="27" fillId="0" borderId="1" xfId="1" applyFont="1" applyBorder="1" applyAlignment="1">
      <alignment horizontal="center" vertical="center"/>
    </xf>
    <xf numFmtId="43" fontId="26" fillId="0" borderId="10" xfId="1" applyFont="1" applyBorder="1" applyAlignment="1">
      <alignment horizontal="center" vertical="center"/>
    </xf>
    <xf numFmtId="0" fontId="26" fillId="0" borderId="0" xfId="0" applyFont="1"/>
    <xf numFmtId="0" fontId="26" fillId="0" borderId="0" xfId="0" applyFont="1" applyAlignment="1">
      <alignment vertical="center"/>
    </xf>
    <xf numFmtId="0" fontId="26" fillId="0" borderId="2" xfId="6" applyNumberFormat="1" applyFont="1" applyBorder="1" applyAlignment="1">
      <alignment horizontal="center" vertical="center" wrapText="1"/>
    </xf>
    <xf numFmtId="0" fontId="26" fillId="0" borderId="1" xfId="0" applyFont="1" applyBorder="1" applyAlignment="1">
      <alignment horizontal="center" vertical="center"/>
    </xf>
    <xf numFmtId="0" fontId="12" fillId="0" borderId="9" xfId="0" applyFont="1" applyBorder="1" applyAlignment="1">
      <alignment horizontal="center" vertical="top"/>
    </xf>
    <xf numFmtId="1" fontId="26" fillId="0" borderId="2" xfId="0" applyNumberFormat="1" applyFont="1" applyBorder="1" applyAlignment="1">
      <alignment horizontal="center" vertical="center"/>
    </xf>
    <xf numFmtId="43" fontId="26" fillId="0" borderId="0" xfId="1" applyFont="1" applyBorder="1" applyAlignment="1">
      <alignment horizontal="right" vertical="top"/>
    </xf>
    <xf numFmtId="0" fontId="26" fillId="0" borderId="0" xfId="0" applyFont="1" applyAlignment="1">
      <alignment vertical="top"/>
    </xf>
    <xf numFmtId="0" fontId="26" fillId="0" borderId="0" xfId="0" applyFont="1" applyAlignment="1">
      <alignment horizontal="center" vertical="center"/>
    </xf>
    <xf numFmtId="0" fontId="12" fillId="0" borderId="31" xfId="0" applyFont="1" applyBorder="1" applyAlignment="1">
      <alignment horizontal="center" vertical="top"/>
    </xf>
    <xf numFmtId="0" fontId="26" fillId="0" borderId="35" xfId="0" applyFont="1" applyBorder="1" applyAlignment="1">
      <alignment horizontal="center" vertical="center"/>
    </xf>
    <xf numFmtId="0" fontId="26" fillId="0" borderId="33" xfId="0" applyFont="1" applyBorder="1" applyAlignment="1">
      <alignment horizontal="center" vertical="center"/>
    </xf>
    <xf numFmtId="4" fontId="26" fillId="0" borderId="35" xfId="1" applyNumberFormat="1" applyFont="1" applyBorder="1" applyAlignment="1">
      <alignment horizontal="center" vertical="center"/>
    </xf>
    <xf numFmtId="43" fontId="26" fillId="0" borderId="36" xfId="1" applyFont="1" applyBorder="1" applyAlignment="1">
      <alignment horizontal="right" vertical="center"/>
    </xf>
    <xf numFmtId="43" fontId="26" fillId="0" borderId="33" xfId="1" applyFont="1" applyBorder="1" applyAlignment="1">
      <alignment horizontal="right" vertical="top"/>
    </xf>
    <xf numFmtId="43" fontId="26" fillId="0" borderId="31" xfId="1" applyFont="1" applyBorder="1" applyAlignment="1">
      <alignment horizontal="center" vertical="center"/>
    </xf>
    <xf numFmtId="43" fontId="27" fillId="0" borderId="35" xfId="1" applyFont="1" applyFill="1" applyBorder="1" applyAlignment="1">
      <alignment horizontal="center" vertical="center"/>
    </xf>
    <xf numFmtId="43" fontId="26" fillId="0" borderId="35" xfId="1" applyFont="1" applyBorder="1" applyAlignment="1">
      <alignment horizontal="center" vertical="center"/>
    </xf>
    <xf numFmtId="43" fontId="27" fillId="0" borderId="35" xfId="1" applyFont="1" applyBorder="1" applyAlignment="1">
      <alignment horizontal="center" vertical="center"/>
    </xf>
    <xf numFmtId="43" fontId="26" fillId="0" borderId="36" xfId="1" applyFont="1" applyBorder="1" applyAlignment="1">
      <alignment horizontal="center" vertical="center"/>
    </xf>
    <xf numFmtId="0" fontId="12" fillId="0" borderId="31" xfId="0" applyFont="1" applyBorder="1" applyAlignment="1">
      <alignment horizontal="center" vertical="center"/>
    </xf>
    <xf numFmtId="0" fontId="26" fillId="0" borderId="32" xfId="0" applyFont="1" applyBorder="1" applyAlignment="1">
      <alignment horizontal="center" vertical="center"/>
    </xf>
    <xf numFmtId="43" fontId="26" fillId="0" borderId="33" xfId="1" applyFont="1" applyBorder="1" applyAlignment="1">
      <alignment horizontal="right" vertical="center"/>
    </xf>
    <xf numFmtId="0" fontId="21" fillId="0" borderId="43" xfId="0" applyFont="1" applyBorder="1" applyAlignment="1">
      <alignment horizontal="center" vertical="top"/>
    </xf>
    <xf numFmtId="3" fontId="21" fillId="0" borderId="2" xfId="0" applyNumberFormat="1" applyFont="1" applyBorder="1" applyAlignment="1">
      <alignment horizontal="center" vertical="center"/>
    </xf>
    <xf numFmtId="0" fontId="21" fillId="0" borderId="54" xfId="0" applyFont="1" applyBorder="1" applyAlignment="1">
      <alignment horizontal="center" vertical="top"/>
    </xf>
    <xf numFmtId="3" fontId="21" fillId="0" borderId="32" xfId="0" applyNumberFormat="1" applyFont="1" applyBorder="1" applyAlignment="1">
      <alignment horizontal="center" vertical="center"/>
    </xf>
    <xf numFmtId="4" fontId="21" fillId="0" borderId="32" xfId="0" applyNumberFormat="1" applyFont="1" applyBorder="1" applyAlignment="1">
      <alignment horizontal="center" vertical="center"/>
    </xf>
    <xf numFmtId="43" fontId="21" fillId="0" borderId="0" xfId="1" applyFont="1" applyBorder="1" applyAlignment="1">
      <alignment horizontal="center" vertical="top"/>
    </xf>
    <xf numFmtId="0" fontId="12" fillId="0" borderId="54" xfId="0" applyFont="1" applyBorder="1" applyAlignment="1">
      <alignment horizontal="center" vertical="center"/>
    </xf>
    <xf numFmtId="4" fontId="26" fillId="0" borderId="32" xfId="0" applyNumberFormat="1" applyFont="1" applyBorder="1" applyAlignment="1">
      <alignment horizontal="center" vertical="center"/>
    </xf>
    <xf numFmtId="0" fontId="12" fillId="0" borderId="43" xfId="0" applyFont="1" applyBorder="1" applyAlignment="1">
      <alignment horizontal="center" vertical="center"/>
    </xf>
    <xf numFmtId="4" fontId="26" fillId="0" borderId="2" xfId="0" applyNumberFormat="1" applyFont="1" applyBorder="1" applyAlignment="1">
      <alignment horizontal="center" vertical="center"/>
    </xf>
    <xf numFmtId="0" fontId="21" fillId="0" borderId="2" xfId="0" applyFont="1" applyBorder="1"/>
    <xf numFmtId="0" fontId="21" fillId="0" borderId="20" xfId="0" applyFont="1" applyBorder="1"/>
    <xf numFmtId="0" fontId="21" fillId="0" borderId="7" xfId="0" applyFont="1" applyBorder="1" applyAlignment="1">
      <alignment horizontal="center" vertical="center"/>
    </xf>
    <xf numFmtId="0" fontId="19" fillId="0" borderId="13" xfId="0" applyFont="1" applyBorder="1" applyAlignment="1">
      <alignment vertical="center"/>
    </xf>
    <xf numFmtId="0" fontId="19" fillId="0" borderId="15" xfId="0" applyFont="1" applyBorder="1" applyAlignment="1">
      <alignment horizontal="center" vertical="center"/>
    </xf>
    <xf numFmtId="4" fontId="19" fillId="0" borderId="15" xfId="1" applyNumberFormat="1" applyFont="1" applyBorder="1" applyAlignment="1">
      <alignment horizontal="center" vertical="center"/>
    </xf>
    <xf numFmtId="4" fontId="19" fillId="0" borderId="22" xfId="0" applyNumberFormat="1" applyFont="1" applyBorder="1" applyAlignment="1">
      <alignment horizontal="center" vertical="center"/>
    </xf>
    <xf numFmtId="43" fontId="19" fillId="0" borderId="28" xfId="1" applyFont="1" applyBorder="1" applyAlignment="1">
      <alignment horizontal="center" vertical="center"/>
    </xf>
    <xf numFmtId="43" fontId="20" fillId="0" borderId="15" xfId="1" applyFont="1" applyBorder="1" applyAlignment="1">
      <alignment horizontal="center" vertical="center"/>
    </xf>
    <xf numFmtId="43" fontId="19" fillId="0" borderId="15" xfId="1" applyFont="1" applyBorder="1" applyAlignment="1">
      <alignment horizontal="center" vertical="center"/>
    </xf>
    <xf numFmtId="43" fontId="19" fillId="0" borderId="14" xfId="1" applyFont="1" applyBorder="1" applyAlignment="1">
      <alignment horizontal="center" vertical="center"/>
    </xf>
    <xf numFmtId="4" fontId="21" fillId="0" borderId="0" xfId="1" applyNumberFormat="1" applyFont="1" applyAlignment="1">
      <alignment horizontal="center" vertical="center"/>
    </xf>
    <xf numFmtId="43" fontId="22" fillId="0" borderId="0" xfId="1" applyFont="1" applyAlignment="1">
      <alignment horizontal="center" vertical="center"/>
    </xf>
    <xf numFmtId="0" fontId="21" fillId="0" borderId="2" xfId="0" applyFont="1" applyBorder="1" applyAlignment="1">
      <alignment horizontal="center" vertical="top"/>
    </xf>
    <xf numFmtId="0" fontId="21" fillId="0" borderId="1" xfId="0" applyFont="1" applyBorder="1" applyAlignment="1">
      <alignment horizontal="center" vertical="top"/>
    </xf>
    <xf numFmtId="4" fontId="21" fillId="0" borderId="1" xfId="1" applyNumberFormat="1" applyFont="1" applyBorder="1" applyAlignment="1">
      <alignment horizontal="center" vertical="top"/>
    </xf>
    <xf numFmtId="43" fontId="21" fillId="0" borderId="10" xfId="1" applyFont="1" applyBorder="1" applyAlignment="1">
      <alignment horizontal="center" vertical="top"/>
    </xf>
    <xf numFmtId="43" fontId="21" fillId="3" borderId="0" xfId="1" applyFont="1" applyFill="1" applyBorder="1" applyAlignment="1">
      <alignment horizontal="center" vertical="top"/>
    </xf>
    <xf numFmtId="43" fontId="21" fillId="0" borderId="9" xfId="1" applyFont="1" applyBorder="1" applyAlignment="1">
      <alignment horizontal="center" vertical="top"/>
    </xf>
    <xf numFmtId="43" fontId="22" fillId="0" borderId="1" xfId="1" applyFont="1" applyBorder="1" applyAlignment="1">
      <alignment horizontal="center" vertical="top"/>
    </xf>
    <xf numFmtId="43" fontId="21" fillId="0" borderId="1" xfId="1" applyFont="1" applyBorder="1" applyAlignment="1">
      <alignment horizontal="center" vertical="top"/>
    </xf>
    <xf numFmtId="0" fontId="26" fillId="0" borderId="32" xfId="6" applyNumberFormat="1" applyFont="1" applyBorder="1" applyAlignment="1">
      <alignment horizontal="left" vertical="center" wrapText="1"/>
    </xf>
    <xf numFmtId="0" fontId="26" fillId="0" borderId="33" xfId="6" applyNumberFormat="1" applyFont="1" applyBorder="1" applyAlignment="1">
      <alignment horizontal="left" vertical="center"/>
    </xf>
    <xf numFmtId="0" fontId="26" fillId="0" borderId="34" xfId="6" applyNumberFormat="1" applyFont="1" applyBorder="1" applyAlignment="1">
      <alignment horizontal="left" vertical="center"/>
    </xf>
    <xf numFmtId="0" fontId="12" fillId="0" borderId="43" xfId="0" applyFont="1" applyBorder="1" applyAlignment="1">
      <alignment horizontal="center" vertical="top"/>
    </xf>
    <xf numFmtId="0" fontId="26" fillId="0" borderId="1" xfId="0" applyFont="1" applyBorder="1" applyAlignment="1">
      <alignment horizontal="center" vertical="top"/>
    </xf>
    <xf numFmtId="4" fontId="26" fillId="0" borderId="1" xfId="1" applyNumberFormat="1" applyFont="1" applyBorder="1" applyAlignment="1">
      <alignment horizontal="center" vertical="top"/>
    </xf>
    <xf numFmtId="43" fontId="26" fillId="0" borderId="10" xfId="1" applyFont="1" applyBorder="1" applyAlignment="1">
      <alignment horizontal="right" vertical="top"/>
    </xf>
    <xf numFmtId="43" fontId="26" fillId="0" borderId="9" xfId="1" applyFont="1" applyBorder="1" applyAlignment="1">
      <alignment horizontal="center" vertical="top"/>
    </xf>
    <xf numFmtId="4" fontId="26" fillId="0" borderId="2" xfId="0" applyNumberFormat="1" applyFont="1" applyBorder="1" applyAlignment="1">
      <alignment horizontal="center"/>
    </xf>
    <xf numFmtId="3" fontId="26" fillId="0" borderId="2" xfId="0" applyNumberFormat="1" applyFont="1" applyBorder="1" applyAlignment="1">
      <alignment horizontal="center" vertical="top"/>
    </xf>
    <xf numFmtId="3" fontId="26" fillId="0" borderId="1" xfId="0" applyNumberFormat="1" applyFont="1" applyBorder="1" applyAlignment="1">
      <alignment horizontal="center" vertical="top"/>
    </xf>
    <xf numFmtId="9" fontId="21" fillId="0" borderId="0" xfId="9" applyFont="1"/>
    <xf numFmtId="9" fontId="8" fillId="0" borderId="1" xfId="1" applyNumberFormat="1" applyFont="1" applyBorder="1" applyAlignment="1">
      <alignment horizontal="center" vertical="top"/>
    </xf>
    <xf numFmtId="0" fontId="8" fillId="0" borderId="57" xfId="0" applyFont="1" applyBorder="1"/>
    <xf numFmtId="0" fontId="8" fillId="0" borderId="57" xfId="0" applyFont="1" applyBorder="1" applyAlignment="1">
      <alignment vertical="center"/>
    </xf>
    <xf numFmtId="0" fontId="8" fillId="0" borderId="57" xfId="0" applyFont="1" applyBorder="1" applyAlignment="1">
      <alignment vertical="top"/>
    </xf>
    <xf numFmtId="0" fontId="8" fillId="0" borderId="57" xfId="0" applyFont="1" applyBorder="1" applyAlignment="1">
      <alignment vertical="top" wrapText="1"/>
    </xf>
    <xf numFmtId="0" fontId="21" fillId="0" borderId="0" xfId="0" applyFont="1" applyAlignment="1">
      <alignment vertical="center" wrapText="1"/>
    </xf>
    <xf numFmtId="43" fontId="21" fillId="0" borderId="43" xfId="0" applyNumberFormat="1" applyFont="1" applyBorder="1" applyAlignment="1">
      <alignment vertical="center" wrapText="1"/>
    </xf>
    <xf numFmtId="0" fontId="21" fillId="0" borderId="43" xfId="0" applyFont="1" applyBorder="1" applyAlignment="1">
      <alignment vertical="center" wrapText="1"/>
    </xf>
    <xf numFmtId="0" fontId="21" fillId="0" borderId="43" xfId="0" applyFont="1" applyBorder="1" applyAlignment="1">
      <alignment horizontal="left" vertical="center" wrapText="1"/>
    </xf>
    <xf numFmtId="0" fontId="21" fillId="0" borderId="43" xfId="0" applyFont="1" applyBorder="1" applyAlignment="1">
      <alignment horizontal="center" vertical="center" wrapText="1"/>
    </xf>
    <xf numFmtId="43" fontId="21" fillId="0" borderId="43" xfId="0" applyNumberFormat="1" applyFont="1" applyBorder="1" applyAlignment="1">
      <alignment horizontal="center" vertical="center" wrapText="1"/>
    </xf>
    <xf numFmtId="0" fontId="21" fillId="0" borderId="0" xfId="0" applyFont="1" applyAlignment="1">
      <alignment horizontal="center" vertical="center" wrapText="1"/>
    </xf>
    <xf numFmtId="0" fontId="26" fillId="0" borderId="0" xfId="0" applyFont="1" applyAlignment="1">
      <alignment vertical="center" wrapText="1"/>
    </xf>
    <xf numFmtId="0" fontId="21" fillId="0" borderId="54" xfId="0" applyFont="1" applyBorder="1" applyAlignment="1">
      <alignment vertical="center" wrapText="1"/>
    </xf>
    <xf numFmtId="0" fontId="26" fillId="0" borderId="54" xfId="0" applyFont="1" applyBorder="1" applyAlignment="1">
      <alignment vertical="center" wrapText="1"/>
    </xf>
    <xf numFmtId="43" fontId="21" fillId="0" borderId="13" xfId="0" applyNumberFormat="1" applyFont="1" applyBorder="1" applyAlignment="1">
      <alignment vertical="center" wrapText="1"/>
    </xf>
    <xf numFmtId="0" fontId="8" fillId="0" borderId="55" xfId="0" applyFont="1" applyBorder="1" applyAlignment="1">
      <alignment vertical="center"/>
    </xf>
    <xf numFmtId="0" fontId="19" fillId="0" borderId="61" xfId="0" applyFont="1" applyBorder="1" applyAlignment="1">
      <alignment horizontal="center" vertical="center" wrapText="1"/>
    </xf>
    <xf numFmtId="43" fontId="19" fillId="0" borderId="59" xfId="1" applyFont="1" applyBorder="1" applyAlignment="1">
      <alignment horizontal="center" vertical="center" wrapText="1"/>
    </xf>
    <xf numFmtId="43" fontId="19" fillId="0" borderId="63" xfId="1" applyFont="1" applyBorder="1" applyAlignment="1">
      <alignment horizontal="center" vertical="center" wrapText="1"/>
    </xf>
    <xf numFmtId="43" fontId="19" fillId="0" borderId="60" xfId="1" applyFont="1" applyBorder="1" applyAlignment="1">
      <alignment horizontal="center" vertical="center" wrapText="1"/>
    </xf>
    <xf numFmtId="43" fontId="13" fillId="0" borderId="59" xfId="1" applyFont="1" applyBorder="1" applyAlignment="1">
      <alignment horizontal="center" vertical="center" wrapText="1"/>
    </xf>
    <xf numFmtId="43" fontId="13" fillId="0" borderId="63" xfId="1" applyFont="1" applyFill="1" applyBorder="1" applyAlignment="1">
      <alignment horizontal="center" vertical="center" wrapText="1"/>
    </xf>
    <xf numFmtId="43" fontId="13" fillId="0" borderId="63" xfId="1" applyFont="1" applyBorder="1" applyAlignment="1">
      <alignment horizontal="center" vertical="center" wrapText="1"/>
    </xf>
    <xf numFmtId="43" fontId="13" fillId="0" borderId="64" xfId="1" applyFont="1" applyBorder="1" applyAlignment="1">
      <alignment horizontal="center" vertical="center" wrapText="1"/>
    </xf>
    <xf numFmtId="43" fontId="22" fillId="0" borderId="1" xfId="1" applyFont="1" applyFill="1" applyBorder="1" applyAlignment="1">
      <alignment horizontal="center" vertical="center"/>
    </xf>
    <xf numFmtId="43" fontId="8" fillId="0" borderId="0" xfId="1" applyFont="1" applyAlignment="1">
      <alignment vertical="center"/>
    </xf>
    <xf numFmtId="164" fontId="8" fillId="0" borderId="0" xfId="0" applyNumberFormat="1" applyFont="1"/>
    <xf numFmtId="43" fontId="21" fillId="4" borderId="10" xfId="1" applyFont="1" applyFill="1" applyBorder="1" applyAlignment="1">
      <alignment horizontal="center" vertical="center"/>
    </xf>
    <xf numFmtId="43" fontId="21" fillId="4" borderId="36" xfId="1" applyFont="1" applyFill="1" applyBorder="1" applyAlignment="1">
      <alignment horizontal="center" vertical="center"/>
    </xf>
    <xf numFmtId="43" fontId="26" fillId="4" borderId="10" xfId="1" applyFont="1" applyFill="1" applyBorder="1" applyAlignment="1">
      <alignment horizontal="center" vertical="center"/>
    </xf>
    <xf numFmtId="43" fontId="21" fillId="0" borderId="1" xfId="1" applyFont="1" applyBorder="1" applyAlignment="1">
      <alignment horizontal="right" vertical="center"/>
    </xf>
    <xf numFmtId="0" fontId="12" fillId="0" borderId="54" xfId="0" applyFont="1" applyBorder="1" applyAlignment="1">
      <alignment horizontal="center" vertical="top"/>
    </xf>
    <xf numFmtId="4" fontId="26" fillId="0" borderId="32" xfId="0" applyNumberFormat="1" applyFont="1" applyBorder="1" applyAlignment="1">
      <alignment horizontal="center" vertical="top"/>
    </xf>
    <xf numFmtId="0" fontId="26" fillId="0" borderId="35" xfId="0" applyFont="1" applyBorder="1" applyAlignment="1">
      <alignment horizontal="center" vertical="top"/>
    </xf>
    <xf numFmtId="4" fontId="26" fillId="0" borderId="35" xfId="1" applyNumberFormat="1" applyFont="1" applyBorder="1" applyAlignment="1">
      <alignment horizontal="center" vertical="top"/>
    </xf>
    <xf numFmtId="43" fontId="26" fillId="0" borderId="36" xfId="1" applyFont="1" applyBorder="1" applyAlignment="1">
      <alignment horizontal="right" vertical="top"/>
    </xf>
    <xf numFmtId="43" fontId="26" fillId="0" borderId="31" xfId="1" applyFont="1" applyBorder="1" applyAlignment="1">
      <alignment horizontal="center" vertical="top"/>
    </xf>
    <xf numFmtId="43" fontId="22" fillId="0" borderId="35" xfId="1" applyFont="1" applyBorder="1" applyAlignment="1">
      <alignment horizontal="center" vertical="top"/>
    </xf>
    <xf numFmtId="43" fontId="21" fillId="0" borderId="35" xfId="1" applyFont="1" applyBorder="1" applyAlignment="1">
      <alignment horizontal="right" vertical="top"/>
    </xf>
    <xf numFmtId="43" fontId="21" fillId="0" borderId="35" xfId="1" applyFont="1" applyBorder="1" applyAlignment="1">
      <alignment horizontal="center" vertical="top"/>
    </xf>
    <xf numFmtId="43" fontId="21" fillId="0" borderId="36" xfId="1" applyFont="1" applyBorder="1" applyAlignment="1">
      <alignment horizontal="center" vertical="top"/>
    </xf>
    <xf numFmtId="43" fontId="21" fillId="0" borderId="1" xfId="1" applyFont="1" applyBorder="1" applyAlignment="1">
      <alignment horizontal="right" vertical="top"/>
    </xf>
    <xf numFmtId="3" fontId="26" fillId="0" borderId="32" xfId="0" applyNumberFormat="1" applyFont="1" applyBorder="1" applyAlignment="1">
      <alignment horizontal="center" vertical="top"/>
    </xf>
    <xf numFmtId="3" fontId="26" fillId="0" borderId="35" xfId="0" applyNumberFormat="1" applyFont="1" applyBorder="1" applyAlignment="1">
      <alignment horizontal="center" vertical="top"/>
    </xf>
    <xf numFmtId="43" fontId="20" fillId="0" borderId="14" xfId="1" applyFont="1" applyBorder="1" applyAlignment="1">
      <alignment horizontal="center" vertical="center"/>
    </xf>
    <xf numFmtId="43" fontId="21" fillId="4" borderId="36" xfId="1" applyFont="1" applyFill="1" applyBorder="1" applyAlignment="1">
      <alignment horizontal="center" vertical="top"/>
    </xf>
    <xf numFmtId="43" fontId="21" fillId="4" borderId="10" xfId="1" applyFont="1" applyFill="1" applyBorder="1" applyAlignment="1">
      <alignment horizontal="center" vertical="top"/>
    </xf>
    <xf numFmtId="43" fontId="21" fillId="0" borderId="10" xfId="1" applyFont="1" applyFill="1" applyBorder="1" applyAlignment="1">
      <alignment horizontal="center" vertical="center"/>
    </xf>
    <xf numFmtId="43" fontId="21" fillId="0" borderId="36" xfId="1" applyFont="1" applyFill="1" applyBorder="1" applyAlignment="1">
      <alignment horizontal="center" vertical="center"/>
    </xf>
    <xf numFmtId="0" fontId="32" fillId="0" borderId="0" xfId="0" applyFont="1" applyAlignment="1">
      <alignment vertical="center" wrapText="1"/>
    </xf>
    <xf numFmtId="0" fontId="32" fillId="0" borderId="0" xfId="0" applyFont="1" applyAlignment="1">
      <alignment horizontal="left" vertical="top" wrapText="1"/>
    </xf>
    <xf numFmtId="43" fontId="21" fillId="0" borderId="36" xfId="1" applyFont="1" applyFill="1" applyBorder="1" applyAlignment="1">
      <alignment horizontal="center" vertical="top"/>
    </xf>
    <xf numFmtId="0" fontId="31" fillId="0" borderId="43" xfId="0" applyFont="1" applyBorder="1" applyAlignment="1">
      <alignment vertical="center" wrapText="1"/>
    </xf>
    <xf numFmtId="43" fontId="21" fillId="0" borderId="1" xfId="1" applyFont="1" applyBorder="1" applyAlignment="1">
      <alignment horizontal="center" vertical="center"/>
    </xf>
    <xf numFmtId="4" fontId="21" fillId="0" borderId="1" xfId="0" applyNumberFormat="1" applyFont="1" applyBorder="1" applyAlignment="1">
      <alignment horizontal="center" vertical="center"/>
    </xf>
    <xf numFmtId="43" fontId="21" fillId="0" borderId="10" xfId="1" applyFont="1" applyFill="1" applyBorder="1" applyAlignment="1">
      <alignment horizontal="center" vertical="center"/>
    </xf>
    <xf numFmtId="43" fontId="21" fillId="0" borderId="36" xfId="1" applyFont="1" applyFill="1" applyBorder="1" applyAlignment="1">
      <alignment horizontal="center" vertical="center"/>
    </xf>
    <xf numFmtId="0" fontId="31" fillId="0" borderId="43" xfId="0" applyFont="1" applyBorder="1" applyAlignment="1">
      <alignment horizontal="left" vertical="center" wrapText="1"/>
    </xf>
    <xf numFmtId="39" fontId="13" fillId="0" borderId="0" xfId="8" applyNumberFormat="1" applyFont="1" applyAlignment="1">
      <alignment horizontal="right"/>
    </xf>
    <xf numFmtId="4" fontId="13" fillId="0" borderId="0" xfId="8" applyNumberFormat="1" applyFont="1" applyAlignment="1">
      <alignment horizontal="right"/>
    </xf>
    <xf numFmtId="0" fontId="13" fillId="0" borderId="0" xfId="8" applyFont="1" applyAlignment="1">
      <alignment horizontal="right"/>
    </xf>
    <xf numFmtId="0" fontId="13" fillId="0" borderId="0" xfId="8" applyFont="1" applyAlignment="1">
      <alignment horizontal="left" vertical="center" wrapText="1"/>
    </xf>
    <xf numFmtId="0" fontId="13" fillId="0" borderId="0" xfId="8" applyFont="1" applyAlignment="1">
      <alignment horizontal="center"/>
    </xf>
    <xf numFmtId="0" fontId="8" fillId="0" borderId="0" xfId="8" applyFont="1" applyAlignment="1">
      <alignment horizontal="center"/>
    </xf>
    <xf numFmtId="0" fontId="8" fillId="0" borderId="0" xfId="8" applyFont="1" applyAlignment="1">
      <alignment horizontal="left" vertical="top" wrapText="1"/>
    </xf>
    <xf numFmtId="0" fontId="8" fillId="0" borderId="0" xfId="8" applyFont="1" applyAlignment="1">
      <alignment horizontal="left" wrapText="1"/>
    </xf>
    <xf numFmtId="0" fontId="11" fillId="0" borderId="0" xfId="0" applyFont="1" applyAlignment="1">
      <alignment horizontal="left" wrapText="1"/>
    </xf>
    <xf numFmtId="0" fontId="11" fillId="0" borderId="0" xfId="0" applyFont="1" applyAlignment="1">
      <alignment horizontal="center" vertical="center"/>
    </xf>
    <xf numFmtId="0" fontId="11" fillId="0" borderId="44" xfId="0" applyFont="1" applyBorder="1" applyAlignment="1">
      <alignment horizontal="center" vertical="center"/>
    </xf>
    <xf numFmtId="0" fontId="11" fillId="0" borderId="45" xfId="0" applyFont="1" applyBorder="1" applyAlignment="1">
      <alignment horizontal="center" vertical="center"/>
    </xf>
    <xf numFmtId="0" fontId="9" fillId="0" borderId="47" xfId="0" applyFont="1" applyBorder="1" applyAlignment="1">
      <alignment horizontal="center" vertical="center"/>
    </xf>
    <xf numFmtId="0" fontId="9" fillId="0" borderId="48" xfId="0" applyFont="1" applyBorder="1" applyAlignment="1">
      <alignment horizontal="center" vertical="center"/>
    </xf>
    <xf numFmtId="0" fontId="9" fillId="0" borderId="4" xfId="0" applyFont="1" applyBorder="1" applyAlignment="1">
      <alignment horizontal="center" vertical="center"/>
    </xf>
    <xf numFmtId="0" fontId="9" fillId="0" borderId="6" xfId="0" applyFont="1" applyBorder="1" applyAlignment="1">
      <alignment horizontal="center" vertical="center"/>
    </xf>
    <xf numFmtId="4" fontId="9" fillId="0" borderId="3" xfId="0" applyNumberFormat="1" applyFont="1" applyBorder="1" applyAlignment="1">
      <alignment horizontal="right" vertical="center"/>
    </xf>
    <xf numFmtId="4" fontId="9" fillId="0" borderId="7" xfId="0" applyNumberFormat="1" applyFont="1" applyBorder="1" applyAlignment="1">
      <alignment horizontal="right" vertical="center"/>
    </xf>
    <xf numFmtId="0" fontId="13" fillId="0" borderId="0" xfId="0" applyFont="1" applyAlignment="1">
      <alignment horizontal="center" vertical="center"/>
    </xf>
    <xf numFmtId="0" fontId="9" fillId="0" borderId="51" xfId="0" applyFont="1" applyBorder="1" applyAlignment="1">
      <alignment horizontal="center" vertical="center"/>
    </xf>
    <xf numFmtId="0" fontId="9" fillId="0" borderId="52" xfId="0" applyFont="1" applyBorder="1" applyAlignment="1">
      <alignment horizontal="center" vertical="center"/>
    </xf>
    <xf numFmtId="43" fontId="13" fillId="0" borderId="29" xfId="1" applyFont="1" applyBorder="1" applyAlignment="1">
      <alignment horizontal="center" vertical="center" wrapText="1"/>
    </xf>
    <xf numFmtId="43" fontId="13" fillId="0" borderId="24" xfId="1" applyFont="1" applyBorder="1" applyAlignment="1">
      <alignment horizontal="center" vertical="center" wrapText="1"/>
    </xf>
    <xf numFmtId="43" fontId="13" fillId="0" borderId="25" xfId="1" applyFont="1" applyBorder="1" applyAlignment="1">
      <alignment horizontal="center" vertical="center" wrapText="1"/>
    </xf>
    <xf numFmtId="43" fontId="13" fillId="0" borderId="8" xfId="1" applyFont="1" applyBorder="1" applyAlignment="1">
      <alignment horizontal="center" vertical="center" wrapText="1"/>
    </xf>
    <xf numFmtId="43" fontId="13" fillId="0" borderId="30" xfId="1" applyFont="1" applyBorder="1" applyAlignment="1">
      <alignment horizontal="center" vertical="center" wrapText="1"/>
    </xf>
    <xf numFmtId="0" fontId="8" fillId="2" borderId="2" xfId="6" applyNumberFormat="1" applyFont="1" applyFill="1" applyBorder="1" applyAlignment="1">
      <alignment horizontal="left" vertical="top" wrapText="1"/>
    </xf>
    <xf numFmtId="0" fontId="8" fillId="2" borderId="0" xfId="6" applyNumberFormat="1" applyFont="1" applyFill="1" applyAlignment="1">
      <alignment horizontal="left" vertical="top" wrapText="1"/>
    </xf>
    <xf numFmtId="0" fontId="8" fillId="2" borderId="20" xfId="6" applyNumberFormat="1" applyFont="1" applyFill="1" applyBorder="1" applyAlignment="1">
      <alignment horizontal="left" vertical="top" wrapText="1"/>
    </xf>
    <xf numFmtId="0" fontId="8" fillId="2" borderId="0" xfId="6" applyNumberFormat="1" applyFont="1" applyFill="1" applyAlignment="1">
      <alignment horizontal="left" vertical="center" wrapText="1"/>
    </xf>
    <xf numFmtId="0" fontId="8" fillId="2" borderId="20" xfId="6" applyNumberFormat="1" applyFont="1" applyFill="1" applyBorder="1" applyAlignment="1">
      <alignment horizontal="left" vertical="center" wrapText="1"/>
    </xf>
    <xf numFmtId="0" fontId="8" fillId="2" borderId="1" xfId="6" applyNumberFormat="1" applyFont="1" applyFill="1" applyBorder="1" applyAlignment="1">
      <alignment horizontal="left" vertical="top" wrapText="1"/>
    </xf>
    <xf numFmtId="0" fontId="14" fillId="2" borderId="1" xfId="6" applyNumberFormat="1" applyFont="1" applyFill="1" applyBorder="1" applyAlignment="1">
      <alignment horizontal="left" vertical="top" wrapText="1"/>
    </xf>
    <xf numFmtId="0" fontId="14" fillId="2" borderId="1" xfId="6" applyNumberFormat="1" applyFont="1" applyFill="1" applyBorder="1" applyAlignment="1">
      <alignment horizontal="left" vertical="center" wrapText="1"/>
    </xf>
    <xf numFmtId="0" fontId="14" fillId="2" borderId="2" xfId="6" applyNumberFormat="1" applyFont="1" applyFill="1" applyBorder="1" applyAlignment="1">
      <alignment horizontal="left" vertical="center" wrapText="1"/>
    </xf>
    <xf numFmtId="0" fontId="14" fillId="2" borderId="0" xfId="6" applyNumberFormat="1" applyFont="1" applyFill="1" applyAlignment="1">
      <alignment horizontal="left" vertical="center" wrapText="1"/>
    </xf>
    <xf numFmtId="0" fontId="14" fillId="2" borderId="20" xfId="6" applyNumberFormat="1" applyFont="1" applyFill="1" applyBorder="1" applyAlignment="1">
      <alignment horizontal="left" vertical="center" wrapText="1"/>
    </xf>
    <xf numFmtId="0" fontId="13" fillId="2" borderId="1" xfId="6" applyNumberFormat="1" applyFont="1" applyFill="1" applyBorder="1" applyAlignment="1">
      <alignment horizontal="left" vertical="top" wrapText="1"/>
    </xf>
    <xf numFmtId="0" fontId="8" fillId="2" borderId="1" xfId="6" applyNumberFormat="1" applyFont="1" applyFill="1" applyBorder="1" applyAlignment="1">
      <alignment vertical="top" wrapText="1"/>
    </xf>
    <xf numFmtId="0" fontId="8" fillId="2" borderId="38" xfId="6" applyNumberFormat="1" applyFont="1" applyFill="1" applyBorder="1" applyAlignment="1">
      <alignment horizontal="left" vertical="top" wrapText="1"/>
    </xf>
    <xf numFmtId="0" fontId="8" fillId="2" borderId="1" xfId="6" applyNumberFormat="1" applyFont="1" applyFill="1" applyBorder="1" applyAlignment="1">
      <alignment horizontal="left" vertical="center" wrapText="1"/>
    </xf>
    <xf numFmtId="0" fontId="13" fillId="0" borderId="26"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27" xfId="0" applyFont="1" applyBorder="1" applyAlignment="1">
      <alignment horizontal="center" vertical="center" wrapText="1"/>
    </xf>
    <xf numFmtId="0" fontId="13" fillId="0" borderId="60" xfId="0" applyFont="1" applyBorder="1" applyAlignment="1">
      <alignment horizontal="center" vertical="center" wrapText="1"/>
    </xf>
    <xf numFmtId="0" fontId="13" fillId="0" borderId="61" xfId="0" applyFont="1" applyBorder="1" applyAlignment="1">
      <alignment horizontal="center" vertical="center" wrapText="1"/>
    </xf>
    <xf numFmtId="0" fontId="13" fillId="0" borderId="62" xfId="0" applyFont="1" applyBorder="1" applyAlignment="1">
      <alignment horizontal="center" vertical="center" wrapText="1"/>
    </xf>
    <xf numFmtId="0" fontId="14" fillId="2" borderId="2" xfId="6" applyNumberFormat="1" applyFont="1" applyFill="1" applyBorder="1" applyAlignment="1">
      <alignment horizontal="left" vertical="top" wrapText="1"/>
    </xf>
    <xf numFmtId="0" fontId="14" fillId="2" borderId="0" xfId="6" applyNumberFormat="1" applyFont="1" applyFill="1" applyAlignment="1">
      <alignment horizontal="left" vertical="top" wrapText="1"/>
    </xf>
    <xf numFmtId="0" fontId="14" fillId="2" borderId="20" xfId="6" applyNumberFormat="1" applyFont="1" applyFill="1" applyBorder="1" applyAlignment="1">
      <alignment horizontal="left" vertical="top" wrapText="1"/>
    </xf>
    <xf numFmtId="0" fontId="13" fillId="0" borderId="21" xfId="0" applyFont="1" applyBorder="1" applyAlignment="1">
      <alignment horizontal="center" vertical="center"/>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8" fillId="2" borderId="32" xfId="6" applyNumberFormat="1" applyFont="1" applyFill="1" applyBorder="1" applyAlignment="1">
      <alignment horizontal="left" vertical="top" wrapText="1"/>
    </xf>
    <xf numFmtId="0" fontId="8" fillId="2" borderId="33" xfId="6" applyNumberFormat="1" applyFont="1" applyFill="1" applyBorder="1" applyAlignment="1">
      <alignment horizontal="left" vertical="top" wrapText="1"/>
    </xf>
    <xf numFmtId="0" fontId="8" fillId="2" borderId="34" xfId="6" applyNumberFormat="1" applyFont="1" applyFill="1" applyBorder="1" applyAlignment="1">
      <alignment horizontal="left" vertical="top" wrapText="1"/>
    </xf>
    <xf numFmtId="0" fontId="30" fillId="0" borderId="56" xfId="0" applyFont="1" applyBorder="1" applyAlignment="1">
      <alignment horizontal="center" vertical="center"/>
    </xf>
    <xf numFmtId="0" fontId="30" fillId="0" borderId="65" xfId="0" applyFont="1" applyBorder="1" applyAlignment="1">
      <alignment horizontal="center" vertical="center"/>
    </xf>
    <xf numFmtId="166" fontId="13" fillId="0" borderId="0" xfId="1" applyNumberFormat="1" applyFont="1" applyBorder="1" applyAlignment="1">
      <alignment horizontal="center"/>
    </xf>
    <xf numFmtId="43" fontId="13" fillId="0" borderId="33" xfId="1" applyFont="1" applyBorder="1" applyAlignment="1">
      <alignment horizontal="center" vertical="top" wrapText="1"/>
    </xf>
    <xf numFmtId="0" fontId="8" fillId="2" borderId="2" xfId="6" applyNumberFormat="1" applyFont="1" applyFill="1" applyBorder="1" applyAlignment="1">
      <alignment horizontal="left" vertical="center" wrapText="1"/>
    </xf>
    <xf numFmtId="0" fontId="8" fillId="0" borderId="0" xfId="0" applyFont="1" applyAlignment="1">
      <alignment horizontal="left" vertical="center" wrapText="1"/>
    </xf>
    <xf numFmtId="0" fontId="8" fillId="0" borderId="20" xfId="0" applyFont="1" applyBorder="1" applyAlignment="1">
      <alignment horizontal="left" vertical="center" wrapText="1"/>
    </xf>
    <xf numFmtId="0" fontId="13" fillId="0" borderId="0" xfId="0" applyFont="1" applyAlignment="1">
      <alignment horizontal="left"/>
    </xf>
    <xf numFmtId="0" fontId="13" fillId="0" borderId="0" xfId="0" applyFont="1" applyAlignment="1">
      <alignment horizontal="left" vertical="top" wrapText="1"/>
    </xf>
    <xf numFmtId="0" fontId="13" fillId="0" borderId="18" xfId="0" applyFont="1" applyBorder="1" applyAlignment="1">
      <alignment horizontal="center" vertical="center" wrapText="1"/>
    </xf>
    <xf numFmtId="0" fontId="13" fillId="0" borderId="63" xfId="0" applyFont="1" applyBorder="1" applyAlignment="1">
      <alignment horizontal="center" vertical="center" wrapText="1"/>
    </xf>
    <xf numFmtId="4" fontId="13" fillId="0" borderId="18" xfId="1" applyNumberFormat="1" applyFont="1" applyBorder="1" applyAlignment="1">
      <alignment horizontal="center" vertical="center" wrapText="1"/>
    </xf>
    <xf numFmtId="4" fontId="13" fillId="0" borderId="63" xfId="1" applyNumberFormat="1" applyFont="1" applyBorder="1" applyAlignment="1">
      <alignment horizontal="center" vertical="center" wrapText="1"/>
    </xf>
    <xf numFmtId="0" fontId="13" fillId="0" borderId="19" xfId="0" applyFont="1" applyBorder="1" applyAlignment="1">
      <alignment horizontal="center" vertical="center" wrapText="1"/>
    </xf>
    <xf numFmtId="0" fontId="13" fillId="0" borderId="64"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59" xfId="0" applyFont="1" applyBorder="1" applyAlignment="1">
      <alignment horizontal="center" vertical="center" wrapText="1"/>
    </xf>
    <xf numFmtId="0" fontId="31" fillId="0" borderId="43" xfId="0" applyFont="1" applyBorder="1" applyAlignment="1">
      <alignment horizontal="left" vertical="center" wrapText="1"/>
    </xf>
    <xf numFmtId="0" fontId="31" fillId="0" borderId="58" xfId="0" applyFont="1" applyBorder="1" applyAlignment="1">
      <alignment horizontal="center" vertical="center" wrapText="1"/>
    </xf>
    <xf numFmtId="0" fontId="21" fillId="0" borderId="54" xfId="0" applyFont="1" applyBorder="1" applyAlignment="1">
      <alignment horizontal="center" vertical="center" wrapText="1"/>
    </xf>
    <xf numFmtId="0" fontId="26" fillId="0" borderId="2" xfId="6" quotePrefix="1" applyNumberFormat="1" applyFont="1" applyBorder="1" applyAlignment="1">
      <alignment horizontal="left" vertical="top" wrapText="1"/>
    </xf>
    <xf numFmtId="0" fontId="26" fillId="0" borderId="0" xfId="6" applyNumberFormat="1" applyFont="1" applyAlignment="1">
      <alignment horizontal="left" vertical="top" wrapText="1"/>
    </xf>
    <xf numFmtId="0" fontId="26" fillId="0" borderId="20" xfId="6" applyNumberFormat="1" applyFont="1" applyBorder="1" applyAlignment="1">
      <alignment horizontal="left" vertical="top" wrapText="1"/>
    </xf>
    <xf numFmtId="0" fontId="26" fillId="0" borderId="0" xfId="6" quotePrefix="1" applyNumberFormat="1" applyFont="1" applyAlignment="1">
      <alignment horizontal="left" vertical="top" wrapText="1"/>
    </xf>
    <xf numFmtId="0" fontId="26" fillId="0" borderId="20" xfId="6" quotePrefix="1" applyNumberFormat="1" applyFont="1" applyBorder="1" applyAlignment="1">
      <alignment horizontal="left" vertical="top" wrapText="1"/>
    </xf>
    <xf numFmtId="0" fontId="26" fillId="0" borderId="32" xfId="6" quotePrefix="1" applyNumberFormat="1" applyFont="1" applyBorder="1" applyAlignment="1">
      <alignment horizontal="left" vertical="top" wrapText="1"/>
    </xf>
    <xf numFmtId="0" fontId="26" fillId="0" borderId="33" xfId="6" quotePrefix="1" applyNumberFormat="1" applyFont="1" applyBorder="1" applyAlignment="1">
      <alignment horizontal="left" vertical="top" wrapText="1"/>
    </xf>
    <xf numFmtId="0" fontId="26" fillId="0" borderId="34" xfId="6" quotePrefix="1" applyNumberFormat="1" applyFont="1" applyBorder="1" applyAlignment="1">
      <alignment horizontal="left" vertical="top" wrapText="1"/>
    </xf>
    <xf numFmtId="0" fontId="23" fillId="0" borderId="2" xfId="6" applyNumberFormat="1" applyFont="1" applyBorder="1" applyAlignment="1">
      <alignment horizontal="left" vertical="top" wrapText="1"/>
    </xf>
    <xf numFmtId="0" fontId="23" fillId="0" borderId="0" xfId="6" applyNumberFormat="1" applyFont="1" applyAlignment="1">
      <alignment horizontal="left" vertical="top" wrapText="1"/>
    </xf>
    <xf numFmtId="0" fontId="23" fillId="0" borderId="20" xfId="6" applyNumberFormat="1" applyFont="1" applyBorder="1" applyAlignment="1">
      <alignment horizontal="left" vertical="top" wrapText="1"/>
    </xf>
    <xf numFmtId="0" fontId="26" fillId="0" borderId="33" xfId="6" applyNumberFormat="1" applyFont="1" applyBorder="1" applyAlignment="1">
      <alignment horizontal="left" vertical="top" wrapText="1"/>
    </xf>
    <xf numFmtId="0" fontId="26" fillId="0" borderId="34" xfId="6" applyNumberFormat="1" applyFont="1" applyBorder="1" applyAlignment="1">
      <alignment horizontal="left" vertical="top" wrapText="1"/>
    </xf>
    <xf numFmtId="0" fontId="26" fillId="0" borderId="32" xfId="6" applyNumberFormat="1" applyFont="1" applyBorder="1" applyAlignment="1">
      <alignment horizontal="left" vertical="center" wrapText="1"/>
    </xf>
    <xf numFmtId="0" fontId="26" fillId="0" borderId="33" xfId="6" applyNumberFormat="1" applyFont="1" applyBorder="1" applyAlignment="1">
      <alignment horizontal="left" vertical="center" wrapText="1"/>
    </xf>
    <xf numFmtId="0" fontId="26" fillId="0" borderId="34" xfId="6" applyNumberFormat="1" applyFont="1" applyBorder="1" applyAlignment="1">
      <alignment horizontal="left" vertical="center" wrapText="1"/>
    </xf>
    <xf numFmtId="0" fontId="21" fillId="0" borderId="2" xfId="0" applyFont="1" applyBorder="1" applyAlignment="1">
      <alignment horizontal="left" vertical="center" wrapText="1"/>
    </xf>
    <xf numFmtId="0" fontId="21" fillId="0" borderId="0" xfId="0" applyFont="1" applyAlignment="1">
      <alignment horizontal="left" vertical="center" wrapText="1"/>
    </xf>
    <xf numFmtId="0" fontId="21" fillId="0" borderId="20" xfId="0" applyFont="1" applyBorder="1" applyAlignment="1">
      <alignment horizontal="left" vertical="center" wrapText="1"/>
    </xf>
    <xf numFmtId="0" fontId="26" fillId="0" borderId="1" xfId="6" applyNumberFormat="1" applyFont="1" applyBorder="1" applyAlignment="1">
      <alignment horizontal="left" vertical="top" wrapText="1"/>
    </xf>
    <xf numFmtId="0" fontId="26" fillId="0" borderId="2" xfId="6" applyNumberFormat="1" applyFont="1" applyBorder="1" applyAlignment="1">
      <alignment horizontal="left" vertical="top" wrapText="1"/>
    </xf>
    <xf numFmtId="0" fontId="26" fillId="0" borderId="32" xfId="6" applyNumberFormat="1" applyFont="1" applyBorder="1" applyAlignment="1">
      <alignment horizontal="left" vertical="top" wrapText="1"/>
    </xf>
    <xf numFmtId="0" fontId="19" fillId="0" borderId="2" xfId="6" applyNumberFormat="1" applyFont="1" applyBorder="1" applyAlignment="1">
      <alignment horizontal="left" vertical="center" wrapText="1"/>
    </xf>
    <xf numFmtId="0" fontId="19" fillId="0" borderId="0" xfId="6" applyNumberFormat="1" applyFont="1" applyAlignment="1">
      <alignment horizontal="left" vertical="center" wrapText="1"/>
    </xf>
    <xf numFmtId="0" fontId="19" fillId="0" borderId="20" xfId="6" applyNumberFormat="1" applyFont="1" applyBorder="1" applyAlignment="1">
      <alignment horizontal="left" vertical="center" wrapText="1"/>
    </xf>
    <xf numFmtId="0" fontId="24" fillId="0" borderId="2" xfId="6" applyNumberFormat="1" applyFont="1" applyBorder="1" applyAlignment="1">
      <alignment horizontal="left" vertical="top" wrapText="1"/>
    </xf>
    <xf numFmtId="0" fontId="24" fillId="0" borderId="0" xfId="6" applyNumberFormat="1" applyFont="1" applyAlignment="1">
      <alignment horizontal="left" vertical="top" wrapText="1"/>
    </xf>
    <xf numFmtId="0" fontId="24" fillId="0" borderId="20" xfId="6" applyNumberFormat="1" applyFont="1" applyBorder="1" applyAlignment="1">
      <alignment horizontal="left" vertical="top" wrapText="1"/>
    </xf>
    <xf numFmtId="0" fontId="21" fillId="0" borderId="2" xfId="6" applyNumberFormat="1" applyFont="1" applyBorder="1" applyAlignment="1">
      <alignment horizontal="left" vertical="top" wrapText="1"/>
    </xf>
    <xf numFmtId="0" fontId="21" fillId="0" borderId="0" xfId="6" applyNumberFormat="1" applyFont="1" applyAlignment="1">
      <alignment horizontal="left" vertical="top" wrapText="1"/>
    </xf>
    <xf numFmtId="0" fontId="21" fillId="0" borderId="20" xfId="6" applyNumberFormat="1" applyFont="1" applyBorder="1" applyAlignment="1">
      <alignment horizontal="left" vertical="top" wrapText="1"/>
    </xf>
    <xf numFmtId="0" fontId="21" fillId="0" borderId="32" xfId="6" applyNumberFormat="1" applyFont="1" applyBorder="1" applyAlignment="1">
      <alignment horizontal="left" vertical="top" wrapText="1"/>
    </xf>
    <xf numFmtId="0" fontId="21" fillId="0" borderId="33" xfId="6" applyNumberFormat="1" applyFont="1" applyBorder="1" applyAlignment="1">
      <alignment horizontal="left" vertical="top" wrapText="1"/>
    </xf>
    <xf numFmtId="0" fontId="21" fillId="0" borderId="34" xfId="6" applyNumberFormat="1" applyFont="1" applyBorder="1" applyAlignment="1">
      <alignment horizontal="left" vertical="top" wrapText="1"/>
    </xf>
    <xf numFmtId="0" fontId="23" fillId="0" borderId="2" xfId="6" applyNumberFormat="1" applyFont="1" applyBorder="1" applyAlignment="1">
      <alignment horizontal="left" vertical="center" wrapText="1"/>
    </xf>
    <xf numFmtId="0" fontId="23" fillId="0" borderId="0" xfId="6" applyNumberFormat="1" applyFont="1" applyAlignment="1">
      <alignment horizontal="left" vertical="center" wrapText="1"/>
    </xf>
    <xf numFmtId="0" fontId="23" fillId="0" borderId="20" xfId="6" applyNumberFormat="1" applyFont="1" applyBorder="1" applyAlignment="1">
      <alignment horizontal="left" vertical="center" wrapText="1"/>
    </xf>
    <xf numFmtId="43" fontId="21" fillId="0" borderId="43" xfId="0" applyNumberFormat="1" applyFont="1" applyBorder="1" applyAlignment="1">
      <alignment horizontal="center" vertical="center" wrapText="1"/>
    </xf>
    <xf numFmtId="0" fontId="21" fillId="0" borderId="43" xfId="0" applyFont="1" applyBorder="1" applyAlignment="1">
      <alignment horizontal="center" vertical="center" wrapText="1"/>
    </xf>
    <xf numFmtId="0" fontId="19" fillId="0" borderId="21" xfId="0" applyFont="1" applyBorder="1" applyAlignment="1">
      <alignment horizontal="center" vertical="center"/>
    </xf>
    <xf numFmtId="0" fontId="19" fillId="0" borderId="22" xfId="0" applyFont="1" applyBorder="1" applyAlignment="1">
      <alignment horizontal="center" vertical="center"/>
    </xf>
    <xf numFmtId="0" fontId="19" fillId="0" borderId="23" xfId="0" applyFont="1" applyBorder="1" applyAlignment="1">
      <alignment horizontal="center" vertical="center"/>
    </xf>
    <xf numFmtId="43" fontId="21" fillId="0" borderId="58" xfId="0" applyNumberFormat="1" applyFont="1" applyBorder="1" applyAlignment="1">
      <alignment horizontal="center" vertical="center" wrapText="1"/>
    </xf>
    <xf numFmtId="0" fontId="25" fillId="0" borderId="2" xfId="6" applyNumberFormat="1" applyFont="1" applyBorder="1" applyAlignment="1">
      <alignment horizontal="left" vertical="top" wrapText="1"/>
    </xf>
    <xf numFmtId="0" fontId="25" fillId="0" borderId="0" xfId="6" applyNumberFormat="1" applyFont="1" applyAlignment="1">
      <alignment horizontal="left" vertical="top" wrapText="1"/>
    </xf>
    <xf numFmtId="0" fontId="25" fillId="0" borderId="20" xfId="6" applyNumberFormat="1" applyFont="1" applyBorder="1" applyAlignment="1">
      <alignment horizontal="left" vertical="top" wrapText="1"/>
    </xf>
    <xf numFmtId="0" fontId="25" fillId="0" borderId="2" xfId="6" applyNumberFormat="1" applyFont="1" applyBorder="1" applyAlignment="1">
      <alignment horizontal="left" vertical="center" wrapText="1"/>
    </xf>
    <xf numFmtId="0" fontId="25" fillId="0" borderId="0" xfId="6" applyNumberFormat="1" applyFont="1" applyAlignment="1">
      <alignment horizontal="left" vertical="center" wrapText="1"/>
    </xf>
    <xf numFmtId="0" fontId="25" fillId="0" borderId="20" xfId="6" applyNumberFormat="1" applyFont="1" applyBorder="1" applyAlignment="1">
      <alignment horizontal="left" vertical="center" wrapText="1"/>
    </xf>
    <xf numFmtId="0" fontId="26" fillId="0" borderId="0" xfId="6" applyNumberFormat="1" applyFont="1" applyAlignment="1">
      <alignment horizontal="left" vertical="center" wrapText="1"/>
    </xf>
    <xf numFmtId="0" fontId="26" fillId="0" borderId="20" xfId="6" applyNumberFormat="1" applyFont="1" applyBorder="1" applyAlignment="1">
      <alignment horizontal="left" vertical="center" wrapText="1"/>
    </xf>
    <xf numFmtId="0" fontId="26" fillId="0" borderId="2" xfId="6" applyNumberFormat="1" applyFont="1" applyBorder="1" applyAlignment="1">
      <alignment horizontal="left" vertical="center" wrapText="1"/>
    </xf>
    <xf numFmtId="2" fontId="21" fillId="0" borderId="32" xfId="6" applyNumberFormat="1" applyFont="1" applyBorder="1" applyAlignment="1">
      <alignment horizontal="left" vertical="top" wrapText="1"/>
    </xf>
    <xf numFmtId="2" fontId="21" fillId="0" borderId="33" xfId="6" applyNumberFormat="1" applyFont="1" applyBorder="1" applyAlignment="1">
      <alignment horizontal="left" vertical="top" wrapText="1"/>
    </xf>
    <xf numFmtId="2" fontId="21" fillId="0" borderId="34" xfId="6" applyNumberFormat="1" applyFont="1" applyBorder="1" applyAlignment="1">
      <alignment horizontal="left" vertical="top" wrapText="1"/>
    </xf>
    <xf numFmtId="0" fontId="21" fillId="0" borderId="32" xfId="6" applyNumberFormat="1" applyFont="1" applyBorder="1" applyAlignment="1">
      <alignment vertical="top" wrapText="1"/>
    </xf>
    <xf numFmtId="0" fontId="21" fillId="0" borderId="33" xfId="6" applyNumberFormat="1" applyFont="1" applyBorder="1" applyAlignment="1">
      <alignment vertical="top" wrapText="1"/>
    </xf>
    <xf numFmtId="0" fontId="21" fillId="0" borderId="34" xfId="6" applyNumberFormat="1" applyFont="1" applyBorder="1" applyAlignment="1">
      <alignment vertical="top" wrapText="1"/>
    </xf>
    <xf numFmtId="0" fontId="23" fillId="0" borderId="33" xfId="6" applyNumberFormat="1" applyFont="1" applyBorder="1" applyAlignment="1">
      <alignment horizontal="left" vertical="top" wrapText="1"/>
    </xf>
    <xf numFmtId="0" fontId="23" fillId="0" borderId="34" xfId="6" applyNumberFormat="1" applyFont="1" applyBorder="1" applyAlignment="1">
      <alignment horizontal="left" vertical="top" wrapText="1"/>
    </xf>
    <xf numFmtId="0" fontId="23" fillId="0" borderId="26" xfId="6" applyNumberFormat="1" applyFont="1" applyBorder="1" applyAlignment="1">
      <alignment horizontal="left" vertical="center" wrapText="1"/>
    </xf>
    <xf numFmtId="0" fontId="23" fillId="0" borderId="16" xfId="6" applyNumberFormat="1" applyFont="1" applyBorder="1" applyAlignment="1">
      <alignment horizontal="left" vertical="center" wrapText="1"/>
    </xf>
    <xf numFmtId="0" fontId="23" fillId="0" borderId="27" xfId="6" applyNumberFormat="1" applyFont="1" applyBorder="1" applyAlignment="1">
      <alignment horizontal="left" vertical="center" wrapText="1"/>
    </xf>
    <xf numFmtId="43" fontId="21" fillId="0" borderId="58" xfId="0" applyNumberFormat="1" applyFont="1" applyBorder="1" applyAlignment="1">
      <alignment vertical="center" wrapText="1"/>
    </xf>
    <xf numFmtId="43" fontId="21" fillId="0" borderId="43" xfId="0" applyNumberFormat="1" applyFont="1" applyBorder="1" applyAlignment="1">
      <alignment vertical="center" wrapText="1"/>
    </xf>
    <xf numFmtId="43" fontId="21" fillId="0" borderId="54" xfId="0" applyNumberFormat="1" applyFont="1" applyBorder="1" applyAlignment="1">
      <alignment vertical="center" wrapText="1"/>
    </xf>
    <xf numFmtId="0" fontId="21" fillId="0" borderId="32" xfId="6" applyNumberFormat="1" applyFont="1" applyBorder="1" applyAlignment="1">
      <alignment horizontal="left" vertical="center" wrapText="1"/>
    </xf>
    <xf numFmtId="0" fontId="21" fillId="0" borderId="33" xfId="6" applyNumberFormat="1" applyFont="1" applyBorder="1" applyAlignment="1">
      <alignment horizontal="left" vertical="center" wrapText="1"/>
    </xf>
    <xf numFmtId="0" fontId="21" fillId="0" borderId="34" xfId="6" applyNumberFormat="1" applyFont="1" applyBorder="1" applyAlignment="1">
      <alignment horizontal="left" vertical="center" wrapText="1"/>
    </xf>
    <xf numFmtId="0" fontId="24" fillId="0" borderId="2" xfId="6" applyNumberFormat="1" applyFont="1" applyBorder="1" applyAlignment="1">
      <alignment horizontal="left" vertical="center" wrapText="1"/>
    </xf>
    <xf numFmtId="0" fontId="24" fillId="0" borderId="0" xfId="6" applyNumberFormat="1" applyFont="1" applyAlignment="1">
      <alignment horizontal="left" vertical="center" wrapText="1"/>
    </xf>
    <xf numFmtId="0" fontId="24" fillId="0" borderId="20" xfId="6" applyNumberFormat="1" applyFont="1" applyBorder="1" applyAlignment="1">
      <alignment horizontal="left" vertical="center" wrapText="1"/>
    </xf>
    <xf numFmtId="0" fontId="21" fillId="0" borderId="38" xfId="6" applyNumberFormat="1" applyFont="1" applyBorder="1" applyAlignment="1">
      <alignment horizontal="left" vertical="top" wrapText="1"/>
    </xf>
    <xf numFmtId="0" fontId="21" fillId="0" borderId="2" xfId="6" applyNumberFormat="1" applyFont="1" applyBorder="1" applyAlignment="1">
      <alignment vertical="center" wrapText="1"/>
    </xf>
    <xf numFmtId="0" fontId="23" fillId="0" borderId="0" xfId="6" applyNumberFormat="1" applyFont="1" applyAlignment="1">
      <alignment vertical="center" wrapText="1"/>
    </xf>
    <xf numFmtId="0" fontId="23" fillId="0" borderId="20" xfId="6" applyNumberFormat="1" applyFont="1" applyBorder="1" applyAlignment="1">
      <alignment vertical="center" wrapText="1"/>
    </xf>
    <xf numFmtId="166" fontId="12" fillId="0" borderId="0" xfId="1" applyNumberFormat="1" applyFont="1" applyBorder="1" applyAlignment="1">
      <alignment horizontal="center" vertical="center"/>
    </xf>
    <xf numFmtId="43" fontId="12" fillId="0" borderId="33" xfId="1" applyFont="1" applyBorder="1" applyAlignment="1">
      <alignment horizontal="center" vertical="center" wrapText="1"/>
    </xf>
    <xf numFmtId="43" fontId="19" fillId="0" borderId="29" xfId="1" applyFont="1" applyBorder="1" applyAlignment="1">
      <alignment horizontal="center" vertical="center" wrapText="1"/>
    </xf>
    <xf numFmtId="43" fontId="19" fillId="0" borderId="24" xfId="1" applyFont="1" applyBorder="1" applyAlignment="1">
      <alignment horizontal="center" vertical="center" wrapText="1"/>
    </xf>
    <xf numFmtId="43" fontId="19" fillId="0" borderId="25" xfId="1" applyFont="1" applyBorder="1" applyAlignment="1">
      <alignment horizontal="center" vertical="center" wrapText="1"/>
    </xf>
    <xf numFmtId="43" fontId="19" fillId="0" borderId="8" xfId="1" applyFont="1" applyBorder="1" applyAlignment="1">
      <alignment horizontal="center" vertical="center" wrapText="1"/>
    </xf>
    <xf numFmtId="0" fontId="21" fillId="0" borderId="2" xfId="6" applyNumberFormat="1" applyFont="1" applyBorder="1" applyAlignment="1">
      <alignment horizontal="left" vertical="center" wrapText="1"/>
    </xf>
    <xf numFmtId="0" fontId="21" fillId="0" borderId="0" xfId="6" applyNumberFormat="1" applyFont="1" applyAlignment="1">
      <alignment horizontal="left" vertical="center" wrapText="1"/>
    </xf>
    <xf numFmtId="0" fontId="21" fillId="0" borderId="20" xfId="6" applyNumberFormat="1" applyFont="1" applyBorder="1" applyAlignment="1">
      <alignment horizontal="left" vertical="center" wrapText="1"/>
    </xf>
    <xf numFmtId="0" fontId="19" fillId="0" borderId="0" xfId="0" applyFont="1" applyAlignment="1">
      <alignment horizontal="left"/>
    </xf>
    <xf numFmtId="0" fontId="19" fillId="0" borderId="0" xfId="0" applyFont="1" applyAlignment="1">
      <alignment horizontal="left" vertical="top" wrapText="1"/>
    </xf>
    <xf numFmtId="0" fontId="19" fillId="0" borderId="17" xfId="0" applyFont="1" applyBorder="1" applyAlignment="1">
      <alignment horizontal="center" vertical="center" wrapText="1"/>
    </xf>
    <xf numFmtId="0" fontId="19" fillId="0" borderId="59"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60"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6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63" xfId="0" applyFont="1" applyBorder="1" applyAlignment="1">
      <alignment horizontal="center" vertical="center" wrapText="1"/>
    </xf>
    <xf numFmtId="4" fontId="19" fillId="0" borderId="18" xfId="1" applyNumberFormat="1" applyFont="1" applyBorder="1" applyAlignment="1">
      <alignment horizontal="center" vertical="center" wrapText="1"/>
    </xf>
    <xf numFmtId="4" fontId="19" fillId="0" borderId="63" xfId="1" applyNumberFormat="1" applyFont="1" applyBorder="1" applyAlignment="1">
      <alignment horizontal="center" vertical="center" wrapText="1"/>
    </xf>
    <xf numFmtId="0" fontId="19" fillId="0" borderId="19" xfId="0" applyFont="1" applyBorder="1" applyAlignment="1">
      <alignment horizontal="center" vertical="center" wrapText="1"/>
    </xf>
    <xf numFmtId="0" fontId="19" fillId="0" borderId="64" xfId="0" applyFont="1" applyBorder="1" applyAlignment="1">
      <alignment horizontal="center" vertical="center" wrapText="1"/>
    </xf>
    <xf numFmtId="0" fontId="26" fillId="0" borderId="32" xfId="6" quotePrefix="1" applyNumberFormat="1" applyFont="1" applyBorder="1" applyAlignment="1">
      <alignment horizontal="left" vertical="center" wrapText="1"/>
    </xf>
    <xf numFmtId="0" fontId="19" fillId="0" borderId="3" xfId="0" applyFont="1" applyBorder="1" applyAlignment="1">
      <alignment horizontal="center" vertical="center" wrapText="1"/>
    </xf>
    <xf numFmtId="0" fontId="26" fillId="0" borderId="2" xfId="6" quotePrefix="1" applyNumberFormat="1" applyFont="1" applyBorder="1" applyAlignment="1">
      <alignment horizontal="left" vertical="center" wrapText="1"/>
    </xf>
    <xf numFmtId="0" fontId="26" fillId="0" borderId="0" xfId="6" quotePrefix="1" applyNumberFormat="1" applyFont="1" applyAlignment="1">
      <alignment horizontal="left" vertical="center" wrapText="1"/>
    </xf>
    <xf numFmtId="0" fontId="26" fillId="0" borderId="20" xfId="6" quotePrefix="1" applyNumberFormat="1" applyFont="1" applyBorder="1" applyAlignment="1">
      <alignment horizontal="left" vertical="center" wrapText="1"/>
    </xf>
    <xf numFmtId="0" fontId="5" fillId="0" borderId="0" xfId="0" applyFont="1" applyAlignment="1">
      <alignment horizontal="left"/>
    </xf>
    <xf numFmtId="166" fontId="10" fillId="0" borderId="0" xfId="1" applyNumberFormat="1" applyFont="1" applyBorder="1" applyAlignment="1">
      <alignment horizontal="center"/>
    </xf>
    <xf numFmtId="0" fontId="5" fillId="0" borderId="0" xfId="0" applyFont="1" applyAlignment="1">
      <alignment horizontal="left" vertical="top" wrapText="1"/>
    </xf>
    <xf numFmtId="0" fontId="5" fillId="0" borderId="17"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7" xfId="0" applyFont="1" applyBorder="1" applyAlignment="1">
      <alignment horizontal="center" vertical="center" wrapText="1"/>
    </xf>
    <xf numFmtId="4" fontId="5" fillId="0" borderId="18" xfId="1" applyNumberFormat="1" applyFont="1" applyBorder="1" applyAlignment="1">
      <alignment horizontal="center" vertical="center" wrapText="1"/>
    </xf>
    <xf numFmtId="4" fontId="5" fillId="0" borderId="7" xfId="1" applyNumberFormat="1" applyFont="1" applyBorder="1" applyAlignment="1">
      <alignment horizontal="center" vertical="center" wrapText="1"/>
    </xf>
    <xf numFmtId="0" fontId="5" fillId="0" borderId="19" xfId="0" applyFont="1" applyBorder="1" applyAlignment="1">
      <alignment horizontal="center" vertical="center" wrapText="1"/>
    </xf>
    <xf numFmtId="0" fontId="5" fillId="0" borderId="12" xfId="0" applyFont="1" applyBorder="1" applyAlignment="1">
      <alignment horizontal="center" vertical="center" wrapText="1"/>
    </xf>
    <xf numFmtId="43" fontId="5" fillId="0" borderId="29" xfId="1" applyFont="1" applyBorder="1" applyAlignment="1">
      <alignment horizontal="center" vertical="center" wrapText="1"/>
    </xf>
    <xf numFmtId="43" fontId="5" fillId="0" borderId="24" xfId="1" applyFont="1" applyBorder="1" applyAlignment="1">
      <alignment horizontal="center" vertical="center" wrapText="1"/>
    </xf>
    <xf numFmtId="43" fontId="5" fillId="0" borderId="25" xfId="1" applyFont="1" applyBorder="1" applyAlignment="1">
      <alignment horizontal="center" vertical="center" wrapText="1"/>
    </xf>
    <xf numFmtId="43" fontId="5" fillId="0" borderId="8" xfId="1" applyFont="1" applyBorder="1" applyAlignment="1">
      <alignment horizontal="center" vertical="center" wrapText="1"/>
    </xf>
    <xf numFmtId="43" fontId="5" fillId="0" borderId="30" xfId="1" applyFont="1" applyBorder="1" applyAlignment="1">
      <alignment horizontal="center" vertical="center" wrapText="1"/>
    </xf>
    <xf numFmtId="0" fontId="1" fillId="2" borderId="2" xfId="6" applyNumberFormat="1" applyFont="1" applyFill="1" applyBorder="1" applyAlignment="1">
      <alignment horizontal="left" vertical="center" wrapText="1"/>
    </xf>
    <xf numFmtId="0" fontId="1" fillId="0" borderId="0" xfId="0" applyFont="1" applyAlignment="1">
      <alignment horizontal="left" vertical="center" wrapText="1"/>
    </xf>
    <xf numFmtId="0" fontId="1" fillId="0" borderId="20" xfId="0" applyFont="1" applyBorder="1" applyAlignment="1">
      <alignment horizontal="left" vertical="center" wrapText="1"/>
    </xf>
    <xf numFmtId="0" fontId="6" fillId="2" borderId="2" xfId="6" applyNumberFormat="1" applyFont="1" applyFill="1" applyBorder="1" applyAlignment="1">
      <alignment horizontal="left" vertical="top" wrapText="1"/>
    </xf>
    <xf numFmtId="0" fontId="6" fillId="2" borderId="0" xfId="6" applyNumberFormat="1" applyFont="1" applyFill="1" applyAlignment="1">
      <alignment horizontal="left" vertical="top" wrapText="1"/>
    </xf>
    <xf numFmtId="0" fontId="6" fillId="2" borderId="20" xfId="6" applyNumberFormat="1" applyFont="1" applyFill="1" applyBorder="1" applyAlignment="1">
      <alignment horizontal="left" vertical="top" wrapText="1"/>
    </xf>
    <xf numFmtId="0" fontId="7" fillId="2" borderId="2" xfId="6" applyNumberFormat="1" applyFont="1" applyFill="1" applyBorder="1" applyAlignment="1">
      <alignment horizontal="left" vertical="center" wrapText="1"/>
    </xf>
    <xf numFmtId="0" fontId="7" fillId="2" borderId="0" xfId="6" applyNumberFormat="1" applyFont="1" applyFill="1" applyAlignment="1">
      <alignment horizontal="left" vertical="center" wrapText="1"/>
    </xf>
    <xf numFmtId="0" fontId="7" fillId="2" borderId="20" xfId="6" applyNumberFormat="1" applyFont="1" applyFill="1" applyBorder="1" applyAlignment="1">
      <alignment horizontal="left" vertical="center" wrapText="1"/>
    </xf>
    <xf numFmtId="43" fontId="1" fillId="0" borderId="43" xfId="0" applyNumberFormat="1" applyFont="1" applyBorder="1" applyAlignment="1">
      <alignment horizontal="center" vertical="center"/>
    </xf>
    <xf numFmtId="0" fontId="1" fillId="0" borderId="43" xfId="0" applyFont="1" applyBorder="1" applyAlignment="1">
      <alignment horizontal="center" vertical="center"/>
    </xf>
    <xf numFmtId="0" fontId="1" fillId="2" borderId="0" xfId="6" applyNumberFormat="1" applyFont="1" applyFill="1" applyAlignment="1">
      <alignment horizontal="left" vertical="center" wrapText="1"/>
    </xf>
    <xf numFmtId="0" fontId="1" fillId="2" borderId="20" xfId="6" applyNumberFormat="1" applyFont="1" applyFill="1" applyBorder="1" applyAlignment="1">
      <alignment horizontal="left" vertical="center" wrapText="1"/>
    </xf>
    <xf numFmtId="0" fontId="1" fillId="2" borderId="2" xfId="6" applyNumberFormat="1" applyFont="1" applyFill="1" applyBorder="1" applyAlignment="1">
      <alignment horizontal="left" vertical="top" wrapText="1"/>
    </xf>
    <xf numFmtId="0" fontId="1" fillId="2" borderId="0" xfId="6" applyNumberFormat="1" applyFont="1" applyFill="1" applyAlignment="1">
      <alignment horizontal="left" vertical="top" wrapText="1"/>
    </xf>
    <xf numFmtId="0" fontId="1" fillId="2" borderId="20" xfId="6" applyNumberFormat="1" applyFont="1" applyFill="1" applyBorder="1" applyAlignment="1">
      <alignment horizontal="left" vertical="top" wrapText="1"/>
    </xf>
    <xf numFmtId="0" fontId="1" fillId="2" borderId="40" xfId="6" applyNumberFormat="1" applyFont="1" applyFill="1" applyBorder="1" applyAlignment="1">
      <alignment horizontal="left" vertical="top" wrapText="1"/>
    </xf>
    <xf numFmtId="0" fontId="1" fillId="2" borderId="41" xfId="6" applyNumberFormat="1" applyFont="1" applyFill="1" applyBorder="1" applyAlignment="1">
      <alignment horizontal="left" vertical="top" wrapText="1"/>
    </xf>
    <xf numFmtId="0" fontId="1" fillId="2" borderId="42" xfId="6" applyNumberFormat="1" applyFont="1" applyFill="1" applyBorder="1" applyAlignment="1">
      <alignment horizontal="left" vertical="top" wrapText="1"/>
    </xf>
    <xf numFmtId="0" fontId="7" fillId="2" borderId="2" xfId="6" applyNumberFormat="1" applyFont="1" applyFill="1" applyBorder="1" applyAlignment="1">
      <alignment horizontal="left" vertical="top" wrapText="1"/>
    </xf>
    <xf numFmtId="0" fontId="7" fillId="2" borderId="0" xfId="6" applyNumberFormat="1" applyFont="1" applyFill="1" applyAlignment="1">
      <alignment horizontal="left" vertical="top" wrapText="1"/>
    </xf>
    <xf numFmtId="0" fontId="7" fillId="2" borderId="20" xfId="6" applyNumberFormat="1" applyFont="1" applyFill="1" applyBorder="1" applyAlignment="1">
      <alignment horizontal="left" vertical="top" wrapText="1"/>
    </xf>
    <xf numFmtId="0" fontId="1" fillId="2" borderId="2" xfId="6" applyNumberFormat="1" applyFont="1" applyFill="1" applyBorder="1" applyAlignment="1">
      <alignment vertical="center" wrapText="1"/>
    </xf>
    <xf numFmtId="0" fontId="6" fillId="2" borderId="0" xfId="6" applyNumberFormat="1" applyFont="1" applyFill="1" applyAlignment="1">
      <alignment vertical="center" wrapText="1"/>
    </xf>
    <xf numFmtId="0" fontId="6" fillId="2" borderId="20" xfId="6" applyNumberFormat="1" applyFont="1" applyFill="1" applyBorder="1" applyAlignment="1">
      <alignment vertical="center" wrapText="1"/>
    </xf>
    <xf numFmtId="0" fontId="1" fillId="0" borderId="2" xfId="6" applyNumberFormat="1" applyFont="1" applyBorder="1" applyAlignment="1">
      <alignment vertical="center" wrapText="1"/>
    </xf>
    <xf numFmtId="0" fontId="6" fillId="0" borderId="0" xfId="6" applyNumberFormat="1" applyFont="1" applyAlignment="1">
      <alignment vertical="center" wrapText="1"/>
    </xf>
    <xf numFmtId="0" fontId="6" fillId="0" borderId="20" xfId="6" applyNumberFormat="1" applyFont="1" applyBorder="1" applyAlignment="1">
      <alignment vertical="center" wrapText="1"/>
    </xf>
    <xf numFmtId="0" fontId="1" fillId="2" borderId="32" xfId="6" applyNumberFormat="1" applyFont="1" applyFill="1" applyBorder="1" applyAlignment="1">
      <alignment horizontal="left" vertical="top" wrapText="1"/>
    </xf>
    <xf numFmtId="0" fontId="1" fillId="2" borderId="33" xfId="6" applyNumberFormat="1" applyFont="1" applyFill="1" applyBorder="1" applyAlignment="1">
      <alignment horizontal="left" vertical="top" wrapText="1"/>
    </xf>
    <xf numFmtId="0" fontId="1" fillId="2" borderId="34" xfId="6" applyNumberFormat="1" applyFont="1" applyFill="1" applyBorder="1" applyAlignment="1">
      <alignment horizontal="left" vertical="top" wrapText="1"/>
    </xf>
    <xf numFmtId="0" fontId="5" fillId="2" borderId="2" xfId="6" applyNumberFormat="1" applyFont="1" applyFill="1" applyBorder="1" applyAlignment="1">
      <alignment horizontal="left" vertical="center" wrapText="1"/>
    </xf>
    <xf numFmtId="0" fontId="5" fillId="2" borderId="0" xfId="6" applyNumberFormat="1" applyFont="1" applyFill="1" applyAlignment="1">
      <alignment horizontal="left" vertical="center" wrapText="1"/>
    </xf>
    <xf numFmtId="0" fontId="5" fillId="2" borderId="20" xfId="6" applyNumberFormat="1" applyFont="1" applyFill="1" applyBorder="1" applyAlignment="1">
      <alignment horizontal="left" vertical="center" wrapText="1"/>
    </xf>
    <xf numFmtId="0" fontId="1" fillId="2" borderId="38" xfId="6" applyNumberFormat="1" applyFont="1" applyFill="1" applyBorder="1" applyAlignment="1">
      <alignment horizontal="left" vertical="top" wrapText="1"/>
    </xf>
    <xf numFmtId="43" fontId="1" fillId="0" borderId="43" xfId="0" applyNumberFormat="1" applyFont="1" applyBorder="1" applyAlignment="1">
      <alignment vertical="center"/>
    </xf>
    <xf numFmtId="0" fontId="1" fillId="2" borderId="32" xfId="6" applyNumberFormat="1" applyFont="1" applyFill="1" applyBorder="1" applyAlignment="1">
      <alignment horizontal="left" vertical="center" wrapText="1"/>
    </xf>
    <xf numFmtId="0" fontId="1" fillId="2" borderId="33" xfId="6" applyNumberFormat="1" applyFont="1" applyFill="1" applyBorder="1" applyAlignment="1">
      <alignment horizontal="left" vertical="center" wrapText="1"/>
    </xf>
    <xf numFmtId="0" fontId="1" fillId="2" borderId="34" xfId="6" applyNumberFormat="1" applyFont="1" applyFill="1" applyBorder="1" applyAlignment="1">
      <alignment horizontal="left" vertical="center" wrapText="1"/>
    </xf>
    <xf numFmtId="0" fontId="6" fillId="2" borderId="41" xfId="6" applyNumberFormat="1" applyFont="1" applyFill="1" applyBorder="1" applyAlignment="1">
      <alignment horizontal="left" vertical="top" wrapText="1"/>
    </xf>
    <xf numFmtId="0" fontId="6" fillId="2" borderId="42" xfId="6" applyNumberFormat="1" applyFont="1" applyFill="1" applyBorder="1" applyAlignment="1">
      <alignment horizontal="left" vertical="top" wrapText="1"/>
    </xf>
    <xf numFmtId="0" fontId="6" fillId="2" borderId="2" xfId="6" applyNumberFormat="1" applyFont="1" applyFill="1" applyBorder="1" applyAlignment="1">
      <alignment horizontal="left" vertical="center" wrapText="1"/>
    </xf>
    <xf numFmtId="0" fontId="6" fillId="2" borderId="0" xfId="6" applyNumberFormat="1" applyFont="1" applyFill="1" applyAlignment="1">
      <alignment horizontal="left" vertical="center" wrapText="1"/>
    </xf>
    <xf numFmtId="0" fontId="6" fillId="2" borderId="20" xfId="6" applyNumberFormat="1" applyFont="1" applyFill="1" applyBorder="1" applyAlignment="1">
      <alignment horizontal="left" vertical="center" wrapText="1"/>
    </xf>
    <xf numFmtId="0" fontId="1" fillId="2" borderId="40" xfId="6" applyNumberFormat="1" applyFont="1" applyFill="1" applyBorder="1" applyAlignment="1">
      <alignment vertical="top" wrapText="1"/>
    </xf>
    <xf numFmtId="0" fontId="1" fillId="2" borderId="41" xfId="6" applyNumberFormat="1" applyFont="1" applyFill="1" applyBorder="1" applyAlignment="1">
      <alignment vertical="top" wrapText="1"/>
    </xf>
    <xf numFmtId="0" fontId="1" fillId="2" borderId="42" xfId="6" applyNumberFormat="1" applyFont="1" applyFill="1" applyBorder="1" applyAlignment="1">
      <alignment vertical="top" wrapText="1"/>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5" fillId="0" borderId="23" xfId="0" applyFont="1" applyBorder="1" applyAlignment="1">
      <alignment horizontal="center" vertical="center"/>
    </xf>
  </cellXfs>
  <cellStyles count="17">
    <cellStyle name="Comma" xfId="1" builtinId="3"/>
    <cellStyle name="Comma 2" xfId="2" xr:uid="{00000000-0005-0000-0000-000001000000}"/>
    <cellStyle name="Comma 2 2" xfId="10" xr:uid="{891D9694-E899-44ED-91EF-B77C3C882240}"/>
    <cellStyle name="Comma 3" xfId="3" xr:uid="{00000000-0005-0000-0000-000002000000}"/>
    <cellStyle name="Comma 3 2" xfId="11" xr:uid="{DB9B2CF0-8F17-48A3-80AD-1A8238E68F50}"/>
    <cellStyle name="Comma 5" xfId="4" xr:uid="{00000000-0005-0000-0000-000003000000}"/>
    <cellStyle name="Comma 5 2" xfId="12" xr:uid="{8479CC66-A858-4672-BA8F-42A1F4DE9FEA}"/>
    <cellStyle name="Normal" xfId="0" builtinId="0"/>
    <cellStyle name="Normal 2" xfId="5" xr:uid="{00000000-0005-0000-0000-000005000000}"/>
    <cellStyle name="Normal 2 2" xfId="13" xr:uid="{B3C90651-440B-4AF0-9D6D-C4BDCDB24430}"/>
    <cellStyle name="Normal 2 2 2 10" xfId="6" xr:uid="{00000000-0005-0000-0000-000006000000}"/>
    <cellStyle name="Normal 2 2 2 10 2" xfId="14" xr:uid="{BA9A9D5E-1AEC-48D9-9918-A530E1A0254C}"/>
    <cellStyle name="Normal 3" xfId="8" xr:uid="{B9E94205-3036-42D9-9AFD-DAADE670B8A3}"/>
    <cellStyle name="Normal 4" xfId="7" xr:uid="{00000000-0005-0000-0000-000007000000}"/>
    <cellStyle name="Normal 4 2" xfId="15" xr:uid="{DC75548F-EA92-41A2-BD3E-0DFE3CD2CC17}"/>
    <cellStyle name="Percent" xfId="9" builtinId="5"/>
    <cellStyle name="Percent 2" xfId="16" xr:uid="{8E3DDF47-46BC-4608-9FCC-4F2198DF32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38</xdr:row>
      <xdr:rowOff>259896</xdr:rowOff>
    </xdr:from>
    <xdr:to>
      <xdr:col>6</xdr:col>
      <xdr:colOff>505369</xdr:colOff>
      <xdr:row>39</xdr:row>
      <xdr:rowOff>355688</xdr:rowOff>
    </xdr:to>
    <xdr:pic>
      <xdr:nvPicPr>
        <xdr:cNvPr id="3" name="Picture 1" descr="Footer new.jpg">
          <a:extLst>
            <a:ext uri="{FF2B5EF4-FFF2-40B4-BE49-F238E27FC236}">
              <a16:creationId xmlns:a16="http://schemas.microsoft.com/office/drawing/2014/main" id="{CEBB649F-23C3-473C-8DA1-576C971BAE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002860"/>
          <a:ext cx="6844393" cy="461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117</xdr:row>
      <xdr:rowOff>0</xdr:rowOff>
    </xdr:from>
    <xdr:to>
      <xdr:col>13</xdr:col>
      <xdr:colOff>449036</xdr:colOff>
      <xdr:row>120</xdr:row>
      <xdr:rowOff>128067</xdr:rowOff>
    </xdr:to>
    <xdr:pic>
      <xdr:nvPicPr>
        <xdr:cNvPr id="2" name="Picture 1" descr="arcadia">
          <a:extLst>
            <a:ext uri="{FF2B5EF4-FFF2-40B4-BE49-F238E27FC236}">
              <a16:creationId xmlns:a16="http://schemas.microsoft.com/office/drawing/2014/main" id="{8419609E-4203-4405-97FB-DAC543321F10}"/>
            </a:ext>
          </a:extLst>
        </xdr:cNvPr>
        <xdr:cNvPicPr>
          <a:picLocks noChangeAspect="1"/>
        </xdr:cNvPicPr>
      </xdr:nvPicPr>
      <xdr:blipFill rotWithShape="1">
        <a:blip xmlns:r="http://schemas.openxmlformats.org/officeDocument/2006/relationships" r:embed="rId1"/>
        <a:srcRect l="1781"/>
        <a:stretch/>
      </xdr:blipFill>
      <xdr:spPr bwMode="auto">
        <a:xfrm>
          <a:off x="6972300" y="55883175"/>
          <a:ext cx="4059011" cy="613842"/>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9</xdr:col>
      <xdr:colOff>217714</xdr:colOff>
      <xdr:row>0</xdr:row>
      <xdr:rowOff>81644</xdr:rowOff>
    </xdr:from>
    <xdr:to>
      <xdr:col>14</xdr:col>
      <xdr:colOff>762000</xdr:colOff>
      <xdr:row>4</xdr:row>
      <xdr:rowOff>27215</xdr:rowOff>
    </xdr:to>
    <xdr:pic>
      <xdr:nvPicPr>
        <xdr:cNvPr id="3" name="Picture 2" descr="arcadia">
          <a:extLst>
            <a:ext uri="{FF2B5EF4-FFF2-40B4-BE49-F238E27FC236}">
              <a16:creationId xmlns:a16="http://schemas.microsoft.com/office/drawing/2014/main" id="{F54F7876-ECDD-42EE-93E0-40BC1C2EACF4}"/>
            </a:ext>
          </a:extLst>
        </xdr:cNvPr>
        <xdr:cNvPicPr>
          <a:picLocks noChangeAspect="1"/>
        </xdr:cNvPicPr>
      </xdr:nvPicPr>
      <xdr:blipFill rotWithShape="1">
        <a:blip xmlns:r="http://schemas.openxmlformats.org/officeDocument/2006/relationships" r:embed="rId1"/>
        <a:srcRect l="1781"/>
        <a:stretch/>
      </xdr:blipFill>
      <xdr:spPr bwMode="auto">
        <a:xfrm>
          <a:off x="8047264" y="81644"/>
          <a:ext cx="4068536" cy="593271"/>
        </a:xfrm>
        <a:prstGeom prst="rect">
          <a:avLst/>
        </a:prstGeom>
        <a:noFill/>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AE14D-31D6-402B-915A-76C75CAF7DEB}">
  <dimension ref="A6:L39"/>
  <sheetViews>
    <sheetView view="pageBreakPreview" zoomScaleNormal="100" zoomScaleSheetLayoutView="100" workbookViewId="0">
      <selection activeCell="I18" sqref="I18"/>
    </sheetView>
  </sheetViews>
  <sheetFormatPr defaultColWidth="9.109375" defaultRowHeight="12.6" x14ac:dyDescent="0.2"/>
  <cols>
    <col min="1" max="1" width="5.33203125" style="123" customWidth="1"/>
    <col min="2" max="2" width="9.109375" style="123" customWidth="1"/>
    <col min="3" max="4" width="9.109375" style="123"/>
    <col min="5" max="5" width="10.5546875" style="123" customWidth="1"/>
    <col min="6" max="6" width="9.109375" style="123"/>
    <col min="7" max="7" width="12.33203125" style="123" customWidth="1"/>
    <col min="8" max="8" width="9.109375" style="123"/>
    <col min="9" max="9" width="9.6640625" style="123" customWidth="1"/>
    <col min="10" max="10" width="13" style="123" customWidth="1"/>
    <col min="11" max="11" width="9.109375" style="123"/>
    <col min="12" max="12" width="14" style="123" bestFit="1" customWidth="1"/>
    <col min="13" max="16384" width="9.109375" style="123"/>
  </cols>
  <sheetData>
    <row r="6" spans="1:11" s="127" customFormat="1" x14ac:dyDescent="0.2">
      <c r="A6" s="455"/>
      <c r="B6" s="455"/>
      <c r="C6" s="455"/>
      <c r="D6" s="455"/>
      <c r="E6" s="455"/>
      <c r="F6" s="455"/>
      <c r="G6" s="455"/>
      <c r="H6" s="455"/>
      <c r="I6" s="455"/>
      <c r="J6" s="455"/>
      <c r="K6" s="455"/>
    </row>
    <row r="9" spans="1:11" x14ac:dyDescent="0.2">
      <c r="H9" s="456"/>
      <c r="I9" s="456"/>
      <c r="J9" s="456"/>
    </row>
    <row r="12" spans="1:11" x14ac:dyDescent="0.2">
      <c r="B12" s="123" t="s">
        <v>199</v>
      </c>
      <c r="D12" s="123" t="s">
        <v>195</v>
      </c>
      <c r="E12" s="123" t="s">
        <v>200</v>
      </c>
    </row>
    <row r="14" spans="1:11" ht="30.75" customHeight="1" x14ac:dyDescent="0.2">
      <c r="B14" s="123" t="s">
        <v>198</v>
      </c>
      <c r="D14" s="123" t="s">
        <v>195</v>
      </c>
      <c r="E14" s="458" t="s">
        <v>201</v>
      </c>
      <c r="F14" s="458"/>
      <c r="G14" s="458"/>
      <c r="H14" s="458"/>
      <c r="I14" s="458"/>
      <c r="J14" s="458"/>
    </row>
    <row r="16" spans="1:11" s="130" customFormat="1" ht="26.25" customHeight="1" x14ac:dyDescent="0.25">
      <c r="B16" s="130" t="s">
        <v>197</v>
      </c>
      <c r="D16" s="130" t="s">
        <v>195</v>
      </c>
      <c r="E16" s="457" t="s">
        <v>202</v>
      </c>
      <c r="F16" s="457"/>
      <c r="G16" s="457"/>
      <c r="H16" s="457"/>
      <c r="I16" s="457"/>
      <c r="J16" s="457"/>
    </row>
    <row r="18" spans="2:12" x14ac:dyDescent="0.2">
      <c r="B18" s="123" t="s">
        <v>196</v>
      </c>
      <c r="D18" s="123" t="s">
        <v>195</v>
      </c>
      <c r="E18" s="123" t="s">
        <v>203</v>
      </c>
    </row>
    <row r="20" spans="2:12" x14ac:dyDescent="0.2">
      <c r="B20" s="123" t="s">
        <v>170</v>
      </c>
      <c r="D20" s="123" t="s">
        <v>195</v>
      </c>
      <c r="E20" s="123" t="s">
        <v>204</v>
      </c>
    </row>
    <row r="21" spans="2:12" x14ac:dyDescent="0.2">
      <c r="B21" s="126"/>
      <c r="C21" s="126"/>
      <c r="D21" s="126"/>
      <c r="E21" s="126"/>
      <c r="F21" s="126"/>
      <c r="G21" s="126"/>
      <c r="H21" s="126"/>
      <c r="I21" s="126"/>
      <c r="J21" s="126"/>
    </row>
    <row r="23" spans="2:12" ht="6.75" customHeight="1" x14ac:dyDescent="0.2"/>
    <row r="24" spans="2:12" x14ac:dyDescent="0.2">
      <c r="B24" s="129">
        <v>1.1000000000000001</v>
      </c>
      <c r="C24" s="123" t="s">
        <v>205</v>
      </c>
      <c r="I24" s="452">
        <f>Summary!F16</f>
        <v>499566</v>
      </c>
      <c r="J24" s="452"/>
    </row>
    <row r="26" spans="2:12" x14ac:dyDescent="0.2">
      <c r="B26" s="129">
        <v>1.2</v>
      </c>
      <c r="C26" s="123" t="s">
        <v>206</v>
      </c>
      <c r="I26" s="452">
        <f>Summary!F25</f>
        <v>5518911.0518999994</v>
      </c>
      <c r="J26" s="452"/>
    </row>
    <row r="27" spans="2:12" x14ac:dyDescent="0.2">
      <c r="I27" s="126"/>
      <c r="J27" s="126"/>
    </row>
    <row r="29" spans="2:12" s="127" customFormat="1" x14ac:dyDescent="0.2">
      <c r="E29" s="453" t="s">
        <v>194</v>
      </c>
      <c r="F29" s="453"/>
      <c r="G29" s="453"/>
      <c r="I29" s="452">
        <f>SUM(I24:J28)</f>
        <v>6018477.0518999994</v>
      </c>
      <c r="J29" s="453"/>
    </row>
    <row r="30" spans="2:12" ht="6.75" customHeight="1" x14ac:dyDescent="0.2"/>
    <row r="32" spans="2:12" x14ac:dyDescent="0.2">
      <c r="B32" s="128" t="s">
        <v>193</v>
      </c>
      <c r="C32" s="123" t="s">
        <v>207</v>
      </c>
      <c r="I32" s="451">
        <f>-L32</f>
        <v>-551891.10518999991</v>
      </c>
      <c r="J32" s="451"/>
      <c r="L32" s="131">
        <f>I26*10%</f>
        <v>551891.10518999991</v>
      </c>
    </row>
    <row r="34" spans="2:12" x14ac:dyDescent="0.2">
      <c r="B34" s="128" t="s">
        <v>192</v>
      </c>
      <c r="C34" s="123" t="s">
        <v>208</v>
      </c>
      <c r="I34" s="451">
        <f>-499566</f>
        <v>-499566</v>
      </c>
      <c r="J34" s="451"/>
      <c r="L34" s="132">
        <f>I26*15%</f>
        <v>827836.65778499993</v>
      </c>
    </row>
    <row r="35" spans="2:12" s="130" customFormat="1" ht="17.25" customHeight="1" x14ac:dyDescent="0.25">
      <c r="C35" s="130" t="s">
        <v>247</v>
      </c>
    </row>
    <row r="36" spans="2:12" x14ac:dyDescent="0.2">
      <c r="B36" s="128" t="s">
        <v>191</v>
      </c>
      <c r="C36" s="123" t="s">
        <v>190</v>
      </c>
      <c r="I36" s="452">
        <f>I29+I32+I34</f>
        <v>4967019.9467099998</v>
      </c>
      <c r="J36" s="453"/>
    </row>
    <row r="38" spans="2:12" s="124" customFormat="1" ht="37.5" customHeight="1" x14ac:dyDescent="0.25">
      <c r="B38" s="125"/>
      <c r="C38" s="125"/>
      <c r="D38" s="125"/>
      <c r="E38" s="125"/>
      <c r="F38" s="125"/>
      <c r="G38" s="125"/>
      <c r="H38" s="125"/>
      <c r="I38" s="125"/>
      <c r="J38" s="125"/>
    </row>
    <row r="39" spans="2:12" s="124" customFormat="1" ht="43.5" customHeight="1" x14ac:dyDescent="0.25">
      <c r="B39" s="454"/>
      <c r="C39" s="454"/>
      <c r="D39" s="454"/>
      <c r="E39" s="454"/>
      <c r="F39" s="125"/>
      <c r="G39" s="125"/>
      <c r="H39" s="125"/>
      <c r="I39" s="125"/>
      <c r="J39" s="125"/>
    </row>
  </sheetData>
  <mergeCells count="12">
    <mergeCell ref="I32:J32"/>
    <mergeCell ref="I34:J34"/>
    <mergeCell ref="I36:J36"/>
    <mergeCell ref="B39:E39"/>
    <mergeCell ref="A6:K6"/>
    <mergeCell ref="H9:J9"/>
    <mergeCell ref="E16:J16"/>
    <mergeCell ref="I24:J24"/>
    <mergeCell ref="E29:G29"/>
    <mergeCell ref="I29:J29"/>
    <mergeCell ref="I26:J26"/>
    <mergeCell ref="E14:J14"/>
  </mergeCells>
  <printOptions horizontalCentered="1"/>
  <pageMargins left="0.2" right="0.2" top="0.3" bottom="0.3" header="0.3" footer="0.3"/>
  <pageSetup paperSize="9" scale="95"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D9FC9-790C-4221-A885-886F8BBEC99F}">
  <sheetPr>
    <tabColor theme="3" tint="0.59999389629810485"/>
  </sheetPr>
  <dimension ref="A1:P10"/>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B6" sqref="B6:E6"/>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33" t="s">
        <v>29</v>
      </c>
      <c r="B1" s="633"/>
      <c r="C1" s="633"/>
      <c r="D1" s="633"/>
      <c r="E1" s="633"/>
      <c r="F1" s="633"/>
      <c r="G1" s="633"/>
      <c r="H1" s="633"/>
      <c r="I1" s="633"/>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35" t="s">
        <v>128</v>
      </c>
      <c r="B3" s="635"/>
      <c r="C3" s="635"/>
      <c r="D3" s="635"/>
      <c r="E3" s="635"/>
      <c r="F3" s="635"/>
      <c r="G3" s="635"/>
      <c r="H3" s="635"/>
      <c r="I3" s="635"/>
      <c r="J3" s="20"/>
      <c r="K3" s="20"/>
      <c r="L3" s="24"/>
      <c r="M3" s="20"/>
      <c r="N3" s="20"/>
      <c r="O3" s="24"/>
    </row>
    <row r="4" spans="1:16" ht="18" customHeight="1" thickTop="1" x14ac:dyDescent="0.25">
      <c r="A4" s="636" t="s">
        <v>32</v>
      </c>
      <c r="B4" s="638" t="s">
        <v>0</v>
      </c>
      <c r="C4" s="639"/>
      <c r="D4" s="639"/>
      <c r="E4" s="640"/>
      <c r="F4" s="644" t="s">
        <v>34</v>
      </c>
      <c r="G4" s="644" t="s">
        <v>31</v>
      </c>
      <c r="H4" s="646" t="s">
        <v>36</v>
      </c>
      <c r="I4" s="648" t="s">
        <v>35</v>
      </c>
      <c r="J4" s="650" t="s">
        <v>91</v>
      </c>
      <c r="K4" s="651"/>
      <c r="L4" s="652"/>
      <c r="M4" s="653" t="s">
        <v>92</v>
      </c>
      <c r="N4" s="651"/>
      <c r="O4" s="654"/>
    </row>
    <row r="5" spans="1:16" ht="36.75" customHeight="1" x14ac:dyDescent="0.25">
      <c r="A5" s="637"/>
      <c r="B5" s="641"/>
      <c r="C5" s="642"/>
      <c r="D5" s="642"/>
      <c r="E5" s="643"/>
      <c r="F5" s="645"/>
      <c r="G5" s="645"/>
      <c r="H5" s="647"/>
      <c r="I5" s="649"/>
      <c r="J5" s="8" t="s">
        <v>87</v>
      </c>
      <c r="K5" s="9" t="s">
        <v>88</v>
      </c>
      <c r="L5" s="9" t="s">
        <v>90</v>
      </c>
      <c r="M5" s="9" t="s">
        <v>87</v>
      </c>
      <c r="N5" s="9" t="s">
        <v>88</v>
      </c>
      <c r="O5" s="10" t="s">
        <v>89</v>
      </c>
    </row>
    <row r="6" spans="1:16" ht="52.5" customHeight="1" x14ac:dyDescent="0.25">
      <c r="A6" s="4">
        <v>5</v>
      </c>
      <c r="B6" s="658" t="s">
        <v>162</v>
      </c>
      <c r="C6" s="659"/>
      <c r="D6" s="659"/>
      <c r="E6" s="660"/>
      <c r="F6" s="28"/>
      <c r="G6" s="12"/>
      <c r="H6" s="30"/>
      <c r="I6" s="31"/>
      <c r="J6" s="32"/>
      <c r="K6" s="33"/>
      <c r="L6" s="33"/>
      <c r="M6" s="33"/>
      <c r="N6" s="33"/>
      <c r="O6" s="31"/>
      <c r="P6" s="690">
        <f>SUM(I7:I8)</f>
        <v>89500</v>
      </c>
    </row>
    <row r="7" spans="1:16" ht="45" customHeight="1" x14ac:dyDescent="0.25">
      <c r="A7" s="4" t="s">
        <v>3</v>
      </c>
      <c r="B7" s="674" t="s">
        <v>132</v>
      </c>
      <c r="C7" s="659"/>
      <c r="D7" s="659"/>
      <c r="E7" s="660"/>
      <c r="F7" s="28">
        <v>1</v>
      </c>
      <c r="G7" s="12" t="s">
        <v>2</v>
      </c>
      <c r="H7" s="30">
        <v>77500</v>
      </c>
      <c r="I7" s="31">
        <f>H7*F7</f>
        <v>77500</v>
      </c>
      <c r="J7" s="32"/>
      <c r="K7" s="33">
        <f t="shared" ref="K7:K8" si="0">L7-J7</f>
        <v>0</v>
      </c>
      <c r="L7" s="33"/>
      <c r="M7" s="33">
        <f t="shared" ref="M7:M8" si="1">+J7*H7</f>
        <v>0</v>
      </c>
      <c r="N7" s="33">
        <f t="shared" ref="N7:N8" si="2">O7-M7</f>
        <v>0</v>
      </c>
      <c r="O7" s="31">
        <f t="shared" ref="O7:O8" si="3">H7*L7</f>
        <v>0</v>
      </c>
      <c r="P7" s="690"/>
    </row>
    <row r="8" spans="1:16" s="26" customFormat="1" ht="28.5" customHeight="1" thickBot="1" x14ac:dyDescent="0.3">
      <c r="A8" s="88" t="s">
        <v>15</v>
      </c>
      <c r="B8" s="691" t="s">
        <v>133</v>
      </c>
      <c r="C8" s="692"/>
      <c r="D8" s="692"/>
      <c r="E8" s="693"/>
      <c r="F8" s="73">
        <v>1</v>
      </c>
      <c r="G8" s="74" t="s">
        <v>134</v>
      </c>
      <c r="H8" s="75">
        <v>12000</v>
      </c>
      <c r="I8" s="76">
        <f>H8*F8</f>
        <v>12000</v>
      </c>
      <c r="J8" s="77"/>
      <c r="K8" s="78">
        <f t="shared" si="0"/>
        <v>0</v>
      </c>
      <c r="L8" s="78"/>
      <c r="M8" s="78">
        <f t="shared" si="1"/>
        <v>0</v>
      </c>
      <c r="N8" s="78">
        <f t="shared" si="2"/>
        <v>0</v>
      </c>
      <c r="O8" s="76">
        <f t="shared" si="3"/>
        <v>0</v>
      </c>
      <c r="P8" s="690"/>
    </row>
    <row r="9" spans="1:16" s="26" customFormat="1" ht="21" customHeight="1" thickTop="1" thickBot="1" x14ac:dyDescent="0.3">
      <c r="A9" s="6"/>
      <c r="B9" s="702" t="s">
        <v>86</v>
      </c>
      <c r="C9" s="703"/>
      <c r="D9" s="703"/>
      <c r="E9" s="704"/>
      <c r="F9" s="7"/>
      <c r="G9" s="7"/>
      <c r="H9" s="15"/>
      <c r="I9" s="16">
        <f>SUM(I6:I8)</f>
        <v>89500</v>
      </c>
      <c r="J9" s="17"/>
      <c r="K9" s="18"/>
      <c r="L9" s="18"/>
      <c r="M9" s="18">
        <f>SUM(M6:M8)</f>
        <v>0</v>
      </c>
      <c r="N9" s="18">
        <f>SUM(N6:N8)</f>
        <v>0</v>
      </c>
      <c r="O9" s="19">
        <f>SUM(O6:O8)</f>
        <v>0</v>
      </c>
      <c r="P9" s="70">
        <f>SUM(P6:P8)</f>
        <v>89500</v>
      </c>
    </row>
    <row r="10" spans="1:16" ht="13.8" thickTop="1" x14ac:dyDescent="0.25"/>
  </sheetData>
  <mergeCells count="15">
    <mergeCell ref="J4:L4"/>
    <mergeCell ref="M4:O4"/>
    <mergeCell ref="A1:I1"/>
    <mergeCell ref="A3:I3"/>
    <mergeCell ref="A4:A5"/>
    <mergeCell ref="B4:E5"/>
    <mergeCell ref="F4:F5"/>
    <mergeCell ref="G4:G5"/>
    <mergeCell ref="H4:H5"/>
    <mergeCell ref="I4:I5"/>
    <mergeCell ref="B9:E9"/>
    <mergeCell ref="B6:E6"/>
    <mergeCell ref="P6:P8"/>
    <mergeCell ref="B7:E7"/>
    <mergeCell ref="B8:E8"/>
  </mergeCells>
  <printOptions horizontalCentered="1"/>
  <pageMargins left="0.2" right="0.2" top="0.3" bottom="0.3" header="0" footer="0"/>
  <pageSetup paperSize="9" scale="53" fitToHeight="5" orientation="portrait" r:id="rId1"/>
  <headerFoot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1E185-C12C-4EE2-8161-704C7B70D23B}">
  <sheetPr>
    <tabColor theme="3" tint="0.59999389629810485"/>
  </sheetPr>
  <dimension ref="A1:P9"/>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B6" sqref="B6:E6"/>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33" t="s">
        <v>29</v>
      </c>
      <c r="B1" s="633"/>
      <c r="C1" s="633"/>
      <c r="D1" s="633"/>
      <c r="E1" s="633"/>
      <c r="F1" s="633"/>
      <c r="G1" s="633"/>
      <c r="H1" s="633"/>
      <c r="I1" s="633"/>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35" t="s">
        <v>128</v>
      </c>
      <c r="B3" s="635"/>
      <c r="C3" s="635"/>
      <c r="D3" s="635"/>
      <c r="E3" s="635"/>
      <c r="F3" s="635"/>
      <c r="G3" s="635"/>
      <c r="H3" s="635"/>
      <c r="I3" s="635"/>
      <c r="J3" s="20"/>
      <c r="K3" s="20"/>
      <c r="L3" s="24"/>
      <c r="M3" s="20"/>
      <c r="N3" s="20"/>
      <c r="O3" s="24"/>
    </row>
    <row r="4" spans="1:16" ht="18" customHeight="1" thickTop="1" x14ac:dyDescent="0.25">
      <c r="A4" s="636" t="s">
        <v>32</v>
      </c>
      <c r="B4" s="638" t="s">
        <v>0</v>
      </c>
      <c r="C4" s="639"/>
      <c r="D4" s="639"/>
      <c r="E4" s="640"/>
      <c r="F4" s="644" t="s">
        <v>34</v>
      </c>
      <c r="G4" s="644" t="s">
        <v>31</v>
      </c>
      <c r="H4" s="646" t="s">
        <v>36</v>
      </c>
      <c r="I4" s="648" t="s">
        <v>35</v>
      </c>
      <c r="J4" s="650" t="s">
        <v>91</v>
      </c>
      <c r="K4" s="651"/>
      <c r="L4" s="652"/>
      <c r="M4" s="653" t="s">
        <v>92</v>
      </c>
      <c r="N4" s="651"/>
      <c r="O4" s="654"/>
    </row>
    <row r="5" spans="1:16" ht="36.75" customHeight="1" x14ac:dyDescent="0.25">
      <c r="A5" s="637"/>
      <c r="B5" s="641"/>
      <c r="C5" s="642"/>
      <c r="D5" s="642"/>
      <c r="E5" s="643"/>
      <c r="F5" s="645"/>
      <c r="G5" s="645"/>
      <c r="H5" s="647"/>
      <c r="I5" s="649"/>
      <c r="J5" s="8" t="s">
        <v>87</v>
      </c>
      <c r="K5" s="9" t="s">
        <v>88</v>
      </c>
      <c r="L5" s="9" t="s">
        <v>90</v>
      </c>
      <c r="M5" s="9" t="s">
        <v>87</v>
      </c>
      <c r="N5" s="9" t="s">
        <v>88</v>
      </c>
      <c r="O5" s="10" t="s">
        <v>89</v>
      </c>
    </row>
    <row r="6" spans="1:16" ht="61.5" customHeight="1" x14ac:dyDescent="0.25">
      <c r="A6" s="4">
        <v>6</v>
      </c>
      <c r="B6" s="658" t="s">
        <v>163</v>
      </c>
      <c r="C6" s="659"/>
      <c r="D6" s="659"/>
      <c r="E6" s="660"/>
      <c r="F6" s="28"/>
      <c r="G6" s="12"/>
      <c r="H6" s="30"/>
      <c r="I6" s="31"/>
      <c r="J6" s="32"/>
      <c r="K6" s="33"/>
      <c r="L6" s="33"/>
      <c r="M6" s="33"/>
      <c r="N6" s="33"/>
      <c r="O6" s="31"/>
      <c r="P6" s="664">
        <f>SUM(I7)</f>
        <v>9900</v>
      </c>
    </row>
    <row r="7" spans="1:16" ht="73.5" customHeight="1" x14ac:dyDescent="0.25">
      <c r="A7" s="57" t="s">
        <v>3</v>
      </c>
      <c r="B7" s="671" t="s">
        <v>136</v>
      </c>
      <c r="C7" s="694"/>
      <c r="D7" s="694"/>
      <c r="E7" s="695"/>
      <c r="F7" s="58">
        <v>1</v>
      </c>
      <c r="G7" s="52" t="s">
        <v>2</v>
      </c>
      <c r="H7" s="53">
        <v>9900</v>
      </c>
      <c r="I7" s="54">
        <f>H7*F7</f>
        <v>9900</v>
      </c>
      <c r="J7" s="55"/>
      <c r="K7" s="56">
        <f>L7-J7</f>
        <v>0</v>
      </c>
      <c r="L7" s="56"/>
      <c r="M7" s="56">
        <f t="shared" ref="M7" si="0">+J7*H7</f>
        <v>0</v>
      </c>
      <c r="N7" s="56">
        <f t="shared" ref="N7" si="1">O7-M7</f>
        <v>0</v>
      </c>
      <c r="O7" s="54">
        <f t="shared" ref="O7" si="2">H7*L7</f>
        <v>0</v>
      </c>
      <c r="P7" s="665"/>
    </row>
    <row r="8" spans="1:16" s="26" customFormat="1" ht="21" customHeight="1" thickBot="1" x14ac:dyDescent="0.3">
      <c r="A8" s="6"/>
      <c r="B8" s="702" t="s">
        <v>86</v>
      </c>
      <c r="C8" s="703"/>
      <c r="D8" s="703"/>
      <c r="E8" s="704"/>
      <c r="F8" s="7"/>
      <c r="G8" s="7"/>
      <c r="H8" s="15"/>
      <c r="I8" s="16">
        <f>SUM(I6:I7)</f>
        <v>9900</v>
      </c>
      <c r="J8" s="17"/>
      <c r="K8" s="18"/>
      <c r="L8" s="18"/>
      <c r="M8" s="18">
        <f>SUM(M6:M7)</f>
        <v>0</v>
      </c>
      <c r="N8" s="18">
        <f>SUM(N6:N7)</f>
        <v>0</v>
      </c>
      <c r="O8" s="19">
        <f>SUM(O6:O7)</f>
        <v>0</v>
      </c>
      <c r="P8" s="70">
        <f>SUM(P6:P7)</f>
        <v>9900</v>
      </c>
    </row>
    <row r="9" spans="1:16" ht="13.8" thickTop="1" x14ac:dyDescent="0.25"/>
  </sheetData>
  <mergeCells count="14">
    <mergeCell ref="A1:I1"/>
    <mergeCell ref="A3:I3"/>
    <mergeCell ref="A4:A5"/>
    <mergeCell ref="B4:E5"/>
    <mergeCell ref="F4:F5"/>
    <mergeCell ref="G4:G5"/>
    <mergeCell ref="H4:H5"/>
    <mergeCell ref="I4:I5"/>
    <mergeCell ref="B8:E8"/>
    <mergeCell ref="B6:E6"/>
    <mergeCell ref="P6:P7"/>
    <mergeCell ref="B7:E7"/>
    <mergeCell ref="J4:L4"/>
    <mergeCell ref="M4:O4"/>
  </mergeCells>
  <printOptions horizontalCentered="1"/>
  <pageMargins left="0.2" right="0.2" top="0.3" bottom="0.3" header="0" footer="0"/>
  <pageSetup paperSize="9" scale="53" fitToHeight="5" orientation="portrait" r:id="rId1"/>
  <headerFoot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C4E0F-C748-4CC2-A069-E4980B7F82E9}">
  <sheetPr>
    <tabColor theme="3" tint="0.59999389629810485"/>
  </sheetPr>
  <dimension ref="A1:P9"/>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B6" sqref="B6:E6"/>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33" t="s">
        <v>29</v>
      </c>
      <c r="B1" s="633"/>
      <c r="C1" s="633"/>
      <c r="D1" s="633"/>
      <c r="E1" s="633"/>
      <c r="F1" s="633"/>
      <c r="G1" s="633"/>
      <c r="H1" s="633"/>
      <c r="I1" s="633"/>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35" t="s">
        <v>128</v>
      </c>
      <c r="B3" s="635"/>
      <c r="C3" s="635"/>
      <c r="D3" s="635"/>
      <c r="E3" s="635"/>
      <c r="F3" s="635"/>
      <c r="G3" s="635"/>
      <c r="H3" s="635"/>
      <c r="I3" s="635"/>
      <c r="J3" s="20"/>
      <c r="K3" s="20"/>
      <c r="L3" s="24"/>
      <c r="M3" s="20"/>
      <c r="N3" s="20"/>
      <c r="O3" s="24"/>
    </row>
    <row r="4" spans="1:16" ht="18" customHeight="1" thickTop="1" x14ac:dyDescent="0.25">
      <c r="A4" s="636" t="s">
        <v>32</v>
      </c>
      <c r="B4" s="638" t="s">
        <v>0</v>
      </c>
      <c r="C4" s="639"/>
      <c r="D4" s="639"/>
      <c r="E4" s="640"/>
      <c r="F4" s="644" t="s">
        <v>34</v>
      </c>
      <c r="G4" s="644" t="s">
        <v>31</v>
      </c>
      <c r="H4" s="646" t="s">
        <v>36</v>
      </c>
      <c r="I4" s="648" t="s">
        <v>35</v>
      </c>
      <c r="J4" s="650" t="s">
        <v>91</v>
      </c>
      <c r="K4" s="651"/>
      <c r="L4" s="652"/>
      <c r="M4" s="653" t="s">
        <v>92</v>
      </c>
      <c r="N4" s="651"/>
      <c r="O4" s="654"/>
    </row>
    <row r="5" spans="1:16" ht="36.75" customHeight="1" x14ac:dyDescent="0.25">
      <c r="A5" s="637"/>
      <c r="B5" s="641"/>
      <c r="C5" s="642"/>
      <c r="D5" s="642"/>
      <c r="E5" s="643"/>
      <c r="F5" s="645"/>
      <c r="G5" s="645"/>
      <c r="H5" s="647"/>
      <c r="I5" s="649"/>
      <c r="J5" s="8" t="s">
        <v>87</v>
      </c>
      <c r="K5" s="9" t="s">
        <v>88</v>
      </c>
      <c r="L5" s="9" t="s">
        <v>90</v>
      </c>
      <c r="M5" s="9" t="s">
        <v>87</v>
      </c>
      <c r="N5" s="9" t="s">
        <v>88</v>
      </c>
      <c r="O5" s="10" t="s">
        <v>89</v>
      </c>
    </row>
    <row r="6" spans="1:16" ht="66.75" customHeight="1" x14ac:dyDescent="0.25">
      <c r="A6" s="4">
        <v>7</v>
      </c>
      <c r="B6" s="658" t="s">
        <v>164</v>
      </c>
      <c r="C6" s="659"/>
      <c r="D6" s="659"/>
      <c r="E6" s="660"/>
      <c r="F6" s="28"/>
      <c r="G6" s="12"/>
      <c r="H6" s="30"/>
      <c r="I6" s="31"/>
      <c r="J6" s="32"/>
      <c r="K6" s="33"/>
      <c r="L6" s="33"/>
      <c r="M6" s="33"/>
      <c r="N6" s="33"/>
      <c r="O6" s="31"/>
      <c r="P6" s="664">
        <f>SUM(I7)</f>
        <v>8250</v>
      </c>
    </row>
    <row r="7" spans="1:16" ht="68.25" customHeight="1" x14ac:dyDescent="0.25">
      <c r="A7" s="57" t="s">
        <v>3</v>
      </c>
      <c r="B7" s="671" t="s">
        <v>138</v>
      </c>
      <c r="C7" s="672"/>
      <c r="D7" s="672"/>
      <c r="E7" s="673"/>
      <c r="F7" s="58">
        <v>1</v>
      </c>
      <c r="G7" s="52" t="s">
        <v>2</v>
      </c>
      <c r="H7" s="53">
        <v>8250</v>
      </c>
      <c r="I7" s="54">
        <f>H7*F7</f>
        <v>8250</v>
      </c>
      <c r="J7" s="55"/>
      <c r="K7" s="56">
        <f t="shared" ref="K7" si="0">L7-J7</f>
        <v>0</v>
      </c>
      <c r="L7" s="56"/>
      <c r="M7" s="56">
        <f t="shared" ref="M7" si="1">+J7*H7</f>
        <v>0</v>
      </c>
      <c r="N7" s="56">
        <f t="shared" ref="N7" si="2">O7-M7</f>
        <v>0</v>
      </c>
      <c r="O7" s="54">
        <f t="shared" ref="O7" si="3">H7*L7</f>
        <v>0</v>
      </c>
      <c r="P7" s="665"/>
    </row>
    <row r="8" spans="1:16" s="26" customFormat="1" ht="21" customHeight="1" thickBot="1" x14ac:dyDescent="0.3">
      <c r="A8" s="6"/>
      <c r="B8" s="702" t="s">
        <v>86</v>
      </c>
      <c r="C8" s="703"/>
      <c r="D8" s="703"/>
      <c r="E8" s="704"/>
      <c r="F8" s="7"/>
      <c r="G8" s="7"/>
      <c r="H8" s="15"/>
      <c r="I8" s="16">
        <f>SUM(I6:I7)</f>
        <v>8250</v>
      </c>
      <c r="J8" s="17"/>
      <c r="K8" s="18"/>
      <c r="L8" s="18"/>
      <c r="M8" s="18">
        <f>SUM(M6:M7)</f>
        <v>0</v>
      </c>
      <c r="N8" s="18">
        <f>SUM(N6:N7)</f>
        <v>0</v>
      </c>
      <c r="O8" s="19">
        <f>SUM(O6:O7)</f>
        <v>0</v>
      </c>
      <c r="P8" s="70">
        <f>SUM(P6:P7)</f>
        <v>8250</v>
      </c>
    </row>
    <row r="9" spans="1:16" ht="13.8" thickTop="1" x14ac:dyDescent="0.25"/>
  </sheetData>
  <mergeCells count="14">
    <mergeCell ref="A1:I1"/>
    <mergeCell ref="A3:I3"/>
    <mergeCell ref="A4:A5"/>
    <mergeCell ref="B4:E5"/>
    <mergeCell ref="F4:F5"/>
    <mergeCell ref="G4:G5"/>
    <mergeCell ref="H4:H5"/>
    <mergeCell ref="I4:I5"/>
    <mergeCell ref="B8:E8"/>
    <mergeCell ref="J4:L4"/>
    <mergeCell ref="M4:O4"/>
    <mergeCell ref="B6:E6"/>
    <mergeCell ref="P6:P7"/>
    <mergeCell ref="B7:E7"/>
  </mergeCells>
  <printOptions horizontalCentered="1"/>
  <pageMargins left="0.2" right="0.2" top="0.3" bottom="0.3" header="0" footer="0"/>
  <pageSetup paperSize="9" scale="53" fitToHeight="5" orientation="portrait" r:id="rId1"/>
  <headerFoot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42DA4-C444-4D53-A20D-D8A51B880E4B}">
  <sheetPr>
    <tabColor theme="3" tint="0.59999389629810485"/>
  </sheetPr>
  <dimension ref="A1:P13"/>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P6" sqref="P6:P11"/>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33" t="s">
        <v>29</v>
      </c>
      <c r="B1" s="633"/>
      <c r="C1" s="633"/>
      <c r="D1" s="633"/>
      <c r="E1" s="633"/>
      <c r="F1" s="633"/>
      <c r="G1" s="633"/>
      <c r="H1" s="633"/>
      <c r="I1" s="633"/>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35" t="s">
        <v>128</v>
      </c>
      <c r="B3" s="635"/>
      <c r="C3" s="635"/>
      <c r="D3" s="635"/>
      <c r="E3" s="635"/>
      <c r="F3" s="635"/>
      <c r="G3" s="635"/>
      <c r="H3" s="635"/>
      <c r="I3" s="635"/>
      <c r="J3" s="20"/>
      <c r="K3" s="20"/>
      <c r="L3" s="24"/>
      <c r="M3" s="20"/>
      <c r="N3" s="20"/>
      <c r="O3" s="24"/>
    </row>
    <row r="4" spans="1:16" ht="18" customHeight="1" thickTop="1" x14ac:dyDescent="0.25">
      <c r="A4" s="636" t="s">
        <v>32</v>
      </c>
      <c r="B4" s="638" t="s">
        <v>0</v>
      </c>
      <c r="C4" s="639"/>
      <c r="D4" s="639"/>
      <c r="E4" s="640"/>
      <c r="F4" s="644" t="s">
        <v>34</v>
      </c>
      <c r="G4" s="644" t="s">
        <v>31</v>
      </c>
      <c r="H4" s="646" t="s">
        <v>36</v>
      </c>
      <c r="I4" s="648" t="s">
        <v>35</v>
      </c>
      <c r="J4" s="650" t="s">
        <v>91</v>
      </c>
      <c r="K4" s="651"/>
      <c r="L4" s="652"/>
      <c r="M4" s="653" t="s">
        <v>92</v>
      </c>
      <c r="N4" s="651"/>
      <c r="O4" s="654"/>
    </row>
    <row r="5" spans="1:16" ht="36.75" customHeight="1" x14ac:dyDescent="0.25">
      <c r="A5" s="637"/>
      <c r="B5" s="641"/>
      <c r="C5" s="642"/>
      <c r="D5" s="642"/>
      <c r="E5" s="643"/>
      <c r="F5" s="645"/>
      <c r="G5" s="645"/>
      <c r="H5" s="647"/>
      <c r="I5" s="649"/>
      <c r="J5" s="8" t="s">
        <v>87</v>
      </c>
      <c r="K5" s="9" t="s">
        <v>88</v>
      </c>
      <c r="L5" s="9" t="s">
        <v>90</v>
      </c>
      <c r="M5" s="9" t="s">
        <v>87</v>
      </c>
      <c r="N5" s="9" t="s">
        <v>88</v>
      </c>
      <c r="O5" s="10" t="s">
        <v>89</v>
      </c>
    </row>
    <row r="6" spans="1:16" ht="66.75" customHeight="1" x14ac:dyDescent="0.25">
      <c r="A6" s="4">
        <v>8</v>
      </c>
      <c r="B6" s="658" t="s">
        <v>150</v>
      </c>
      <c r="C6" s="659"/>
      <c r="D6" s="659"/>
      <c r="E6" s="660"/>
      <c r="F6" s="28"/>
      <c r="G6" s="12"/>
      <c r="H6" s="30"/>
      <c r="I6" s="31"/>
      <c r="J6" s="32"/>
      <c r="K6" s="33"/>
      <c r="L6" s="33"/>
      <c r="M6" s="33"/>
      <c r="N6" s="33"/>
      <c r="O6" s="31"/>
      <c r="P6" s="664">
        <f>SUM(I8:I10)</f>
        <v>35750</v>
      </c>
    </row>
    <row r="7" spans="1:16" ht="126" customHeight="1" x14ac:dyDescent="0.25">
      <c r="A7" s="4"/>
      <c r="B7" s="658" t="s">
        <v>141</v>
      </c>
      <c r="C7" s="659"/>
      <c r="D7" s="659"/>
      <c r="E7" s="660"/>
      <c r="F7" s="28"/>
      <c r="G7" s="12"/>
      <c r="H7" s="30"/>
      <c r="I7" s="31"/>
      <c r="J7" s="32"/>
      <c r="K7" s="33"/>
      <c r="L7" s="33"/>
      <c r="M7" s="33"/>
      <c r="N7" s="33"/>
      <c r="O7" s="31"/>
      <c r="P7" s="665"/>
    </row>
    <row r="8" spans="1:16" x14ac:dyDescent="0.25">
      <c r="A8" s="4"/>
      <c r="B8" s="668" t="s">
        <v>142</v>
      </c>
      <c r="C8" s="669"/>
      <c r="D8" s="669"/>
      <c r="E8" s="670"/>
      <c r="F8" s="28">
        <v>1</v>
      </c>
      <c r="G8" s="12" t="s">
        <v>134</v>
      </c>
      <c r="H8" s="30">
        <v>16500</v>
      </c>
      <c r="I8" s="31">
        <f>H8*F8</f>
        <v>16500</v>
      </c>
      <c r="J8" s="32"/>
      <c r="K8" s="33">
        <f t="shared" ref="K8:K10" si="0">L8-J8</f>
        <v>0</v>
      </c>
      <c r="L8" s="33"/>
      <c r="M8" s="33">
        <f t="shared" ref="M8:M10" si="1">+J8*H8</f>
        <v>0</v>
      </c>
      <c r="N8" s="33">
        <f t="shared" ref="N8:N10" si="2">O8-M8</f>
        <v>0</v>
      </c>
      <c r="O8" s="31">
        <f t="shared" ref="O8:O10" si="3">H8*L8</f>
        <v>0</v>
      </c>
      <c r="P8" s="665"/>
    </row>
    <row r="9" spans="1:16" x14ac:dyDescent="0.25">
      <c r="A9" s="4"/>
      <c r="B9" s="668" t="s">
        <v>143</v>
      </c>
      <c r="C9" s="669"/>
      <c r="D9" s="669"/>
      <c r="E9" s="670"/>
      <c r="F9" s="28">
        <v>1</v>
      </c>
      <c r="G9" s="12" t="s">
        <v>134</v>
      </c>
      <c r="H9" s="30">
        <v>14500</v>
      </c>
      <c r="I9" s="31">
        <f>H9*F9</f>
        <v>14500</v>
      </c>
      <c r="J9" s="32"/>
      <c r="K9" s="33">
        <f t="shared" si="0"/>
        <v>0</v>
      </c>
      <c r="L9" s="33"/>
      <c r="M9" s="33">
        <f t="shared" si="1"/>
        <v>0</v>
      </c>
      <c r="N9" s="33">
        <f t="shared" si="2"/>
        <v>0</v>
      </c>
      <c r="O9" s="31">
        <f t="shared" si="3"/>
        <v>0</v>
      </c>
      <c r="P9" s="665"/>
    </row>
    <row r="10" spans="1:16" x14ac:dyDescent="0.25">
      <c r="A10" s="4"/>
      <c r="B10" s="668" t="s">
        <v>144</v>
      </c>
      <c r="C10" s="669"/>
      <c r="D10" s="669"/>
      <c r="E10" s="670"/>
      <c r="F10" s="28">
        <v>1</v>
      </c>
      <c r="G10" s="12" t="s">
        <v>134</v>
      </c>
      <c r="H10" s="30">
        <v>4750</v>
      </c>
      <c r="I10" s="31">
        <f>H10*F10</f>
        <v>4750</v>
      </c>
      <c r="J10" s="32"/>
      <c r="K10" s="33">
        <f t="shared" si="0"/>
        <v>0</v>
      </c>
      <c r="L10" s="33"/>
      <c r="M10" s="33">
        <f t="shared" si="1"/>
        <v>0</v>
      </c>
      <c r="N10" s="33">
        <f t="shared" si="2"/>
        <v>0</v>
      </c>
      <c r="O10" s="31">
        <f t="shared" si="3"/>
        <v>0</v>
      </c>
      <c r="P10" s="665"/>
    </row>
    <row r="11" spans="1:16" x14ac:dyDescent="0.25">
      <c r="A11" s="57"/>
      <c r="B11" s="89"/>
      <c r="C11" s="90"/>
      <c r="D11" s="90"/>
      <c r="E11" s="91"/>
      <c r="F11" s="58"/>
      <c r="G11" s="52"/>
      <c r="H11" s="53"/>
      <c r="I11" s="54"/>
      <c r="J11" s="55"/>
      <c r="K11" s="56"/>
      <c r="L11" s="56"/>
      <c r="M11" s="56"/>
      <c r="N11" s="56"/>
      <c r="O11" s="54"/>
      <c r="P11" s="665"/>
    </row>
    <row r="12" spans="1:16" s="26" customFormat="1" ht="21" customHeight="1" thickBot="1" x14ac:dyDescent="0.3">
      <c r="A12" s="6"/>
      <c r="B12" s="702" t="s">
        <v>86</v>
      </c>
      <c r="C12" s="703"/>
      <c r="D12" s="703"/>
      <c r="E12" s="704"/>
      <c r="F12" s="7"/>
      <c r="G12" s="7"/>
      <c r="H12" s="15"/>
      <c r="I12" s="16">
        <f>SUM(I6:I11)</f>
        <v>35750</v>
      </c>
      <c r="J12" s="17"/>
      <c r="K12" s="18"/>
      <c r="L12" s="18"/>
      <c r="M12" s="18">
        <f>SUM(M6:M11)</f>
        <v>0</v>
      </c>
      <c r="N12" s="18">
        <f>SUM(N6:N11)</f>
        <v>0</v>
      </c>
      <c r="O12" s="19">
        <f>SUM(O6:O11)</f>
        <v>0</v>
      </c>
      <c r="P12" s="70">
        <f>SUM(P6:P11)</f>
        <v>35750</v>
      </c>
    </row>
    <row r="13" spans="1:16" ht="13.8" thickTop="1" x14ac:dyDescent="0.25"/>
  </sheetData>
  <mergeCells count="17">
    <mergeCell ref="P6:P11"/>
    <mergeCell ref="B7:E7"/>
    <mergeCell ref="B8:E8"/>
    <mergeCell ref="B9:E9"/>
    <mergeCell ref="A1:I1"/>
    <mergeCell ref="A3:I3"/>
    <mergeCell ref="A4:A5"/>
    <mergeCell ref="B4:E5"/>
    <mergeCell ref="F4:F5"/>
    <mergeCell ref="G4:G5"/>
    <mergeCell ref="H4:H5"/>
    <mergeCell ref="I4:I5"/>
    <mergeCell ref="B12:E12"/>
    <mergeCell ref="B10:E10"/>
    <mergeCell ref="J4:L4"/>
    <mergeCell ref="M4:O4"/>
    <mergeCell ref="B6:E6"/>
  </mergeCells>
  <printOptions horizontalCentered="1"/>
  <pageMargins left="0.2" right="0.2" top="0.3" bottom="0.3" header="0" footer="0"/>
  <pageSetup paperSize="9" scale="53" fitToHeight="5" orientation="portrait" r:id="rId1"/>
  <headerFoot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EC4FD-555C-4ECC-BB68-76FCCF9DCAAB}">
  <sheetPr>
    <tabColor theme="3" tint="0.59999389629810485"/>
  </sheetPr>
  <dimension ref="A1:P12"/>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I11" sqref="I11"/>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33" t="s">
        <v>29</v>
      </c>
      <c r="B1" s="633"/>
      <c r="C1" s="633"/>
      <c r="D1" s="633"/>
      <c r="E1" s="633"/>
      <c r="F1" s="633"/>
      <c r="G1" s="633"/>
      <c r="H1" s="633"/>
      <c r="I1" s="633"/>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35" t="s">
        <v>128</v>
      </c>
      <c r="B3" s="635"/>
      <c r="C3" s="635"/>
      <c r="D3" s="635"/>
      <c r="E3" s="635"/>
      <c r="F3" s="635"/>
      <c r="G3" s="635"/>
      <c r="H3" s="635"/>
      <c r="I3" s="635"/>
      <c r="J3" s="20"/>
      <c r="K3" s="20"/>
      <c r="L3" s="24"/>
      <c r="M3" s="20"/>
      <c r="N3" s="20"/>
      <c r="O3" s="24"/>
    </row>
    <row r="4" spans="1:16" ht="18" customHeight="1" thickTop="1" x14ac:dyDescent="0.25">
      <c r="A4" s="636" t="s">
        <v>32</v>
      </c>
      <c r="B4" s="638" t="s">
        <v>0</v>
      </c>
      <c r="C4" s="639"/>
      <c r="D4" s="639"/>
      <c r="E4" s="640"/>
      <c r="F4" s="644" t="s">
        <v>34</v>
      </c>
      <c r="G4" s="644" t="s">
        <v>31</v>
      </c>
      <c r="H4" s="646" t="s">
        <v>36</v>
      </c>
      <c r="I4" s="648" t="s">
        <v>35</v>
      </c>
      <c r="J4" s="650" t="s">
        <v>91</v>
      </c>
      <c r="K4" s="651"/>
      <c r="L4" s="652"/>
      <c r="M4" s="653" t="s">
        <v>92</v>
      </c>
      <c r="N4" s="651"/>
      <c r="O4" s="654"/>
    </row>
    <row r="5" spans="1:16" ht="36.75" customHeight="1" x14ac:dyDescent="0.25">
      <c r="A5" s="637"/>
      <c r="B5" s="641"/>
      <c r="C5" s="642"/>
      <c r="D5" s="642"/>
      <c r="E5" s="643"/>
      <c r="F5" s="645"/>
      <c r="G5" s="645"/>
      <c r="H5" s="647"/>
      <c r="I5" s="649"/>
      <c r="J5" s="8" t="s">
        <v>87</v>
      </c>
      <c r="K5" s="9" t="s">
        <v>88</v>
      </c>
      <c r="L5" s="9" t="s">
        <v>90</v>
      </c>
      <c r="M5" s="9" t="s">
        <v>87</v>
      </c>
      <c r="N5" s="9" t="s">
        <v>88</v>
      </c>
      <c r="O5" s="10" t="s">
        <v>89</v>
      </c>
    </row>
    <row r="6" spans="1:16" s="26" customFormat="1" ht="66.75" customHeight="1" x14ac:dyDescent="0.25">
      <c r="A6" s="3">
        <v>9</v>
      </c>
      <c r="B6" s="696" t="s">
        <v>149</v>
      </c>
      <c r="C6" s="697"/>
      <c r="D6" s="697"/>
      <c r="E6" s="698"/>
      <c r="F6" s="28"/>
      <c r="G6" s="12"/>
      <c r="H6" s="30"/>
      <c r="I6" s="31"/>
      <c r="J6" s="32"/>
      <c r="K6" s="33"/>
      <c r="L6" s="33"/>
      <c r="M6" s="33"/>
      <c r="N6" s="33"/>
      <c r="O6" s="31"/>
      <c r="P6" s="664">
        <f>SUM(I7:I10)</f>
        <v>318490.5</v>
      </c>
    </row>
    <row r="7" spans="1:16" ht="18.75" customHeight="1" x14ac:dyDescent="0.25">
      <c r="A7" s="4" t="s">
        <v>3</v>
      </c>
      <c r="B7" s="668" t="s">
        <v>114</v>
      </c>
      <c r="C7" s="669"/>
      <c r="D7" s="669"/>
      <c r="E7" s="670"/>
      <c r="F7" s="59">
        <v>15022</v>
      </c>
      <c r="G7" s="28" t="s">
        <v>117</v>
      </c>
      <c r="H7" s="30">
        <v>17.75</v>
      </c>
      <c r="I7" s="31">
        <f>H7*F7</f>
        <v>266640.5</v>
      </c>
      <c r="J7" s="32"/>
      <c r="K7" s="33">
        <f t="shared" ref="K7:K10" si="0">L7-J7</f>
        <v>0</v>
      </c>
      <c r="L7" s="33"/>
      <c r="M7" s="33">
        <f t="shared" ref="M7:M10" si="1">+J7*H7</f>
        <v>0</v>
      </c>
      <c r="N7" s="33">
        <f t="shared" ref="N7:N10" si="2">O7-M7</f>
        <v>0</v>
      </c>
      <c r="O7" s="31">
        <f t="shared" ref="O7:O10" si="3">H7*L7</f>
        <v>0</v>
      </c>
      <c r="P7" s="665"/>
    </row>
    <row r="8" spans="1:16" ht="18.75" customHeight="1" x14ac:dyDescent="0.25">
      <c r="A8" s="4" t="s">
        <v>15</v>
      </c>
      <c r="B8" s="668" t="s">
        <v>115</v>
      </c>
      <c r="C8" s="669"/>
      <c r="D8" s="669"/>
      <c r="E8" s="670"/>
      <c r="F8" s="28">
        <v>30</v>
      </c>
      <c r="G8" s="28" t="s">
        <v>5</v>
      </c>
      <c r="H8" s="30">
        <v>245</v>
      </c>
      <c r="I8" s="31">
        <f>H8*F8</f>
        <v>7350</v>
      </c>
      <c r="J8" s="32"/>
      <c r="K8" s="33">
        <f t="shared" si="0"/>
        <v>0</v>
      </c>
      <c r="L8" s="33"/>
      <c r="M8" s="33">
        <f t="shared" si="1"/>
        <v>0</v>
      </c>
      <c r="N8" s="33">
        <f t="shared" si="2"/>
        <v>0</v>
      </c>
      <c r="O8" s="31">
        <f t="shared" si="3"/>
        <v>0</v>
      </c>
      <c r="P8" s="665"/>
    </row>
    <row r="9" spans="1:16" ht="27.75" customHeight="1" x14ac:dyDescent="0.25">
      <c r="A9" s="4" t="s">
        <v>18</v>
      </c>
      <c r="B9" s="668" t="s">
        <v>116</v>
      </c>
      <c r="C9" s="669"/>
      <c r="D9" s="669"/>
      <c r="E9" s="670"/>
      <c r="F9" s="28">
        <v>75</v>
      </c>
      <c r="G9" s="28" t="s">
        <v>5</v>
      </c>
      <c r="H9" s="30">
        <v>380</v>
      </c>
      <c r="I9" s="31">
        <f>H9*F9</f>
        <v>28500</v>
      </c>
      <c r="J9" s="32"/>
      <c r="K9" s="33">
        <f t="shared" si="0"/>
        <v>0</v>
      </c>
      <c r="L9" s="33"/>
      <c r="M9" s="33">
        <f t="shared" si="1"/>
        <v>0</v>
      </c>
      <c r="N9" s="33">
        <f t="shared" si="2"/>
        <v>0</v>
      </c>
      <c r="O9" s="31">
        <f t="shared" si="3"/>
        <v>0</v>
      </c>
      <c r="P9" s="665"/>
    </row>
    <row r="10" spans="1:16" ht="123" customHeight="1" x14ac:dyDescent="0.25">
      <c r="A10" s="57" t="s">
        <v>47</v>
      </c>
      <c r="B10" s="699" t="s">
        <v>145</v>
      </c>
      <c r="C10" s="700"/>
      <c r="D10" s="700"/>
      <c r="E10" s="701"/>
      <c r="F10" s="58">
        <v>1</v>
      </c>
      <c r="G10" s="52" t="s">
        <v>134</v>
      </c>
      <c r="H10" s="53">
        <v>16000</v>
      </c>
      <c r="I10" s="54">
        <f>H10*F10</f>
        <v>16000</v>
      </c>
      <c r="J10" s="55"/>
      <c r="K10" s="56">
        <f t="shared" si="0"/>
        <v>0</v>
      </c>
      <c r="L10" s="56"/>
      <c r="M10" s="56">
        <f t="shared" si="1"/>
        <v>0</v>
      </c>
      <c r="N10" s="56">
        <f t="shared" si="2"/>
        <v>0</v>
      </c>
      <c r="O10" s="54">
        <f t="shared" si="3"/>
        <v>0</v>
      </c>
      <c r="P10" s="665"/>
    </row>
    <row r="11" spans="1:16" s="26" customFormat="1" ht="21" customHeight="1" thickBot="1" x14ac:dyDescent="0.3">
      <c r="A11" s="6"/>
      <c r="B11" s="702" t="s">
        <v>86</v>
      </c>
      <c r="C11" s="703"/>
      <c r="D11" s="703"/>
      <c r="E11" s="704"/>
      <c r="F11" s="7"/>
      <c r="G11" s="7"/>
      <c r="H11" s="15"/>
      <c r="I11" s="16">
        <f>SUM(I6:I10)</f>
        <v>318490.5</v>
      </c>
      <c r="J11" s="17"/>
      <c r="K11" s="18"/>
      <c r="L11" s="18"/>
      <c r="M11" s="18">
        <f>SUM(M6:M10)</f>
        <v>0</v>
      </c>
      <c r="N11" s="18">
        <f>SUM(N6:N10)</f>
        <v>0</v>
      </c>
      <c r="O11" s="19">
        <f>SUM(O6:O10)</f>
        <v>0</v>
      </c>
      <c r="P11" s="70">
        <f>SUM(P6:P10)</f>
        <v>318490.5</v>
      </c>
    </row>
    <row r="12" spans="1:16" ht="13.8" thickTop="1" x14ac:dyDescent="0.25"/>
  </sheetData>
  <mergeCells count="17">
    <mergeCell ref="J4:L4"/>
    <mergeCell ref="M4:O4"/>
    <mergeCell ref="A1:I1"/>
    <mergeCell ref="A3:I3"/>
    <mergeCell ref="A4:A5"/>
    <mergeCell ref="B4:E5"/>
    <mergeCell ref="F4:F5"/>
    <mergeCell ref="G4:G5"/>
    <mergeCell ref="H4:H5"/>
    <mergeCell ref="I4:I5"/>
    <mergeCell ref="B11:E11"/>
    <mergeCell ref="B6:E6"/>
    <mergeCell ref="P6:P10"/>
    <mergeCell ref="B7:E7"/>
    <mergeCell ref="B8:E8"/>
    <mergeCell ref="B9:E9"/>
    <mergeCell ref="B10:E10"/>
  </mergeCells>
  <printOptions horizontalCentered="1"/>
  <pageMargins left="0.2" right="0.2" top="0.3" bottom="0.3" header="0" footer="0"/>
  <pageSetup paperSize="9" scale="53" fitToHeight="5" orientation="portrait" r:id="rId1"/>
  <headerFoot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517F9-0DDF-4097-AA7C-43E5C3188970}">
  <sheetPr>
    <tabColor theme="3" tint="0.59999389629810485"/>
  </sheetPr>
  <dimension ref="A1:P10"/>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Q7" sqref="Q7"/>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33" t="s">
        <v>29</v>
      </c>
      <c r="B1" s="633"/>
      <c r="C1" s="633"/>
      <c r="D1" s="633"/>
      <c r="E1" s="633"/>
      <c r="F1" s="633"/>
      <c r="G1" s="633"/>
      <c r="H1" s="633"/>
      <c r="I1" s="633"/>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35" t="s">
        <v>128</v>
      </c>
      <c r="B3" s="635"/>
      <c r="C3" s="635"/>
      <c r="D3" s="635"/>
      <c r="E3" s="635"/>
      <c r="F3" s="635"/>
      <c r="G3" s="635"/>
      <c r="H3" s="635"/>
      <c r="I3" s="635"/>
      <c r="J3" s="20"/>
      <c r="K3" s="20"/>
      <c r="L3" s="24"/>
      <c r="M3" s="20"/>
      <c r="N3" s="20"/>
      <c r="O3" s="24"/>
    </row>
    <row r="4" spans="1:16" ht="18" customHeight="1" thickTop="1" x14ac:dyDescent="0.25">
      <c r="A4" s="636" t="s">
        <v>32</v>
      </c>
      <c r="B4" s="638" t="s">
        <v>0</v>
      </c>
      <c r="C4" s="639"/>
      <c r="D4" s="639"/>
      <c r="E4" s="640"/>
      <c r="F4" s="644" t="s">
        <v>34</v>
      </c>
      <c r="G4" s="644" t="s">
        <v>31</v>
      </c>
      <c r="H4" s="646" t="s">
        <v>36</v>
      </c>
      <c r="I4" s="648" t="s">
        <v>35</v>
      </c>
      <c r="J4" s="650" t="s">
        <v>91</v>
      </c>
      <c r="K4" s="651"/>
      <c r="L4" s="652"/>
      <c r="M4" s="653" t="s">
        <v>92</v>
      </c>
      <c r="N4" s="651"/>
      <c r="O4" s="654"/>
    </row>
    <row r="5" spans="1:16" ht="36.75" customHeight="1" x14ac:dyDescent="0.25">
      <c r="A5" s="637"/>
      <c r="B5" s="641"/>
      <c r="C5" s="642"/>
      <c r="D5" s="642"/>
      <c r="E5" s="643"/>
      <c r="F5" s="645"/>
      <c r="G5" s="645"/>
      <c r="H5" s="647"/>
      <c r="I5" s="649"/>
      <c r="J5" s="8" t="s">
        <v>87</v>
      </c>
      <c r="K5" s="9" t="s">
        <v>88</v>
      </c>
      <c r="L5" s="9" t="s">
        <v>90</v>
      </c>
      <c r="M5" s="9" t="s">
        <v>87</v>
      </c>
      <c r="N5" s="9" t="s">
        <v>88</v>
      </c>
      <c r="O5" s="10" t="s">
        <v>89</v>
      </c>
    </row>
    <row r="6" spans="1:16" s="26" customFormat="1" ht="78.75" customHeight="1" x14ac:dyDescent="0.25">
      <c r="A6" s="3">
        <v>10</v>
      </c>
      <c r="B6" s="696" t="s">
        <v>151</v>
      </c>
      <c r="C6" s="697"/>
      <c r="D6" s="697"/>
      <c r="E6" s="698"/>
      <c r="F6" s="28"/>
      <c r="G6" s="12"/>
      <c r="H6" s="30"/>
      <c r="I6" s="31"/>
      <c r="J6" s="32"/>
      <c r="K6" s="33"/>
      <c r="L6" s="33"/>
      <c r="M6" s="33"/>
      <c r="N6" s="33"/>
      <c r="O6" s="31"/>
      <c r="P6" s="664"/>
    </row>
    <row r="7" spans="1:16" ht="120.75" customHeight="1" x14ac:dyDescent="0.25">
      <c r="A7" s="4" t="s">
        <v>3</v>
      </c>
      <c r="B7" s="668" t="s">
        <v>146</v>
      </c>
      <c r="C7" s="669"/>
      <c r="D7" s="669"/>
      <c r="E7" s="670"/>
      <c r="F7" s="28">
        <v>1</v>
      </c>
      <c r="G7" s="12" t="s">
        <v>2</v>
      </c>
      <c r="H7" s="30">
        <v>93130</v>
      </c>
      <c r="I7" s="31">
        <f>H7*F7</f>
        <v>93130</v>
      </c>
      <c r="J7" s="32"/>
      <c r="K7" s="33">
        <f t="shared" ref="K7:K8" si="0">L7-J7</f>
        <v>0</v>
      </c>
      <c r="L7" s="33"/>
      <c r="M7" s="33">
        <f t="shared" ref="M7:M8" si="1">+J7*H7</f>
        <v>0</v>
      </c>
      <c r="N7" s="33">
        <f t="shared" ref="N7:N8" si="2">O7-M7</f>
        <v>0</v>
      </c>
      <c r="O7" s="31">
        <f t="shared" ref="O7:O8" si="3">H7*L7</f>
        <v>0</v>
      </c>
      <c r="P7" s="665"/>
    </row>
    <row r="8" spans="1:16" ht="35.25" customHeight="1" x14ac:dyDescent="0.25">
      <c r="A8" s="57" t="s">
        <v>15</v>
      </c>
      <c r="B8" s="671" t="s">
        <v>147</v>
      </c>
      <c r="C8" s="672"/>
      <c r="D8" s="672"/>
      <c r="E8" s="673"/>
      <c r="F8" s="58">
        <v>1</v>
      </c>
      <c r="G8" s="52" t="s">
        <v>2</v>
      </c>
      <c r="H8" s="53">
        <v>13969.5</v>
      </c>
      <c r="I8" s="54">
        <f>H8*F8</f>
        <v>13969.5</v>
      </c>
      <c r="J8" s="55"/>
      <c r="K8" s="56">
        <f t="shared" si="0"/>
        <v>0</v>
      </c>
      <c r="L8" s="56"/>
      <c r="M8" s="56">
        <f t="shared" si="1"/>
        <v>0</v>
      </c>
      <c r="N8" s="56">
        <f t="shared" si="2"/>
        <v>0</v>
      </c>
      <c r="O8" s="54">
        <f t="shared" si="3"/>
        <v>0</v>
      </c>
      <c r="P8" s="665"/>
    </row>
    <row r="9" spans="1:16" s="26" customFormat="1" ht="21" customHeight="1" thickBot="1" x14ac:dyDescent="0.3">
      <c r="A9" s="6"/>
      <c r="B9" s="702" t="s">
        <v>86</v>
      </c>
      <c r="C9" s="703"/>
      <c r="D9" s="703"/>
      <c r="E9" s="704"/>
      <c r="F9" s="7"/>
      <c r="G9" s="7"/>
      <c r="H9" s="15"/>
      <c r="I9" s="16">
        <f>SUM(I6:I8)</f>
        <v>107099.5</v>
      </c>
      <c r="J9" s="17"/>
      <c r="K9" s="18"/>
      <c r="L9" s="18"/>
      <c r="M9" s="18">
        <f>SUM(M6:M8)</f>
        <v>0</v>
      </c>
      <c r="N9" s="18">
        <f>SUM(N6:N8)</f>
        <v>0</v>
      </c>
      <c r="O9" s="19">
        <f>SUM(O6:O8)</f>
        <v>0</v>
      </c>
      <c r="P9" s="70"/>
    </row>
    <row r="10" spans="1:16" ht="13.8" thickTop="1" x14ac:dyDescent="0.25"/>
  </sheetData>
  <mergeCells count="15">
    <mergeCell ref="J4:L4"/>
    <mergeCell ref="M4:O4"/>
    <mergeCell ref="A1:I1"/>
    <mergeCell ref="A3:I3"/>
    <mergeCell ref="A4:A5"/>
    <mergeCell ref="B4:E5"/>
    <mergeCell ref="F4:F5"/>
    <mergeCell ref="G4:G5"/>
    <mergeCell ref="H4:H5"/>
    <mergeCell ref="I4:I5"/>
    <mergeCell ref="B9:E9"/>
    <mergeCell ref="B6:E6"/>
    <mergeCell ref="P6:P8"/>
    <mergeCell ref="B7:E7"/>
    <mergeCell ref="B8:E8"/>
  </mergeCells>
  <printOptions horizontalCentered="1"/>
  <pageMargins left="0.2" right="0.2" top="0.3" bottom="0.3" header="0" footer="0"/>
  <pageSetup paperSize="9" scale="53" fitToHeight="5" orientation="portrait" r:id="rId1"/>
  <headerFooter>
    <oddFoote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7DE7A-052C-42FA-A960-95C591F3B44B}">
  <sheetPr>
    <tabColor theme="3" tint="0.59999389629810485"/>
  </sheetPr>
  <dimension ref="A1:P9"/>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K11" sqref="K11"/>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33" t="s">
        <v>29</v>
      </c>
      <c r="B1" s="633"/>
      <c r="C1" s="633"/>
      <c r="D1" s="633"/>
      <c r="E1" s="633"/>
      <c r="F1" s="633"/>
      <c r="G1" s="633"/>
      <c r="H1" s="633"/>
      <c r="I1" s="633"/>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35" t="s">
        <v>128</v>
      </c>
      <c r="B3" s="635"/>
      <c r="C3" s="635"/>
      <c r="D3" s="635"/>
      <c r="E3" s="635"/>
      <c r="F3" s="635"/>
      <c r="G3" s="635"/>
      <c r="H3" s="635"/>
      <c r="I3" s="635"/>
      <c r="J3" s="20"/>
      <c r="K3" s="20"/>
      <c r="L3" s="24"/>
      <c r="M3" s="20"/>
      <c r="N3" s="20"/>
      <c r="O3" s="24"/>
    </row>
    <row r="4" spans="1:16" ht="18" customHeight="1" thickTop="1" x14ac:dyDescent="0.25">
      <c r="A4" s="636" t="s">
        <v>32</v>
      </c>
      <c r="B4" s="638" t="s">
        <v>0</v>
      </c>
      <c r="C4" s="639"/>
      <c r="D4" s="639"/>
      <c r="E4" s="640"/>
      <c r="F4" s="644" t="s">
        <v>34</v>
      </c>
      <c r="G4" s="644" t="s">
        <v>31</v>
      </c>
      <c r="H4" s="646" t="s">
        <v>36</v>
      </c>
      <c r="I4" s="648" t="s">
        <v>35</v>
      </c>
      <c r="J4" s="650" t="s">
        <v>91</v>
      </c>
      <c r="K4" s="651"/>
      <c r="L4" s="652"/>
      <c r="M4" s="653" t="s">
        <v>92</v>
      </c>
      <c r="N4" s="651"/>
      <c r="O4" s="654"/>
    </row>
    <row r="5" spans="1:16" ht="36.75" customHeight="1" x14ac:dyDescent="0.25">
      <c r="A5" s="637"/>
      <c r="B5" s="641"/>
      <c r="C5" s="642"/>
      <c r="D5" s="642"/>
      <c r="E5" s="643"/>
      <c r="F5" s="645"/>
      <c r="G5" s="645"/>
      <c r="H5" s="647"/>
      <c r="I5" s="649"/>
      <c r="J5" s="8" t="s">
        <v>87</v>
      </c>
      <c r="K5" s="9" t="s">
        <v>88</v>
      </c>
      <c r="L5" s="9" t="s">
        <v>90</v>
      </c>
      <c r="M5" s="9" t="s">
        <v>87</v>
      </c>
      <c r="N5" s="9" t="s">
        <v>88</v>
      </c>
      <c r="O5" s="10" t="s">
        <v>89</v>
      </c>
    </row>
    <row r="6" spans="1:16" s="26" customFormat="1" ht="78.75" customHeight="1" x14ac:dyDescent="0.25">
      <c r="A6" s="3">
        <v>11</v>
      </c>
      <c r="B6" s="696" t="s">
        <v>152</v>
      </c>
      <c r="C6" s="697"/>
      <c r="D6" s="697"/>
      <c r="E6" s="698"/>
      <c r="F6" s="28"/>
      <c r="G6" s="12"/>
      <c r="H6" s="30"/>
      <c r="I6" s="31"/>
      <c r="J6" s="32"/>
      <c r="K6" s="33"/>
      <c r="L6" s="33"/>
      <c r="M6" s="33"/>
      <c r="N6" s="33"/>
      <c r="O6" s="31"/>
      <c r="P6" s="664">
        <f>SUM(I7)</f>
        <v>4500</v>
      </c>
    </row>
    <row r="7" spans="1:16" ht="76.5" customHeight="1" thickBot="1" x14ac:dyDescent="0.3">
      <c r="A7" s="11"/>
      <c r="B7" s="683" t="s">
        <v>148</v>
      </c>
      <c r="C7" s="684"/>
      <c r="D7" s="684"/>
      <c r="E7" s="685"/>
      <c r="F7" s="73">
        <v>2</v>
      </c>
      <c r="G7" s="74" t="s">
        <v>1</v>
      </c>
      <c r="H7" s="75">
        <v>2250</v>
      </c>
      <c r="I7" s="76">
        <f>H7*F7</f>
        <v>4500</v>
      </c>
      <c r="J7" s="77"/>
      <c r="K7" s="78">
        <f t="shared" ref="K7" si="0">L7-J7</f>
        <v>0</v>
      </c>
      <c r="L7" s="78"/>
      <c r="M7" s="78">
        <f t="shared" ref="M7" si="1">+J7*H7</f>
        <v>0</v>
      </c>
      <c r="N7" s="78">
        <f t="shared" ref="N7" si="2">O7-M7</f>
        <v>0</v>
      </c>
      <c r="O7" s="76">
        <f t="shared" ref="O7" si="3">H7*L7</f>
        <v>0</v>
      </c>
      <c r="P7" s="665"/>
    </row>
    <row r="8" spans="1:16" s="26" customFormat="1" ht="21" customHeight="1" thickTop="1" thickBot="1" x14ac:dyDescent="0.3">
      <c r="A8" s="6"/>
      <c r="B8" s="702" t="s">
        <v>86</v>
      </c>
      <c r="C8" s="703"/>
      <c r="D8" s="703"/>
      <c r="E8" s="704"/>
      <c r="F8" s="7"/>
      <c r="G8" s="7"/>
      <c r="H8" s="15"/>
      <c r="I8" s="16">
        <f>SUM(I6:I7)</f>
        <v>4500</v>
      </c>
      <c r="J8" s="17"/>
      <c r="K8" s="18"/>
      <c r="L8" s="18"/>
      <c r="M8" s="18">
        <f>SUM(M6:M7)</f>
        <v>0</v>
      </c>
      <c r="N8" s="18">
        <f>SUM(N6:N7)</f>
        <v>0</v>
      </c>
      <c r="O8" s="19">
        <f>SUM(O6:O7)</f>
        <v>0</v>
      </c>
      <c r="P8" s="70">
        <f>SUM(P6:P7)</f>
        <v>4500</v>
      </c>
    </row>
    <row r="9" spans="1:16" ht="13.8" thickTop="1" x14ac:dyDescent="0.25"/>
  </sheetData>
  <mergeCells count="14">
    <mergeCell ref="A1:I1"/>
    <mergeCell ref="A3:I3"/>
    <mergeCell ref="A4:A5"/>
    <mergeCell ref="B4:E5"/>
    <mergeCell ref="F4:F5"/>
    <mergeCell ref="G4:G5"/>
    <mergeCell ref="H4:H5"/>
    <mergeCell ref="I4:I5"/>
    <mergeCell ref="B8:E8"/>
    <mergeCell ref="B6:E6"/>
    <mergeCell ref="P6:P7"/>
    <mergeCell ref="B7:E7"/>
    <mergeCell ref="J4:L4"/>
    <mergeCell ref="M4:O4"/>
  </mergeCells>
  <printOptions horizontalCentered="1"/>
  <pageMargins left="0.2" right="0.2" top="0.3" bottom="0.3" header="0" footer="0"/>
  <pageSetup paperSize="9" scale="53" fitToHeight="5" orientation="portrait" r:id="rId1"/>
  <headerFooter>
    <oddFooter>Page &amp;P of &amp;N</oddFooter>
  </headerFooter>
  <rowBreaks count="1" manualBreakCount="1">
    <brk id="8" max="14"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079A0-1E37-4BA2-B035-AF223AD573FF}">
  <sheetPr>
    <tabColor theme="3" tint="0.59999389629810485"/>
  </sheetPr>
  <dimension ref="A1:P9"/>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P10" sqref="P10"/>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33" t="s">
        <v>29</v>
      </c>
      <c r="B1" s="633"/>
      <c r="C1" s="633"/>
      <c r="D1" s="633"/>
      <c r="E1" s="633"/>
      <c r="F1" s="633"/>
      <c r="G1" s="633"/>
      <c r="H1" s="633"/>
      <c r="I1" s="633"/>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35" t="s">
        <v>128</v>
      </c>
      <c r="B3" s="635"/>
      <c r="C3" s="635"/>
      <c r="D3" s="635"/>
      <c r="E3" s="635"/>
      <c r="F3" s="635"/>
      <c r="G3" s="635"/>
      <c r="H3" s="635"/>
      <c r="I3" s="635"/>
      <c r="J3" s="20"/>
      <c r="K3" s="20"/>
      <c r="L3" s="24"/>
      <c r="M3" s="20"/>
      <c r="N3" s="20"/>
      <c r="O3" s="24"/>
    </row>
    <row r="4" spans="1:16" ht="18" customHeight="1" thickTop="1" x14ac:dyDescent="0.25">
      <c r="A4" s="636" t="s">
        <v>32</v>
      </c>
      <c r="B4" s="638" t="s">
        <v>0</v>
      </c>
      <c r="C4" s="639"/>
      <c r="D4" s="639"/>
      <c r="E4" s="640"/>
      <c r="F4" s="644" t="s">
        <v>34</v>
      </c>
      <c r="G4" s="644" t="s">
        <v>31</v>
      </c>
      <c r="H4" s="646" t="s">
        <v>36</v>
      </c>
      <c r="I4" s="648" t="s">
        <v>35</v>
      </c>
      <c r="J4" s="650" t="s">
        <v>91</v>
      </c>
      <c r="K4" s="651"/>
      <c r="L4" s="652"/>
      <c r="M4" s="653" t="s">
        <v>92</v>
      </c>
      <c r="N4" s="651"/>
      <c r="O4" s="654"/>
    </row>
    <row r="5" spans="1:16" ht="36.75" customHeight="1" x14ac:dyDescent="0.25">
      <c r="A5" s="637"/>
      <c r="B5" s="641"/>
      <c r="C5" s="642"/>
      <c r="D5" s="642"/>
      <c r="E5" s="643"/>
      <c r="F5" s="645"/>
      <c r="G5" s="645"/>
      <c r="H5" s="647"/>
      <c r="I5" s="649"/>
      <c r="J5" s="8" t="s">
        <v>87</v>
      </c>
      <c r="K5" s="9" t="s">
        <v>88</v>
      </c>
      <c r="L5" s="9" t="s">
        <v>90</v>
      </c>
      <c r="M5" s="9" t="s">
        <v>87</v>
      </c>
      <c r="N5" s="9" t="s">
        <v>88</v>
      </c>
      <c r="O5" s="10" t="s">
        <v>89</v>
      </c>
    </row>
    <row r="6" spans="1:16" s="26" customFormat="1" ht="138" customHeight="1" x14ac:dyDescent="0.25">
      <c r="A6" s="3">
        <v>12</v>
      </c>
      <c r="B6" s="696" t="s">
        <v>154</v>
      </c>
      <c r="C6" s="697"/>
      <c r="D6" s="697"/>
      <c r="E6" s="698"/>
      <c r="F6" s="28"/>
      <c r="G6" s="12"/>
      <c r="H6" s="30"/>
      <c r="I6" s="31"/>
      <c r="J6" s="32"/>
      <c r="K6" s="33"/>
      <c r="L6" s="33"/>
      <c r="M6" s="33"/>
      <c r="N6" s="33"/>
      <c r="O6" s="31"/>
      <c r="P6" s="664">
        <f>SUM(I7)</f>
        <v>45000</v>
      </c>
    </row>
    <row r="7" spans="1:16" s="27" customFormat="1" ht="205.5" customHeight="1" x14ac:dyDescent="0.25">
      <c r="A7" s="57" t="s">
        <v>3</v>
      </c>
      <c r="B7" s="671" t="s">
        <v>153</v>
      </c>
      <c r="C7" s="672"/>
      <c r="D7" s="672"/>
      <c r="E7" s="673"/>
      <c r="F7" s="60">
        <v>1</v>
      </c>
      <c r="G7" s="61" t="s">
        <v>134</v>
      </c>
      <c r="H7" s="62">
        <v>45000</v>
      </c>
      <c r="I7" s="63">
        <f>H7*F7</f>
        <v>45000</v>
      </c>
      <c r="J7" s="64"/>
      <c r="K7" s="65">
        <f t="shared" ref="K7" si="0">L7-J7</f>
        <v>0</v>
      </c>
      <c r="L7" s="65"/>
      <c r="M7" s="65">
        <f t="shared" ref="M7" si="1">+J7*H7</f>
        <v>0</v>
      </c>
      <c r="N7" s="65">
        <f t="shared" ref="N7" si="2">O7-M7</f>
        <v>0</v>
      </c>
      <c r="O7" s="63">
        <f t="shared" ref="O7" si="3">H7*L7</f>
        <v>0</v>
      </c>
      <c r="P7" s="665"/>
    </row>
    <row r="8" spans="1:16" s="26" customFormat="1" ht="21" customHeight="1" thickBot="1" x14ac:dyDescent="0.3">
      <c r="A8" s="6"/>
      <c r="B8" s="702" t="s">
        <v>86</v>
      </c>
      <c r="C8" s="703"/>
      <c r="D8" s="703"/>
      <c r="E8" s="704"/>
      <c r="F8" s="7"/>
      <c r="G8" s="7"/>
      <c r="H8" s="15"/>
      <c r="I8" s="16">
        <f>SUM(I6:I7)</f>
        <v>45000</v>
      </c>
      <c r="J8" s="17"/>
      <c r="K8" s="18"/>
      <c r="L8" s="18"/>
      <c r="M8" s="18">
        <f>SUM(M6:M7)</f>
        <v>0</v>
      </c>
      <c r="N8" s="18">
        <f>SUM(N6:N7)</f>
        <v>0</v>
      </c>
      <c r="O8" s="19">
        <f>SUM(O6:O7)</f>
        <v>0</v>
      </c>
      <c r="P8" s="70">
        <f>SUM(P6:P7)</f>
        <v>45000</v>
      </c>
    </row>
    <row r="9" spans="1:16" ht="13.8" thickTop="1" x14ac:dyDescent="0.25"/>
  </sheetData>
  <mergeCells count="14">
    <mergeCell ref="A1:I1"/>
    <mergeCell ref="A3:I3"/>
    <mergeCell ref="A4:A5"/>
    <mergeCell ref="B4:E5"/>
    <mergeCell ref="F4:F5"/>
    <mergeCell ref="G4:G5"/>
    <mergeCell ref="H4:H5"/>
    <mergeCell ref="I4:I5"/>
    <mergeCell ref="B8:E8"/>
    <mergeCell ref="J4:L4"/>
    <mergeCell ref="M4:O4"/>
    <mergeCell ref="B6:E6"/>
    <mergeCell ref="P6:P7"/>
    <mergeCell ref="B7:E7"/>
  </mergeCells>
  <printOptions horizontalCentered="1"/>
  <pageMargins left="0.2" right="0.2" top="0.3" bottom="0.3" header="0" footer="0"/>
  <pageSetup paperSize="9" scale="53" fitToHeight="5" orientation="portrait" r:id="rId1"/>
  <headerFooter>
    <oddFooter>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375D3-B9D6-446F-B88F-DF43E7832347}">
  <sheetPr>
    <tabColor theme="3" tint="0.59999389629810485"/>
  </sheetPr>
  <dimension ref="A1:P10"/>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I13" sqref="I13"/>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33" t="s">
        <v>29</v>
      </c>
      <c r="B1" s="633"/>
      <c r="C1" s="633"/>
      <c r="D1" s="633"/>
      <c r="E1" s="633"/>
      <c r="F1" s="633"/>
      <c r="G1" s="633"/>
      <c r="H1" s="633"/>
      <c r="I1" s="633"/>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35" t="s">
        <v>128</v>
      </c>
      <c r="B3" s="635"/>
      <c r="C3" s="635"/>
      <c r="D3" s="635"/>
      <c r="E3" s="635"/>
      <c r="F3" s="635"/>
      <c r="G3" s="635"/>
      <c r="H3" s="635"/>
      <c r="I3" s="635"/>
      <c r="J3" s="20"/>
      <c r="K3" s="20"/>
      <c r="L3" s="24"/>
      <c r="M3" s="20"/>
      <c r="N3" s="20"/>
      <c r="O3" s="24"/>
    </row>
    <row r="4" spans="1:16" ht="18" customHeight="1" thickTop="1" x14ac:dyDescent="0.25">
      <c r="A4" s="636" t="s">
        <v>32</v>
      </c>
      <c r="B4" s="638" t="s">
        <v>0</v>
      </c>
      <c r="C4" s="639"/>
      <c r="D4" s="639"/>
      <c r="E4" s="640"/>
      <c r="F4" s="644" t="s">
        <v>34</v>
      </c>
      <c r="G4" s="644" t="s">
        <v>31</v>
      </c>
      <c r="H4" s="646" t="s">
        <v>36</v>
      </c>
      <c r="I4" s="648" t="s">
        <v>35</v>
      </c>
      <c r="J4" s="650" t="s">
        <v>91</v>
      </c>
      <c r="K4" s="651"/>
      <c r="L4" s="652"/>
      <c r="M4" s="653" t="s">
        <v>92</v>
      </c>
      <c r="N4" s="651"/>
      <c r="O4" s="654"/>
    </row>
    <row r="5" spans="1:16" ht="36.75" customHeight="1" x14ac:dyDescent="0.25">
      <c r="A5" s="637"/>
      <c r="B5" s="641"/>
      <c r="C5" s="642"/>
      <c r="D5" s="642"/>
      <c r="E5" s="643"/>
      <c r="F5" s="645"/>
      <c r="G5" s="645"/>
      <c r="H5" s="647"/>
      <c r="I5" s="649"/>
      <c r="J5" s="8" t="s">
        <v>87</v>
      </c>
      <c r="K5" s="9" t="s">
        <v>88</v>
      </c>
      <c r="L5" s="9" t="s">
        <v>90</v>
      </c>
      <c r="M5" s="9" t="s">
        <v>87</v>
      </c>
      <c r="N5" s="9" t="s">
        <v>88</v>
      </c>
      <c r="O5" s="10" t="s">
        <v>89</v>
      </c>
    </row>
    <row r="6" spans="1:16" s="26" customFormat="1" ht="93.75" customHeight="1" x14ac:dyDescent="0.25">
      <c r="A6" s="3">
        <v>13</v>
      </c>
      <c r="B6" s="696" t="s">
        <v>155</v>
      </c>
      <c r="C6" s="697"/>
      <c r="D6" s="697"/>
      <c r="E6" s="698"/>
      <c r="F6" s="28"/>
      <c r="G6" s="12"/>
      <c r="H6" s="30"/>
      <c r="I6" s="31"/>
      <c r="J6" s="32"/>
      <c r="K6" s="33"/>
      <c r="L6" s="33"/>
      <c r="M6" s="33"/>
      <c r="N6" s="33"/>
      <c r="O6" s="31"/>
      <c r="P6" s="664">
        <f>SUM(I7)</f>
        <v>574000</v>
      </c>
    </row>
    <row r="7" spans="1:16" s="27" customFormat="1" ht="135" customHeight="1" x14ac:dyDescent="0.25">
      <c r="A7" s="4" t="s">
        <v>3</v>
      </c>
      <c r="B7" s="668" t="s">
        <v>157</v>
      </c>
      <c r="C7" s="669"/>
      <c r="D7" s="669"/>
      <c r="E7" s="670"/>
      <c r="F7" s="66">
        <v>1</v>
      </c>
      <c r="G7" s="12" t="s">
        <v>134</v>
      </c>
      <c r="H7" s="30">
        <v>574000</v>
      </c>
      <c r="I7" s="31">
        <f>H7*F7</f>
        <v>574000</v>
      </c>
      <c r="J7" s="32"/>
      <c r="K7" s="33">
        <f t="shared" ref="K7" si="0">L7-J7</f>
        <v>0</v>
      </c>
      <c r="L7" s="33"/>
      <c r="M7" s="33">
        <f t="shared" ref="M7" si="1">+J7*H7</f>
        <v>0</v>
      </c>
      <c r="N7" s="33">
        <f t="shared" ref="N7" si="2">O7-M7</f>
        <v>0</v>
      </c>
      <c r="O7" s="31">
        <f t="shared" ref="O7" si="3">H7*L7</f>
        <v>0</v>
      </c>
      <c r="P7" s="665"/>
    </row>
    <row r="8" spans="1:16" s="27" customFormat="1" ht="21" customHeight="1" x14ac:dyDescent="0.25">
      <c r="A8" s="51" t="s">
        <v>15</v>
      </c>
      <c r="B8" s="671" t="s">
        <v>156</v>
      </c>
      <c r="C8" s="672"/>
      <c r="D8" s="672"/>
      <c r="E8" s="673"/>
      <c r="F8" s="71"/>
      <c r="G8" s="72"/>
      <c r="H8" s="53"/>
      <c r="I8" s="54"/>
      <c r="J8" s="55"/>
      <c r="K8" s="56"/>
      <c r="L8" s="56"/>
      <c r="M8" s="56"/>
      <c r="N8" s="56"/>
      <c r="O8" s="54"/>
      <c r="P8" s="665"/>
    </row>
    <row r="9" spans="1:16" s="26" customFormat="1" ht="21" customHeight="1" thickBot="1" x14ac:dyDescent="0.3">
      <c r="A9" s="6"/>
      <c r="B9" s="702" t="s">
        <v>86</v>
      </c>
      <c r="C9" s="703"/>
      <c r="D9" s="703"/>
      <c r="E9" s="704"/>
      <c r="F9" s="7"/>
      <c r="G9" s="7"/>
      <c r="H9" s="15"/>
      <c r="I9" s="16">
        <f>SUM(I6:I8)</f>
        <v>574000</v>
      </c>
      <c r="J9" s="17"/>
      <c r="K9" s="18"/>
      <c r="L9" s="18"/>
      <c r="M9" s="18">
        <f>SUM(M6:M8)</f>
        <v>0</v>
      </c>
      <c r="N9" s="18">
        <f>SUM(N6:N8)</f>
        <v>0</v>
      </c>
      <c r="O9" s="19">
        <f>SUM(O6:O8)</f>
        <v>0</v>
      </c>
      <c r="P9" s="70">
        <f>SUM(P6:P8)</f>
        <v>574000</v>
      </c>
    </row>
    <row r="10" spans="1:16" ht="13.8" thickTop="1" x14ac:dyDescent="0.25"/>
  </sheetData>
  <mergeCells count="15">
    <mergeCell ref="J4:L4"/>
    <mergeCell ref="M4:O4"/>
    <mergeCell ref="A1:I1"/>
    <mergeCell ref="A3:I3"/>
    <mergeCell ref="A4:A5"/>
    <mergeCell ref="B4:E5"/>
    <mergeCell ref="F4:F5"/>
    <mergeCell ref="G4:G5"/>
    <mergeCell ref="H4:H5"/>
    <mergeCell ref="I4:I5"/>
    <mergeCell ref="B9:E9"/>
    <mergeCell ref="B6:E6"/>
    <mergeCell ref="P6:P8"/>
    <mergeCell ref="B7:E7"/>
    <mergeCell ref="B8:E8"/>
  </mergeCells>
  <printOptions horizontalCentered="1"/>
  <pageMargins left="0.2" right="0.2" top="0.3" bottom="0.3" header="0" footer="0"/>
  <pageSetup paperSize="9" scale="53" fitToHeight="5" orientation="portrait" r:id="rId1"/>
  <headerFooter>
    <oddFooter>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915DE-159C-4213-9014-F2191C830685}">
  <sheetPr>
    <tabColor theme="3" tint="0.59999389629810485"/>
  </sheetPr>
  <dimension ref="A1:P10"/>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P6" sqref="P6:P8"/>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33" t="s">
        <v>29</v>
      </c>
      <c r="B1" s="633"/>
      <c r="C1" s="633"/>
      <c r="D1" s="633"/>
      <c r="E1" s="633"/>
      <c r="F1" s="633"/>
      <c r="G1" s="633"/>
      <c r="H1" s="633"/>
      <c r="I1" s="633"/>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35" t="s">
        <v>128</v>
      </c>
      <c r="B3" s="635"/>
      <c r="C3" s="635"/>
      <c r="D3" s="635"/>
      <c r="E3" s="635"/>
      <c r="F3" s="635"/>
      <c r="G3" s="635"/>
      <c r="H3" s="635"/>
      <c r="I3" s="635"/>
      <c r="J3" s="20"/>
      <c r="K3" s="20"/>
      <c r="L3" s="24"/>
      <c r="M3" s="20"/>
      <c r="N3" s="20"/>
      <c r="O3" s="24"/>
    </row>
    <row r="4" spans="1:16" ht="18" customHeight="1" thickTop="1" x14ac:dyDescent="0.25">
      <c r="A4" s="636" t="s">
        <v>32</v>
      </c>
      <c r="B4" s="638" t="s">
        <v>0</v>
      </c>
      <c r="C4" s="639"/>
      <c r="D4" s="639"/>
      <c r="E4" s="640"/>
      <c r="F4" s="644" t="s">
        <v>34</v>
      </c>
      <c r="G4" s="644" t="s">
        <v>31</v>
      </c>
      <c r="H4" s="646" t="s">
        <v>36</v>
      </c>
      <c r="I4" s="648" t="s">
        <v>35</v>
      </c>
      <c r="J4" s="650" t="s">
        <v>91</v>
      </c>
      <c r="K4" s="651"/>
      <c r="L4" s="652"/>
      <c r="M4" s="653" t="s">
        <v>92</v>
      </c>
      <c r="N4" s="651"/>
      <c r="O4" s="654"/>
    </row>
    <row r="5" spans="1:16" ht="36.75" customHeight="1" x14ac:dyDescent="0.25">
      <c r="A5" s="637"/>
      <c r="B5" s="641"/>
      <c r="C5" s="642"/>
      <c r="D5" s="642"/>
      <c r="E5" s="643"/>
      <c r="F5" s="645"/>
      <c r="G5" s="645"/>
      <c r="H5" s="647"/>
      <c r="I5" s="649"/>
      <c r="J5" s="8" t="s">
        <v>87</v>
      </c>
      <c r="K5" s="9" t="s">
        <v>88</v>
      </c>
      <c r="L5" s="9" t="s">
        <v>90</v>
      </c>
      <c r="M5" s="9" t="s">
        <v>87</v>
      </c>
      <c r="N5" s="9" t="s">
        <v>88</v>
      </c>
      <c r="O5" s="10" t="s">
        <v>89</v>
      </c>
    </row>
    <row r="6" spans="1:16" s="26" customFormat="1" ht="93.75" customHeight="1" x14ac:dyDescent="0.25">
      <c r="A6" s="3">
        <v>14</v>
      </c>
      <c r="B6" s="696" t="s">
        <v>158</v>
      </c>
      <c r="C6" s="697"/>
      <c r="D6" s="697"/>
      <c r="E6" s="698"/>
      <c r="F6" s="28"/>
      <c r="G6" s="12"/>
      <c r="H6" s="30"/>
      <c r="I6" s="31"/>
      <c r="J6" s="32"/>
      <c r="K6" s="33"/>
      <c r="L6" s="33"/>
      <c r="M6" s="33"/>
      <c r="N6" s="33"/>
      <c r="O6" s="31"/>
      <c r="P6" s="664">
        <f>SUM(I7)</f>
        <v>289250</v>
      </c>
    </row>
    <row r="7" spans="1:16" s="27" customFormat="1" ht="100.5" customHeight="1" x14ac:dyDescent="0.25">
      <c r="A7" s="4" t="s">
        <v>3</v>
      </c>
      <c r="B7" s="668" t="s">
        <v>159</v>
      </c>
      <c r="C7" s="669"/>
      <c r="D7" s="669"/>
      <c r="E7" s="670"/>
      <c r="F7" s="67">
        <v>130</v>
      </c>
      <c r="G7" s="12" t="s">
        <v>5</v>
      </c>
      <c r="H7" s="30">
        <v>2225</v>
      </c>
      <c r="I7" s="31">
        <f>H7*F7</f>
        <v>289250</v>
      </c>
      <c r="J7" s="32"/>
      <c r="K7" s="33">
        <f t="shared" ref="K7" si="0">L7-J7</f>
        <v>0</v>
      </c>
      <c r="L7" s="33"/>
      <c r="M7" s="33">
        <f t="shared" ref="M7" si="1">+J7*H7</f>
        <v>0</v>
      </c>
      <c r="N7" s="33">
        <f t="shared" ref="N7" si="2">O7-M7</f>
        <v>0</v>
      </c>
      <c r="O7" s="31">
        <f t="shared" ref="O7" si="3">H7*L7</f>
        <v>0</v>
      </c>
      <c r="P7" s="665"/>
    </row>
    <row r="8" spans="1:16" ht="12" customHeight="1" x14ac:dyDescent="0.25">
      <c r="A8" s="5"/>
      <c r="B8" s="47"/>
      <c r="C8" s="48"/>
      <c r="D8" s="48"/>
      <c r="E8" s="49"/>
      <c r="F8" s="36"/>
      <c r="G8" s="22"/>
      <c r="H8" s="37"/>
      <c r="I8" s="38"/>
      <c r="J8" s="39"/>
      <c r="K8" s="40"/>
      <c r="L8" s="40"/>
      <c r="M8" s="40"/>
      <c r="N8" s="40"/>
      <c r="O8" s="38"/>
      <c r="P8" s="665"/>
    </row>
    <row r="9" spans="1:16" s="26" customFormat="1" ht="21" customHeight="1" thickBot="1" x14ac:dyDescent="0.3">
      <c r="A9" s="6"/>
      <c r="B9" s="702" t="s">
        <v>86</v>
      </c>
      <c r="C9" s="703"/>
      <c r="D9" s="703"/>
      <c r="E9" s="704"/>
      <c r="F9" s="7"/>
      <c r="G9" s="7"/>
      <c r="H9" s="15"/>
      <c r="I9" s="16">
        <f>SUM(I6:I7)</f>
        <v>289250</v>
      </c>
      <c r="J9" s="17"/>
      <c r="K9" s="18"/>
      <c r="L9" s="18"/>
      <c r="M9" s="18">
        <f>SUM(M6:M8)</f>
        <v>0</v>
      </c>
      <c r="N9" s="18">
        <f>SUM(N6:N8)</f>
        <v>0</v>
      </c>
      <c r="O9" s="19">
        <f>SUM(O6:O8)</f>
        <v>0</v>
      </c>
      <c r="P9" s="70">
        <f>SUM(P6:P8)</f>
        <v>289250</v>
      </c>
    </row>
    <row r="10" spans="1:16" ht="13.8" thickTop="1" x14ac:dyDescent="0.25"/>
  </sheetData>
  <mergeCells count="14">
    <mergeCell ref="A1:I1"/>
    <mergeCell ref="A3:I3"/>
    <mergeCell ref="A4:A5"/>
    <mergeCell ref="B4:E5"/>
    <mergeCell ref="F4:F5"/>
    <mergeCell ref="G4:G5"/>
    <mergeCell ref="H4:H5"/>
    <mergeCell ref="I4:I5"/>
    <mergeCell ref="B6:E6"/>
    <mergeCell ref="P6:P8"/>
    <mergeCell ref="B7:E7"/>
    <mergeCell ref="B9:E9"/>
    <mergeCell ref="J4:L4"/>
    <mergeCell ref="M4:O4"/>
  </mergeCells>
  <printOptions horizontalCentered="1"/>
  <pageMargins left="0.2" right="0.2" top="0.3" bottom="0.3" header="0" footer="0"/>
  <pageSetup paperSize="9" scale="53" fitToHeight="5" orientation="portrait" r:id="rId1"/>
  <headerFooter>
    <oddFooter>Page &amp;P of &amp;N</oddFooter>
  </headerFooter>
  <rowBreaks count="1" manualBreakCount="1">
    <brk id="5" max="1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111DA-8F1F-4BFD-9605-9784263E788A}">
  <dimension ref="B5:J98"/>
  <sheetViews>
    <sheetView view="pageBreakPreview" topLeftCell="A22" zoomScaleNormal="40" zoomScaleSheetLayoutView="100" workbookViewId="0">
      <selection activeCell="E23" sqref="E23"/>
    </sheetView>
  </sheetViews>
  <sheetFormatPr defaultRowHeight="12.6" x14ac:dyDescent="0.2"/>
  <cols>
    <col min="1" max="1" width="4" style="93" customWidth="1"/>
    <col min="2" max="2" width="3.109375" style="93" customWidth="1"/>
    <col min="3" max="3" width="9.109375" style="93"/>
    <col min="4" max="4" width="4.109375" style="93" customWidth="1"/>
    <col min="5" max="5" width="53" style="93" customWidth="1"/>
    <col min="6" max="6" width="21.6640625" style="93" customWidth="1"/>
    <col min="7" max="7" width="7.88671875" style="93" customWidth="1"/>
    <col min="8" max="8" width="18.88671875" style="93" customWidth="1"/>
    <col min="9" max="9" width="15.44140625" style="93" customWidth="1"/>
    <col min="10" max="10" width="11.5546875" style="93" bestFit="1" customWidth="1"/>
    <col min="11" max="256" width="9.109375" style="93"/>
    <col min="257" max="257" width="4" style="93" customWidth="1"/>
    <col min="258" max="258" width="3.109375" style="93" customWidth="1"/>
    <col min="259" max="259" width="9.109375" style="93"/>
    <col min="260" max="260" width="4.109375" style="93" customWidth="1"/>
    <col min="261" max="261" width="53" style="93" customWidth="1"/>
    <col min="262" max="262" width="21.6640625" style="93" customWidth="1"/>
    <col min="263" max="263" width="7.88671875" style="93" customWidth="1"/>
    <col min="264" max="264" width="18.88671875" style="93" customWidth="1"/>
    <col min="265" max="265" width="15.44140625" style="93" customWidth="1"/>
    <col min="266" max="266" width="11.5546875" style="93" bestFit="1" customWidth="1"/>
    <col min="267" max="512" width="9.109375" style="93"/>
    <col min="513" max="513" width="4" style="93" customWidth="1"/>
    <col min="514" max="514" width="3.109375" style="93" customWidth="1"/>
    <col min="515" max="515" width="9.109375" style="93"/>
    <col min="516" max="516" width="4.109375" style="93" customWidth="1"/>
    <col min="517" max="517" width="53" style="93" customWidth="1"/>
    <col min="518" max="518" width="21.6640625" style="93" customWidth="1"/>
    <col min="519" max="519" width="7.88671875" style="93" customWidth="1"/>
    <col min="520" max="520" width="18.88671875" style="93" customWidth="1"/>
    <col min="521" max="521" width="15.44140625" style="93" customWidth="1"/>
    <col min="522" max="522" width="11.5546875" style="93" bestFit="1" customWidth="1"/>
    <col min="523" max="768" width="9.109375" style="93"/>
    <col min="769" max="769" width="4" style="93" customWidth="1"/>
    <col min="770" max="770" width="3.109375" style="93" customWidth="1"/>
    <col min="771" max="771" width="9.109375" style="93"/>
    <col min="772" max="772" width="4.109375" style="93" customWidth="1"/>
    <col min="773" max="773" width="53" style="93" customWidth="1"/>
    <col min="774" max="774" width="21.6640625" style="93" customWidth="1"/>
    <col min="775" max="775" width="7.88671875" style="93" customWidth="1"/>
    <col min="776" max="776" width="18.88671875" style="93" customWidth="1"/>
    <col min="777" max="777" width="15.44140625" style="93" customWidth="1"/>
    <col min="778" max="778" width="11.5546875" style="93" bestFit="1" customWidth="1"/>
    <col min="779" max="1024" width="9.109375" style="93"/>
    <col min="1025" max="1025" width="4" style="93" customWidth="1"/>
    <col min="1026" max="1026" width="3.109375" style="93" customWidth="1"/>
    <col min="1027" max="1027" width="9.109375" style="93"/>
    <col min="1028" max="1028" width="4.109375" style="93" customWidth="1"/>
    <col min="1029" max="1029" width="53" style="93" customWidth="1"/>
    <col min="1030" max="1030" width="21.6640625" style="93" customWidth="1"/>
    <col min="1031" max="1031" width="7.88671875" style="93" customWidth="1"/>
    <col min="1032" max="1032" width="18.88671875" style="93" customWidth="1"/>
    <col min="1033" max="1033" width="15.44140625" style="93" customWidth="1"/>
    <col min="1034" max="1034" width="11.5546875" style="93" bestFit="1" customWidth="1"/>
    <col min="1035" max="1280" width="9.109375" style="93"/>
    <col min="1281" max="1281" width="4" style="93" customWidth="1"/>
    <col min="1282" max="1282" width="3.109375" style="93" customWidth="1"/>
    <col min="1283" max="1283" width="9.109375" style="93"/>
    <col min="1284" max="1284" width="4.109375" style="93" customWidth="1"/>
    <col min="1285" max="1285" width="53" style="93" customWidth="1"/>
    <col min="1286" max="1286" width="21.6640625" style="93" customWidth="1"/>
    <col min="1287" max="1287" width="7.88671875" style="93" customWidth="1"/>
    <col min="1288" max="1288" width="18.88671875" style="93" customWidth="1"/>
    <col min="1289" max="1289" width="15.44140625" style="93" customWidth="1"/>
    <col min="1290" max="1290" width="11.5546875" style="93" bestFit="1" customWidth="1"/>
    <col min="1291" max="1536" width="9.109375" style="93"/>
    <col min="1537" max="1537" width="4" style="93" customWidth="1"/>
    <col min="1538" max="1538" width="3.109375" style="93" customWidth="1"/>
    <col min="1539" max="1539" width="9.109375" style="93"/>
    <col min="1540" max="1540" width="4.109375" style="93" customWidth="1"/>
    <col min="1541" max="1541" width="53" style="93" customWidth="1"/>
    <col min="1542" max="1542" width="21.6640625" style="93" customWidth="1"/>
    <col min="1543" max="1543" width="7.88671875" style="93" customWidth="1"/>
    <col min="1544" max="1544" width="18.88671875" style="93" customWidth="1"/>
    <col min="1545" max="1545" width="15.44140625" style="93" customWidth="1"/>
    <col min="1546" max="1546" width="11.5546875" style="93" bestFit="1" customWidth="1"/>
    <col min="1547" max="1792" width="9.109375" style="93"/>
    <col min="1793" max="1793" width="4" style="93" customWidth="1"/>
    <col min="1794" max="1794" width="3.109375" style="93" customWidth="1"/>
    <col min="1795" max="1795" width="9.109375" style="93"/>
    <col min="1796" max="1796" width="4.109375" style="93" customWidth="1"/>
    <col min="1797" max="1797" width="53" style="93" customWidth="1"/>
    <col min="1798" max="1798" width="21.6640625" style="93" customWidth="1"/>
    <col min="1799" max="1799" width="7.88671875" style="93" customWidth="1"/>
    <col min="1800" max="1800" width="18.88671875" style="93" customWidth="1"/>
    <col min="1801" max="1801" width="15.44140625" style="93" customWidth="1"/>
    <col min="1802" max="1802" width="11.5546875" style="93" bestFit="1" customWidth="1"/>
    <col min="1803" max="2048" width="9.109375" style="93"/>
    <col min="2049" max="2049" width="4" style="93" customWidth="1"/>
    <col min="2050" max="2050" width="3.109375" style="93" customWidth="1"/>
    <col min="2051" max="2051" width="9.109375" style="93"/>
    <col min="2052" max="2052" width="4.109375" style="93" customWidth="1"/>
    <col min="2053" max="2053" width="53" style="93" customWidth="1"/>
    <col min="2054" max="2054" width="21.6640625" style="93" customWidth="1"/>
    <col min="2055" max="2055" width="7.88671875" style="93" customWidth="1"/>
    <col min="2056" max="2056" width="18.88671875" style="93" customWidth="1"/>
    <col min="2057" max="2057" width="15.44140625" style="93" customWidth="1"/>
    <col min="2058" max="2058" width="11.5546875" style="93" bestFit="1" customWidth="1"/>
    <col min="2059" max="2304" width="9.109375" style="93"/>
    <col min="2305" max="2305" width="4" style="93" customWidth="1"/>
    <col min="2306" max="2306" width="3.109375" style="93" customWidth="1"/>
    <col min="2307" max="2307" width="9.109375" style="93"/>
    <col min="2308" max="2308" width="4.109375" style="93" customWidth="1"/>
    <col min="2309" max="2309" width="53" style="93" customWidth="1"/>
    <col min="2310" max="2310" width="21.6640625" style="93" customWidth="1"/>
    <col min="2311" max="2311" width="7.88671875" style="93" customWidth="1"/>
    <col min="2312" max="2312" width="18.88671875" style="93" customWidth="1"/>
    <col min="2313" max="2313" width="15.44140625" style="93" customWidth="1"/>
    <col min="2314" max="2314" width="11.5546875" style="93" bestFit="1" customWidth="1"/>
    <col min="2315" max="2560" width="9.109375" style="93"/>
    <col min="2561" max="2561" width="4" style="93" customWidth="1"/>
    <col min="2562" max="2562" width="3.109375" style="93" customWidth="1"/>
    <col min="2563" max="2563" width="9.109375" style="93"/>
    <col min="2564" max="2564" width="4.109375" style="93" customWidth="1"/>
    <col min="2565" max="2565" width="53" style="93" customWidth="1"/>
    <col min="2566" max="2566" width="21.6640625" style="93" customWidth="1"/>
    <col min="2567" max="2567" width="7.88671875" style="93" customWidth="1"/>
    <col min="2568" max="2568" width="18.88671875" style="93" customWidth="1"/>
    <col min="2569" max="2569" width="15.44140625" style="93" customWidth="1"/>
    <col min="2570" max="2570" width="11.5546875" style="93" bestFit="1" customWidth="1"/>
    <col min="2571" max="2816" width="9.109375" style="93"/>
    <col min="2817" max="2817" width="4" style="93" customWidth="1"/>
    <col min="2818" max="2818" width="3.109375" style="93" customWidth="1"/>
    <col min="2819" max="2819" width="9.109375" style="93"/>
    <col min="2820" max="2820" width="4.109375" style="93" customWidth="1"/>
    <col min="2821" max="2821" width="53" style="93" customWidth="1"/>
    <col min="2822" max="2822" width="21.6640625" style="93" customWidth="1"/>
    <col min="2823" max="2823" width="7.88671875" style="93" customWidth="1"/>
    <col min="2824" max="2824" width="18.88671875" style="93" customWidth="1"/>
    <col min="2825" max="2825" width="15.44140625" style="93" customWidth="1"/>
    <col min="2826" max="2826" width="11.5546875" style="93" bestFit="1" customWidth="1"/>
    <col min="2827" max="3072" width="9.109375" style="93"/>
    <col min="3073" max="3073" width="4" style="93" customWidth="1"/>
    <col min="3074" max="3074" width="3.109375" style="93" customWidth="1"/>
    <col min="3075" max="3075" width="9.109375" style="93"/>
    <col min="3076" max="3076" width="4.109375" style="93" customWidth="1"/>
    <col min="3077" max="3077" width="53" style="93" customWidth="1"/>
    <col min="3078" max="3078" width="21.6640625" style="93" customWidth="1"/>
    <col min="3079" max="3079" width="7.88671875" style="93" customWidth="1"/>
    <col min="3080" max="3080" width="18.88671875" style="93" customWidth="1"/>
    <col min="3081" max="3081" width="15.44140625" style="93" customWidth="1"/>
    <col min="3082" max="3082" width="11.5546875" style="93" bestFit="1" customWidth="1"/>
    <col min="3083" max="3328" width="9.109375" style="93"/>
    <col min="3329" max="3329" width="4" style="93" customWidth="1"/>
    <col min="3330" max="3330" width="3.109375" style="93" customWidth="1"/>
    <col min="3331" max="3331" width="9.109375" style="93"/>
    <col min="3332" max="3332" width="4.109375" style="93" customWidth="1"/>
    <col min="3333" max="3333" width="53" style="93" customWidth="1"/>
    <col min="3334" max="3334" width="21.6640625" style="93" customWidth="1"/>
    <col min="3335" max="3335" width="7.88671875" style="93" customWidth="1"/>
    <col min="3336" max="3336" width="18.88671875" style="93" customWidth="1"/>
    <col min="3337" max="3337" width="15.44140625" style="93" customWidth="1"/>
    <col min="3338" max="3338" width="11.5546875" style="93" bestFit="1" customWidth="1"/>
    <col min="3339" max="3584" width="9.109375" style="93"/>
    <col min="3585" max="3585" width="4" style="93" customWidth="1"/>
    <col min="3586" max="3586" width="3.109375" style="93" customWidth="1"/>
    <col min="3587" max="3587" width="9.109375" style="93"/>
    <col min="3588" max="3588" width="4.109375" style="93" customWidth="1"/>
    <col min="3589" max="3589" width="53" style="93" customWidth="1"/>
    <col min="3590" max="3590" width="21.6640625" style="93" customWidth="1"/>
    <col min="3591" max="3591" width="7.88671875" style="93" customWidth="1"/>
    <col min="3592" max="3592" width="18.88671875" style="93" customWidth="1"/>
    <col min="3593" max="3593" width="15.44140625" style="93" customWidth="1"/>
    <col min="3594" max="3594" width="11.5546875" style="93" bestFit="1" customWidth="1"/>
    <col min="3595" max="3840" width="9.109375" style="93"/>
    <col min="3841" max="3841" width="4" style="93" customWidth="1"/>
    <col min="3842" max="3842" width="3.109375" style="93" customWidth="1"/>
    <col min="3843" max="3843" width="9.109375" style="93"/>
    <col min="3844" max="3844" width="4.109375" style="93" customWidth="1"/>
    <col min="3845" max="3845" width="53" style="93" customWidth="1"/>
    <col min="3846" max="3846" width="21.6640625" style="93" customWidth="1"/>
    <col min="3847" max="3847" width="7.88671875" style="93" customWidth="1"/>
    <col min="3848" max="3848" width="18.88671875" style="93" customWidth="1"/>
    <col min="3849" max="3849" width="15.44140625" style="93" customWidth="1"/>
    <col min="3850" max="3850" width="11.5546875" style="93" bestFit="1" customWidth="1"/>
    <col min="3851" max="4096" width="9.109375" style="93"/>
    <col min="4097" max="4097" width="4" style="93" customWidth="1"/>
    <col min="4098" max="4098" width="3.109375" style="93" customWidth="1"/>
    <col min="4099" max="4099" width="9.109375" style="93"/>
    <col min="4100" max="4100" width="4.109375" style="93" customWidth="1"/>
    <col min="4101" max="4101" width="53" style="93" customWidth="1"/>
    <col min="4102" max="4102" width="21.6640625" style="93" customWidth="1"/>
    <col min="4103" max="4103" width="7.88671875" style="93" customWidth="1"/>
    <col min="4104" max="4104" width="18.88671875" style="93" customWidth="1"/>
    <col min="4105" max="4105" width="15.44140625" style="93" customWidth="1"/>
    <col min="4106" max="4106" width="11.5546875" style="93" bestFit="1" customWidth="1"/>
    <col min="4107" max="4352" width="9.109375" style="93"/>
    <col min="4353" max="4353" width="4" style="93" customWidth="1"/>
    <col min="4354" max="4354" width="3.109375" style="93" customWidth="1"/>
    <col min="4355" max="4355" width="9.109375" style="93"/>
    <col min="4356" max="4356" width="4.109375" style="93" customWidth="1"/>
    <col min="4357" max="4357" width="53" style="93" customWidth="1"/>
    <col min="4358" max="4358" width="21.6640625" style="93" customWidth="1"/>
    <col min="4359" max="4359" width="7.88671875" style="93" customWidth="1"/>
    <col min="4360" max="4360" width="18.88671875" style="93" customWidth="1"/>
    <col min="4361" max="4361" width="15.44140625" style="93" customWidth="1"/>
    <col min="4362" max="4362" width="11.5546875" style="93" bestFit="1" customWidth="1"/>
    <col min="4363" max="4608" width="9.109375" style="93"/>
    <col min="4609" max="4609" width="4" style="93" customWidth="1"/>
    <col min="4610" max="4610" width="3.109375" style="93" customWidth="1"/>
    <col min="4611" max="4611" width="9.109375" style="93"/>
    <col min="4612" max="4612" width="4.109375" style="93" customWidth="1"/>
    <col min="4613" max="4613" width="53" style="93" customWidth="1"/>
    <col min="4614" max="4614" width="21.6640625" style="93" customWidth="1"/>
    <col min="4615" max="4615" width="7.88671875" style="93" customWidth="1"/>
    <col min="4616" max="4616" width="18.88671875" style="93" customWidth="1"/>
    <col min="4617" max="4617" width="15.44140625" style="93" customWidth="1"/>
    <col min="4618" max="4618" width="11.5546875" style="93" bestFit="1" customWidth="1"/>
    <col min="4619" max="4864" width="9.109375" style="93"/>
    <col min="4865" max="4865" width="4" style="93" customWidth="1"/>
    <col min="4866" max="4866" width="3.109375" style="93" customWidth="1"/>
    <col min="4867" max="4867" width="9.109375" style="93"/>
    <col min="4868" max="4868" width="4.109375" style="93" customWidth="1"/>
    <col min="4869" max="4869" width="53" style="93" customWidth="1"/>
    <col min="4870" max="4870" width="21.6640625" style="93" customWidth="1"/>
    <col min="4871" max="4871" width="7.88671875" style="93" customWidth="1"/>
    <col min="4872" max="4872" width="18.88671875" style="93" customWidth="1"/>
    <col min="4873" max="4873" width="15.44140625" style="93" customWidth="1"/>
    <col min="4874" max="4874" width="11.5546875" style="93" bestFit="1" customWidth="1"/>
    <col min="4875" max="5120" width="9.109375" style="93"/>
    <col min="5121" max="5121" width="4" style="93" customWidth="1"/>
    <col min="5122" max="5122" width="3.109375" style="93" customWidth="1"/>
    <col min="5123" max="5123" width="9.109375" style="93"/>
    <col min="5124" max="5124" width="4.109375" style="93" customWidth="1"/>
    <col min="5125" max="5125" width="53" style="93" customWidth="1"/>
    <col min="5126" max="5126" width="21.6640625" style="93" customWidth="1"/>
    <col min="5127" max="5127" width="7.88671875" style="93" customWidth="1"/>
    <col min="5128" max="5128" width="18.88671875" style="93" customWidth="1"/>
    <col min="5129" max="5129" width="15.44140625" style="93" customWidth="1"/>
    <col min="5130" max="5130" width="11.5546875" style="93" bestFit="1" customWidth="1"/>
    <col min="5131" max="5376" width="9.109375" style="93"/>
    <col min="5377" max="5377" width="4" style="93" customWidth="1"/>
    <col min="5378" max="5378" width="3.109375" style="93" customWidth="1"/>
    <col min="5379" max="5379" width="9.109375" style="93"/>
    <col min="5380" max="5380" width="4.109375" style="93" customWidth="1"/>
    <col min="5381" max="5381" width="53" style="93" customWidth="1"/>
    <col min="5382" max="5382" width="21.6640625" style="93" customWidth="1"/>
    <col min="5383" max="5383" width="7.88671875" style="93" customWidth="1"/>
    <col min="5384" max="5384" width="18.88671875" style="93" customWidth="1"/>
    <col min="5385" max="5385" width="15.44140625" style="93" customWidth="1"/>
    <col min="5386" max="5386" width="11.5546875" style="93" bestFit="1" customWidth="1"/>
    <col min="5387" max="5632" width="9.109375" style="93"/>
    <col min="5633" max="5633" width="4" style="93" customWidth="1"/>
    <col min="5634" max="5634" width="3.109375" style="93" customWidth="1"/>
    <col min="5635" max="5635" width="9.109375" style="93"/>
    <col min="5636" max="5636" width="4.109375" style="93" customWidth="1"/>
    <col min="5637" max="5637" width="53" style="93" customWidth="1"/>
    <col min="5638" max="5638" width="21.6640625" style="93" customWidth="1"/>
    <col min="5639" max="5639" width="7.88671875" style="93" customWidth="1"/>
    <col min="5640" max="5640" width="18.88671875" style="93" customWidth="1"/>
    <col min="5641" max="5641" width="15.44140625" style="93" customWidth="1"/>
    <col min="5642" max="5642" width="11.5546875" style="93" bestFit="1" customWidth="1"/>
    <col min="5643" max="5888" width="9.109375" style="93"/>
    <col min="5889" max="5889" width="4" style="93" customWidth="1"/>
    <col min="5890" max="5890" width="3.109375" style="93" customWidth="1"/>
    <col min="5891" max="5891" width="9.109375" style="93"/>
    <col min="5892" max="5892" width="4.109375" style="93" customWidth="1"/>
    <col min="5893" max="5893" width="53" style="93" customWidth="1"/>
    <col min="5894" max="5894" width="21.6640625" style="93" customWidth="1"/>
    <col min="5895" max="5895" width="7.88671875" style="93" customWidth="1"/>
    <col min="5896" max="5896" width="18.88671875" style="93" customWidth="1"/>
    <col min="5897" max="5897" width="15.44140625" style="93" customWidth="1"/>
    <col min="5898" max="5898" width="11.5546875" style="93" bestFit="1" customWidth="1"/>
    <col min="5899" max="6144" width="9.109375" style="93"/>
    <col min="6145" max="6145" width="4" style="93" customWidth="1"/>
    <col min="6146" max="6146" width="3.109375" style="93" customWidth="1"/>
    <col min="6147" max="6147" width="9.109375" style="93"/>
    <col min="6148" max="6148" width="4.109375" style="93" customWidth="1"/>
    <col min="6149" max="6149" width="53" style="93" customWidth="1"/>
    <col min="6150" max="6150" width="21.6640625" style="93" customWidth="1"/>
    <col min="6151" max="6151" width="7.88671875" style="93" customWidth="1"/>
    <col min="6152" max="6152" width="18.88671875" style="93" customWidth="1"/>
    <col min="6153" max="6153" width="15.44140625" style="93" customWidth="1"/>
    <col min="6154" max="6154" width="11.5546875" style="93" bestFit="1" customWidth="1"/>
    <col min="6155" max="6400" width="9.109375" style="93"/>
    <col min="6401" max="6401" width="4" style="93" customWidth="1"/>
    <col min="6402" max="6402" width="3.109375" style="93" customWidth="1"/>
    <col min="6403" max="6403" width="9.109375" style="93"/>
    <col min="6404" max="6404" width="4.109375" style="93" customWidth="1"/>
    <col min="6405" max="6405" width="53" style="93" customWidth="1"/>
    <col min="6406" max="6406" width="21.6640625" style="93" customWidth="1"/>
    <col min="6407" max="6407" width="7.88671875" style="93" customWidth="1"/>
    <col min="6408" max="6408" width="18.88671875" style="93" customWidth="1"/>
    <col min="6409" max="6409" width="15.44140625" style="93" customWidth="1"/>
    <col min="6410" max="6410" width="11.5546875" style="93" bestFit="1" customWidth="1"/>
    <col min="6411" max="6656" width="9.109375" style="93"/>
    <col min="6657" max="6657" width="4" style="93" customWidth="1"/>
    <col min="6658" max="6658" width="3.109375" style="93" customWidth="1"/>
    <col min="6659" max="6659" width="9.109375" style="93"/>
    <col min="6660" max="6660" width="4.109375" style="93" customWidth="1"/>
    <col min="6661" max="6661" width="53" style="93" customWidth="1"/>
    <col min="6662" max="6662" width="21.6640625" style="93" customWidth="1"/>
    <col min="6663" max="6663" width="7.88671875" style="93" customWidth="1"/>
    <col min="6664" max="6664" width="18.88671875" style="93" customWidth="1"/>
    <col min="6665" max="6665" width="15.44140625" style="93" customWidth="1"/>
    <col min="6666" max="6666" width="11.5546875" style="93" bestFit="1" customWidth="1"/>
    <col min="6667" max="6912" width="9.109375" style="93"/>
    <col min="6913" max="6913" width="4" style="93" customWidth="1"/>
    <col min="6914" max="6914" width="3.109375" style="93" customWidth="1"/>
    <col min="6915" max="6915" width="9.109375" style="93"/>
    <col min="6916" max="6916" width="4.109375" style="93" customWidth="1"/>
    <col min="6917" max="6917" width="53" style="93" customWidth="1"/>
    <col min="6918" max="6918" width="21.6640625" style="93" customWidth="1"/>
    <col min="6919" max="6919" width="7.88671875" style="93" customWidth="1"/>
    <col min="6920" max="6920" width="18.88671875" style="93" customWidth="1"/>
    <col min="6921" max="6921" width="15.44140625" style="93" customWidth="1"/>
    <col min="6922" max="6922" width="11.5546875" style="93" bestFit="1" customWidth="1"/>
    <col min="6923" max="7168" width="9.109375" style="93"/>
    <col min="7169" max="7169" width="4" style="93" customWidth="1"/>
    <col min="7170" max="7170" width="3.109375" style="93" customWidth="1"/>
    <col min="7171" max="7171" width="9.109375" style="93"/>
    <col min="7172" max="7172" width="4.109375" style="93" customWidth="1"/>
    <col min="7173" max="7173" width="53" style="93" customWidth="1"/>
    <col min="7174" max="7174" width="21.6640625" style="93" customWidth="1"/>
    <col min="7175" max="7175" width="7.88671875" style="93" customWidth="1"/>
    <col min="7176" max="7176" width="18.88671875" style="93" customWidth="1"/>
    <col min="7177" max="7177" width="15.44140625" style="93" customWidth="1"/>
    <col min="7178" max="7178" width="11.5546875" style="93" bestFit="1" customWidth="1"/>
    <col min="7179" max="7424" width="9.109375" style="93"/>
    <col min="7425" max="7425" width="4" style="93" customWidth="1"/>
    <col min="7426" max="7426" width="3.109375" style="93" customWidth="1"/>
    <col min="7427" max="7427" width="9.109375" style="93"/>
    <col min="7428" max="7428" width="4.109375" style="93" customWidth="1"/>
    <col min="7429" max="7429" width="53" style="93" customWidth="1"/>
    <col min="7430" max="7430" width="21.6640625" style="93" customWidth="1"/>
    <col min="7431" max="7431" width="7.88671875" style="93" customWidth="1"/>
    <col min="7432" max="7432" width="18.88671875" style="93" customWidth="1"/>
    <col min="7433" max="7433" width="15.44140625" style="93" customWidth="1"/>
    <col min="7434" max="7434" width="11.5546875" style="93" bestFit="1" customWidth="1"/>
    <col min="7435" max="7680" width="9.109375" style="93"/>
    <col min="7681" max="7681" width="4" style="93" customWidth="1"/>
    <col min="7682" max="7682" width="3.109375" style="93" customWidth="1"/>
    <col min="7683" max="7683" width="9.109375" style="93"/>
    <col min="7684" max="7684" width="4.109375" style="93" customWidth="1"/>
    <col min="7685" max="7685" width="53" style="93" customWidth="1"/>
    <col min="7686" max="7686" width="21.6640625" style="93" customWidth="1"/>
    <col min="7687" max="7687" width="7.88671875" style="93" customWidth="1"/>
    <col min="7688" max="7688" width="18.88671875" style="93" customWidth="1"/>
    <col min="7689" max="7689" width="15.44140625" style="93" customWidth="1"/>
    <col min="7690" max="7690" width="11.5546875" style="93" bestFit="1" customWidth="1"/>
    <col min="7691" max="7936" width="9.109375" style="93"/>
    <col min="7937" max="7937" width="4" style="93" customWidth="1"/>
    <col min="7938" max="7938" width="3.109375" style="93" customWidth="1"/>
    <col min="7939" max="7939" width="9.109375" style="93"/>
    <col min="7940" max="7940" width="4.109375" style="93" customWidth="1"/>
    <col min="7941" max="7941" width="53" style="93" customWidth="1"/>
    <col min="7942" max="7942" width="21.6640625" style="93" customWidth="1"/>
    <col min="7943" max="7943" width="7.88671875" style="93" customWidth="1"/>
    <col min="7944" max="7944" width="18.88671875" style="93" customWidth="1"/>
    <col min="7945" max="7945" width="15.44140625" style="93" customWidth="1"/>
    <col min="7946" max="7946" width="11.5546875" style="93" bestFit="1" customWidth="1"/>
    <col min="7947" max="8192" width="9.109375" style="93"/>
    <col min="8193" max="8193" width="4" style="93" customWidth="1"/>
    <col min="8194" max="8194" width="3.109375" style="93" customWidth="1"/>
    <col min="8195" max="8195" width="9.109375" style="93"/>
    <col min="8196" max="8196" width="4.109375" style="93" customWidth="1"/>
    <col min="8197" max="8197" width="53" style="93" customWidth="1"/>
    <col min="8198" max="8198" width="21.6640625" style="93" customWidth="1"/>
    <col min="8199" max="8199" width="7.88671875" style="93" customWidth="1"/>
    <col min="8200" max="8200" width="18.88671875" style="93" customWidth="1"/>
    <col min="8201" max="8201" width="15.44140625" style="93" customWidth="1"/>
    <col min="8202" max="8202" width="11.5546875" style="93" bestFit="1" customWidth="1"/>
    <col min="8203" max="8448" width="9.109375" style="93"/>
    <col min="8449" max="8449" width="4" style="93" customWidth="1"/>
    <col min="8450" max="8450" width="3.109375" style="93" customWidth="1"/>
    <col min="8451" max="8451" width="9.109375" style="93"/>
    <col min="8452" max="8452" width="4.109375" style="93" customWidth="1"/>
    <col min="8453" max="8453" width="53" style="93" customWidth="1"/>
    <col min="8454" max="8454" width="21.6640625" style="93" customWidth="1"/>
    <col min="8455" max="8455" width="7.88671875" style="93" customWidth="1"/>
    <col min="8456" max="8456" width="18.88671875" style="93" customWidth="1"/>
    <col min="8457" max="8457" width="15.44140625" style="93" customWidth="1"/>
    <col min="8458" max="8458" width="11.5546875" style="93" bestFit="1" customWidth="1"/>
    <col min="8459" max="8704" width="9.109375" style="93"/>
    <col min="8705" max="8705" width="4" style="93" customWidth="1"/>
    <col min="8706" max="8706" width="3.109375" style="93" customWidth="1"/>
    <col min="8707" max="8707" width="9.109375" style="93"/>
    <col min="8708" max="8708" width="4.109375" style="93" customWidth="1"/>
    <col min="8709" max="8709" width="53" style="93" customWidth="1"/>
    <col min="8710" max="8710" width="21.6640625" style="93" customWidth="1"/>
    <col min="8711" max="8711" width="7.88671875" style="93" customWidth="1"/>
    <col min="8712" max="8712" width="18.88671875" style="93" customWidth="1"/>
    <col min="8713" max="8713" width="15.44140625" style="93" customWidth="1"/>
    <col min="8714" max="8714" width="11.5546875" style="93" bestFit="1" customWidth="1"/>
    <col min="8715" max="8960" width="9.109375" style="93"/>
    <col min="8961" max="8961" width="4" style="93" customWidth="1"/>
    <col min="8962" max="8962" width="3.109375" style="93" customWidth="1"/>
    <col min="8963" max="8963" width="9.109375" style="93"/>
    <col min="8964" max="8964" width="4.109375" style="93" customWidth="1"/>
    <col min="8965" max="8965" width="53" style="93" customWidth="1"/>
    <col min="8966" max="8966" width="21.6640625" style="93" customWidth="1"/>
    <col min="8967" max="8967" width="7.88671875" style="93" customWidth="1"/>
    <col min="8968" max="8968" width="18.88671875" style="93" customWidth="1"/>
    <col min="8969" max="8969" width="15.44140625" style="93" customWidth="1"/>
    <col min="8970" max="8970" width="11.5546875" style="93" bestFit="1" customWidth="1"/>
    <col min="8971" max="9216" width="9.109375" style="93"/>
    <col min="9217" max="9217" width="4" style="93" customWidth="1"/>
    <col min="9218" max="9218" width="3.109375" style="93" customWidth="1"/>
    <col min="9219" max="9219" width="9.109375" style="93"/>
    <col min="9220" max="9220" width="4.109375" style="93" customWidth="1"/>
    <col min="9221" max="9221" width="53" style="93" customWidth="1"/>
    <col min="9222" max="9222" width="21.6640625" style="93" customWidth="1"/>
    <col min="9223" max="9223" width="7.88671875" style="93" customWidth="1"/>
    <col min="9224" max="9224" width="18.88671875" style="93" customWidth="1"/>
    <col min="9225" max="9225" width="15.44140625" style="93" customWidth="1"/>
    <col min="9226" max="9226" width="11.5546875" style="93" bestFit="1" customWidth="1"/>
    <col min="9227" max="9472" width="9.109375" style="93"/>
    <col min="9473" max="9473" width="4" style="93" customWidth="1"/>
    <col min="9474" max="9474" width="3.109375" style="93" customWidth="1"/>
    <col min="9475" max="9475" width="9.109375" style="93"/>
    <col min="9476" max="9476" width="4.109375" style="93" customWidth="1"/>
    <col min="9477" max="9477" width="53" style="93" customWidth="1"/>
    <col min="9478" max="9478" width="21.6640625" style="93" customWidth="1"/>
    <col min="9479" max="9479" width="7.88671875" style="93" customWidth="1"/>
    <col min="9480" max="9480" width="18.88671875" style="93" customWidth="1"/>
    <col min="9481" max="9481" width="15.44140625" style="93" customWidth="1"/>
    <col min="9482" max="9482" width="11.5546875" style="93" bestFit="1" customWidth="1"/>
    <col min="9483" max="9728" width="9.109375" style="93"/>
    <col min="9729" max="9729" width="4" style="93" customWidth="1"/>
    <col min="9730" max="9730" width="3.109375" style="93" customWidth="1"/>
    <col min="9731" max="9731" width="9.109375" style="93"/>
    <col min="9732" max="9732" width="4.109375" style="93" customWidth="1"/>
    <col min="9733" max="9733" width="53" style="93" customWidth="1"/>
    <col min="9734" max="9734" width="21.6640625" style="93" customWidth="1"/>
    <col min="9735" max="9735" width="7.88671875" style="93" customWidth="1"/>
    <col min="9736" max="9736" width="18.88671875" style="93" customWidth="1"/>
    <col min="9737" max="9737" width="15.44140625" style="93" customWidth="1"/>
    <col min="9738" max="9738" width="11.5546875" style="93" bestFit="1" customWidth="1"/>
    <col min="9739" max="9984" width="9.109375" style="93"/>
    <col min="9985" max="9985" width="4" style="93" customWidth="1"/>
    <col min="9986" max="9986" width="3.109375" style="93" customWidth="1"/>
    <col min="9987" max="9987" width="9.109375" style="93"/>
    <col min="9988" max="9988" width="4.109375" style="93" customWidth="1"/>
    <col min="9989" max="9989" width="53" style="93" customWidth="1"/>
    <col min="9990" max="9990" width="21.6640625" style="93" customWidth="1"/>
    <col min="9991" max="9991" width="7.88671875" style="93" customWidth="1"/>
    <col min="9992" max="9992" width="18.88671875" style="93" customWidth="1"/>
    <col min="9993" max="9993" width="15.44140625" style="93" customWidth="1"/>
    <col min="9994" max="9994" width="11.5546875" style="93" bestFit="1" customWidth="1"/>
    <col min="9995" max="10240" width="9.109375" style="93"/>
    <col min="10241" max="10241" width="4" style="93" customWidth="1"/>
    <col min="10242" max="10242" width="3.109375" style="93" customWidth="1"/>
    <col min="10243" max="10243" width="9.109375" style="93"/>
    <col min="10244" max="10244" width="4.109375" style="93" customWidth="1"/>
    <col min="10245" max="10245" width="53" style="93" customWidth="1"/>
    <col min="10246" max="10246" width="21.6640625" style="93" customWidth="1"/>
    <col min="10247" max="10247" width="7.88671875" style="93" customWidth="1"/>
    <col min="10248" max="10248" width="18.88671875" style="93" customWidth="1"/>
    <col min="10249" max="10249" width="15.44140625" style="93" customWidth="1"/>
    <col min="10250" max="10250" width="11.5546875" style="93" bestFit="1" customWidth="1"/>
    <col min="10251" max="10496" width="9.109375" style="93"/>
    <col min="10497" max="10497" width="4" style="93" customWidth="1"/>
    <col min="10498" max="10498" width="3.109375" style="93" customWidth="1"/>
    <col min="10499" max="10499" width="9.109375" style="93"/>
    <col min="10500" max="10500" width="4.109375" style="93" customWidth="1"/>
    <col min="10501" max="10501" width="53" style="93" customWidth="1"/>
    <col min="10502" max="10502" width="21.6640625" style="93" customWidth="1"/>
    <col min="10503" max="10503" width="7.88671875" style="93" customWidth="1"/>
    <col min="10504" max="10504" width="18.88671875" style="93" customWidth="1"/>
    <col min="10505" max="10505" width="15.44140625" style="93" customWidth="1"/>
    <col min="10506" max="10506" width="11.5546875" style="93" bestFit="1" customWidth="1"/>
    <col min="10507" max="10752" width="9.109375" style="93"/>
    <col min="10753" max="10753" width="4" style="93" customWidth="1"/>
    <col min="10754" max="10754" width="3.109375" style="93" customWidth="1"/>
    <col min="10755" max="10755" width="9.109375" style="93"/>
    <col min="10756" max="10756" width="4.109375" style="93" customWidth="1"/>
    <col min="10757" max="10757" width="53" style="93" customWidth="1"/>
    <col min="10758" max="10758" width="21.6640625" style="93" customWidth="1"/>
    <col min="10759" max="10759" width="7.88671875" style="93" customWidth="1"/>
    <col min="10760" max="10760" width="18.88671875" style="93" customWidth="1"/>
    <col min="10761" max="10761" width="15.44140625" style="93" customWidth="1"/>
    <col min="10762" max="10762" width="11.5546875" style="93" bestFit="1" customWidth="1"/>
    <col min="10763" max="11008" width="9.109375" style="93"/>
    <col min="11009" max="11009" width="4" style="93" customWidth="1"/>
    <col min="11010" max="11010" width="3.109375" style="93" customWidth="1"/>
    <col min="11011" max="11011" width="9.109375" style="93"/>
    <col min="11012" max="11012" width="4.109375" style="93" customWidth="1"/>
    <col min="11013" max="11013" width="53" style="93" customWidth="1"/>
    <col min="11014" max="11014" width="21.6640625" style="93" customWidth="1"/>
    <col min="11015" max="11015" width="7.88671875" style="93" customWidth="1"/>
    <col min="11016" max="11016" width="18.88671875" style="93" customWidth="1"/>
    <col min="11017" max="11017" width="15.44140625" style="93" customWidth="1"/>
    <col min="11018" max="11018" width="11.5546875" style="93" bestFit="1" customWidth="1"/>
    <col min="11019" max="11264" width="9.109375" style="93"/>
    <col min="11265" max="11265" width="4" style="93" customWidth="1"/>
    <col min="11266" max="11266" width="3.109375" style="93" customWidth="1"/>
    <col min="11267" max="11267" width="9.109375" style="93"/>
    <col min="11268" max="11268" width="4.109375" style="93" customWidth="1"/>
    <col min="11269" max="11269" width="53" style="93" customWidth="1"/>
    <col min="11270" max="11270" width="21.6640625" style="93" customWidth="1"/>
    <col min="11271" max="11271" width="7.88671875" style="93" customWidth="1"/>
    <col min="11272" max="11272" width="18.88671875" style="93" customWidth="1"/>
    <col min="11273" max="11273" width="15.44140625" style="93" customWidth="1"/>
    <col min="11274" max="11274" width="11.5546875" style="93" bestFit="1" customWidth="1"/>
    <col min="11275" max="11520" width="9.109375" style="93"/>
    <col min="11521" max="11521" width="4" style="93" customWidth="1"/>
    <col min="11522" max="11522" width="3.109375" style="93" customWidth="1"/>
    <col min="11523" max="11523" width="9.109375" style="93"/>
    <col min="11524" max="11524" width="4.109375" style="93" customWidth="1"/>
    <col min="11525" max="11525" width="53" style="93" customWidth="1"/>
    <col min="11526" max="11526" width="21.6640625" style="93" customWidth="1"/>
    <col min="11527" max="11527" width="7.88671875" style="93" customWidth="1"/>
    <col min="11528" max="11528" width="18.88671875" style="93" customWidth="1"/>
    <col min="11529" max="11529" width="15.44140625" style="93" customWidth="1"/>
    <col min="11530" max="11530" width="11.5546875" style="93" bestFit="1" customWidth="1"/>
    <col min="11531" max="11776" width="9.109375" style="93"/>
    <col min="11777" max="11777" width="4" style="93" customWidth="1"/>
    <col min="11778" max="11778" width="3.109375" style="93" customWidth="1"/>
    <col min="11779" max="11779" width="9.109375" style="93"/>
    <col min="11780" max="11780" width="4.109375" style="93" customWidth="1"/>
    <col min="11781" max="11781" width="53" style="93" customWidth="1"/>
    <col min="11782" max="11782" width="21.6640625" style="93" customWidth="1"/>
    <col min="11783" max="11783" width="7.88671875" style="93" customWidth="1"/>
    <col min="11784" max="11784" width="18.88671875" style="93" customWidth="1"/>
    <col min="11785" max="11785" width="15.44140625" style="93" customWidth="1"/>
    <col min="11786" max="11786" width="11.5546875" style="93" bestFit="1" customWidth="1"/>
    <col min="11787" max="12032" width="9.109375" style="93"/>
    <col min="12033" max="12033" width="4" style="93" customWidth="1"/>
    <col min="12034" max="12034" width="3.109375" style="93" customWidth="1"/>
    <col min="12035" max="12035" width="9.109375" style="93"/>
    <col min="12036" max="12036" width="4.109375" style="93" customWidth="1"/>
    <col min="12037" max="12037" width="53" style="93" customWidth="1"/>
    <col min="12038" max="12038" width="21.6640625" style="93" customWidth="1"/>
    <col min="12039" max="12039" width="7.88671875" style="93" customWidth="1"/>
    <col min="12040" max="12040" width="18.88671875" style="93" customWidth="1"/>
    <col min="12041" max="12041" width="15.44140625" style="93" customWidth="1"/>
    <col min="12042" max="12042" width="11.5546875" style="93" bestFit="1" customWidth="1"/>
    <col min="12043" max="12288" width="9.109375" style="93"/>
    <col min="12289" max="12289" width="4" style="93" customWidth="1"/>
    <col min="12290" max="12290" width="3.109375" style="93" customWidth="1"/>
    <col min="12291" max="12291" width="9.109375" style="93"/>
    <col min="12292" max="12292" width="4.109375" style="93" customWidth="1"/>
    <col min="12293" max="12293" width="53" style="93" customWidth="1"/>
    <col min="12294" max="12294" width="21.6640625" style="93" customWidth="1"/>
    <col min="12295" max="12295" width="7.88671875" style="93" customWidth="1"/>
    <col min="12296" max="12296" width="18.88671875" style="93" customWidth="1"/>
    <col min="12297" max="12297" width="15.44140625" style="93" customWidth="1"/>
    <col min="12298" max="12298" width="11.5546875" style="93" bestFit="1" customWidth="1"/>
    <col min="12299" max="12544" width="9.109375" style="93"/>
    <col min="12545" max="12545" width="4" style="93" customWidth="1"/>
    <col min="12546" max="12546" width="3.109375" style="93" customWidth="1"/>
    <col min="12547" max="12547" width="9.109375" style="93"/>
    <col min="12548" max="12548" width="4.109375" style="93" customWidth="1"/>
    <col min="12549" max="12549" width="53" style="93" customWidth="1"/>
    <col min="12550" max="12550" width="21.6640625" style="93" customWidth="1"/>
    <col min="12551" max="12551" width="7.88671875" style="93" customWidth="1"/>
    <col min="12552" max="12552" width="18.88671875" style="93" customWidth="1"/>
    <col min="12553" max="12553" width="15.44140625" style="93" customWidth="1"/>
    <col min="12554" max="12554" width="11.5546875" style="93" bestFit="1" customWidth="1"/>
    <col min="12555" max="12800" width="9.109375" style="93"/>
    <col min="12801" max="12801" width="4" style="93" customWidth="1"/>
    <col min="12802" max="12802" width="3.109375" style="93" customWidth="1"/>
    <col min="12803" max="12803" width="9.109375" style="93"/>
    <col min="12804" max="12804" width="4.109375" style="93" customWidth="1"/>
    <col min="12805" max="12805" width="53" style="93" customWidth="1"/>
    <col min="12806" max="12806" width="21.6640625" style="93" customWidth="1"/>
    <col min="12807" max="12807" width="7.88671875" style="93" customWidth="1"/>
    <col min="12808" max="12808" width="18.88671875" style="93" customWidth="1"/>
    <col min="12809" max="12809" width="15.44140625" style="93" customWidth="1"/>
    <col min="12810" max="12810" width="11.5546875" style="93" bestFit="1" customWidth="1"/>
    <col min="12811" max="13056" width="9.109375" style="93"/>
    <col min="13057" max="13057" width="4" style="93" customWidth="1"/>
    <col min="13058" max="13058" width="3.109375" style="93" customWidth="1"/>
    <col min="13059" max="13059" width="9.109375" style="93"/>
    <col min="13060" max="13060" width="4.109375" style="93" customWidth="1"/>
    <col min="13061" max="13061" width="53" style="93" customWidth="1"/>
    <col min="13062" max="13062" width="21.6640625" style="93" customWidth="1"/>
    <col min="13063" max="13063" width="7.88671875" style="93" customWidth="1"/>
    <col min="13064" max="13064" width="18.88671875" style="93" customWidth="1"/>
    <col min="13065" max="13065" width="15.44140625" style="93" customWidth="1"/>
    <col min="13066" max="13066" width="11.5546875" style="93" bestFit="1" customWidth="1"/>
    <col min="13067" max="13312" width="9.109375" style="93"/>
    <col min="13313" max="13313" width="4" style="93" customWidth="1"/>
    <col min="13314" max="13314" width="3.109375" style="93" customWidth="1"/>
    <col min="13315" max="13315" width="9.109375" style="93"/>
    <col min="13316" max="13316" width="4.109375" style="93" customWidth="1"/>
    <col min="13317" max="13317" width="53" style="93" customWidth="1"/>
    <col min="13318" max="13318" width="21.6640625" style="93" customWidth="1"/>
    <col min="13319" max="13319" width="7.88671875" style="93" customWidth="1"/>
    <col min="13320" max="13320" width="18.88671875" style="93" customWidth="1"/>
    <col min="13321" max="13321" width="15.44140625" style="93" customWidth="1"/>
    <col min="13322" max="13322" width="11.5546875" style="93" bestFit="1" customWidth="1"/>
    <col min="13323" max="13568" width="9.109375" style="93"/>
    <col min="13569" max="13569" width="4" style="93" customWidth="1"/>
    <col min="13570" max="13570" width="3.109375" style="93" customWidth="1"/>
    <col min="13571" max="13571" width="9.109375" style="93"/>
    <col min="13572" max="13572" width="4.109375" style="93" customWidth="1"/>
    <col min="13573" max="13573" width="53" style="93" customWidth="1"/>
    <col min="13574" max="13574" width="21.6640625" style="93" customWidth="1"/>
    <col min="13575" max="13575" width="7.88671875" style="93" customWidth="1"/>
    <col min="13576" max="13576" width="18.88671875" style="93" customWidth="1"/>
    <col min="13577" max="13577" width="15.44140625" style="93" customWidth="1"/>
    <col min="13578" max="13578" width="11.5546875" style="93" bestFit="1" customWidth="1"/>
    <col min="13579" max="13824" width="9.109375" style="93"/>
    <col min="13825" max="13825" width="4" style="93" customWidth="1"/>
    <col min="13826" max="13826" width="3.109375" style="93" customWidth="1"/>
    <col min="13827" max="13827" width="9.109375" style="93"/>
    <col min="13828" max="13828" width="4.109375" style="93" customWidth="1"/>
    <col min="13829" max="13829" width="53" style="93" customWidth="1"/>
    <col min="13830" max="13830" width="21.6640625" style="93" customWidth="1"/>
    <col min="13831" max="13831" width="7.88671875" style="93" customWidth="1"/>
    <col min="13832" max="13832" width="18.88671875" style="93" customWidth="1"/>
    <col min="13833" max="13833" width="15.44140625" style="93" customWidth="1"/>
    <col min="13834" max="13834" width="11.5546875" style="93" bestFit="1" customWidth="1"/>
    <col min="13835" max="14080" width="9.109375" style="93"/>
    <col min="14081" max="14081" width="4" style="93" customWidth="1"/>
    <col min="14082" max="14082" width="3.109375" style="93" customWidth="1"/>
    <col min="14083" max="14083" width="9.109375" style="93"/>
    <col min="14084" max="14084" width="4.109375" style="93" customWidth="1"/>
    <col min="14085" max="14085" width="53" style="93" customWidth="1"/>
    <col min="14086" max="14086" width="21.6640625" style="93" customWidth="1"/>
    <col min="14087" max="14087" width="7.88671875" style="93" customWidth="1"/>
    <col min="14088" max="14088" width="18.88671875" style="93" customWidth="1"/>
    <col min="14089" max="14089" width="15.44140625" style="93" customWidth="1"/>
    <col min="14090" max="14090" width="11.5546875" style="93" bestFit="1" customWidth="1"/>
    <col min="14091" max="14336" width="9.109375" style="93"/>
    <col min="14337" max="14337" width="4" style="93" customWidth="1"/>
    <col min="14338" max="14338" width="3.109375" style="93" customWidth="1"/>
    <col min="14339" max="14339" width="9.109375" style="93"/>
    <col min="14340" max="14340" width="4.109375" style="93" customWidth="1"/>
    <col min="14341" max="14341" width="53" style="93" customWidth="1"/>
    <col min="14342" max="14342" width="21.6640625" style="93" customWidth="1"/>
    <col min="14343" max="14343" width="7.88671875" style="93" customWidth="1"/>
    <col min="14344" max="14344" width="18.88671875" style="93" customWidth="1"/>
    <col min="14345" max="14345" width="15.44140625" style="93" customWidth="1"/>
    <col min="14346" max="14346" width="11.5546875" style="93" bestFit="1" customWidth="1"/>
    <col min="14347" max="14592" width="9.109375" style="93"/>
    <col min="14593" max="14593" width="4" style="93" customWidth="1"/>
    <col min="14594" max="14594" width="3.109375" style="93" customWidth="1"/>
    <col min="14595" max="14595" width="9.109375" style="93"/>
    <col min="14596" max="14596" width="4.109375" style="93" customWidth="1"/>
    <col min="14597" max="14597" width="53" style="93" customWidth="1"/>
    <col min="14598" max="14598" width="21.6640625" style="93" customWidth="1"/>
    <col min="14599" max="14599" width="7.88671875" style="93" customWidth="1"/>
    <col min="14600" max="14600" width="18.88671875" style="93" customWidth="1"/>
    <col min="14601" max="14601" width="15.44140625" style="93" customWidth="1"/>
    <col min="14602" max="14602" width="11.5546875" style="93" bestFit="1" customWidth="1"/>
    <col min="14603" max="14848" width="9.109375" style="93"/>
    <col min="14849" max="14849" width="4" style="93" customWidth="1"/>
    <col min="14850" max="14850" width="3.109375" style="93" customWidth="1"/>
    <col min="14851" max="14851" width="9.109375" style="93"/>
    <col min="14852" max="14852" width="4.109375" style="93" customWidth="1"/>
    <col min="14853" max="14853" width="53" style="93" customWidth="1"/>
    <col min="14854" max="14854" width="21.6640625" style="93" customWidth="1"/>
    <col min="14855" max="14855" width="7.88671875" style="93" customWidth="1"/>
    <col min="14856" max="14856" width="18.88671875" style="93" customWidth="1"/>
    <col min="14857" max="14857" width="15.44140625" style="93" customWidth="1"/>
    <col min="14858" max="14858" width="11.5546875" style="93" bestFit="1" customWidth="1"/>
    <col min="14859" max="15104" width="9.109375" style="93"/>
    <col min="15105" max="15105" width="4" style="93" customWidth="1"/>
    <col min="15106" max="15106" width="3.109375" style="93" customWidth="1"/>
    <col min="15107" max="15107" width="9.109375" style="93"/>
    <col min="15108" max="15108" width="4.109375" style="93" customWidth="1"/>
    <col min="15109" max="15109" width="53" style="93" customWidth="1"/>
    <col min="15110" max="15110" width="21.6640625" style="93" customWidth="1"/>
    <col min="15111" max="15111" width="7.88671875" style="93" customWidth="1"/>
    <col min="15112" max="15112" width="18.88671875" style="93" customWidth="1"/>
    <col min="15113" max="15113" width="15.44140625" style="93" customWidth="1"/>
    <col min="15114" max="15114" width="11.5546875" style="93" bestFit="1" customWidth="1"/>
    <col min="15115" max="15360" width="9.109375" style="93"/>
    <col min="15361" max="15361" width="4" style="93" customWidth="1"/>
    <col min="15362" max="15362" width="3.109375" style="93" customWidth="1"/>
    <col min="15363" max="15363" width="9.109375" style="93"/>
    <col min="15364" max="15364" width="4.109375" style="93" customWidth="1"/>
    <col min="15365" max="15365" width="53" style="93" customWidth="1"/>
    <col min="15366" max="15366" width="21.6640625" style="93" customWidth="1"/>
    <col min="15367" max="15367" width="7.88671875" style="93" customWidth="1"/>
    <col min="15368" max="15368" width="18.88671875" style="93" customWidth="1"/>
    <col min="15369" max="15369" width="15.44140625" style="93" customWidth="1"/>
    <col min="15370" max="15370" width="11.5546875" style="93" bestFit="1" customWidth="1"/>
    <col min="15371" max="15616" width="9.109375" style="93"/>
    <col min="15617" max="15617" width="4" style="93" customWidth="1"/>
    <col min="15618" max="15618" width="3.109375" style="93" customWidth="1"/>
    <col min="15619" max="15619" width="9.109375" style="93"/>
    <col min="15620" max="15620" width="4.109375" style="93" customWidth="1"/>
    <col min="15621" max="15621" width="53" style="93" customWidth="1"/>
    <col min="15622" max="15622" width="21.6640625" style="93" customWidth="1"/>
    <col min="15623" max="15623" width="7.88671875" style="93" customWidth="1"/>
    <col min="15624" max="15624" width="18.88671875" style="93" customWidth="1"/>
    <col min="15625" max="15625" width="15.44140625" style="93" customWidth="1"/>
    <col min="15626" max="15626" width="11.5546875" style="93" bestFit="1" customWidth="1"/>
    <col min="15627" max="15872" width="9.109375" style="93"/>
    <col min="15873" max="15873" width="4" style="93" customWidth="1"/>
    <col min="15874" max="15874" width="3.109375" style="93" customWidth="1"/>
    <col min="15875" max="15875" width="9.109375" style="93"/>
    <col min="15876" max="15876" width="4.109375" style="93" customWidth="1"/>
    <col min="15877" max="15877" width="53" style="93" customWidth="1"/>
    <col min="15878" max="15878" width="21.6640625" style="93" customWidth="1"/>
    <col min="15879" max="15879" width="7.88671875" style="93" customWidth="1"/>
    <col min="15880" max="15880" width="18.88671875" style="93" customWidth="1"/>
    <col min="15881" max="15881" width="15.44140625" style="93" customWidth="1"/>
    <col min="15882" max="15882" width="11.5546875" style="93" bestFit="1" customWidth="1"/>
    <col min="15883" max="16128" width="9.109375" style="93"/>
    <col min="16129" max="16129" width="4" style="93" customWidth="1"/>
    <col min="16130" max="16130" width="3.109375" style="93" customWidth="1"/>
    <col min="16131" max="16131" width="9.109375" style="93"/>
    <col min="16132" max="16132" width="4.109375" style="93" customWidth="1"/>
    <col min="16133" max="16133" width="53" style="93" customWidth="1"/>
    <col min="16134" max="16134" width="21.6640625" style="93" customWidth="1"/>
    <col min="16135" max="16135" width="7.88671875" style="93" customWidth="1"/>
    <col min="16136" max="16136" width="18.88671875" style="93" customWidth="1"/>
    <col min="16137" max="16137" width="15.44140625" style="93" customWidth="1"/>
    <col min="16138" max="16138" width="11.5546875" style="93" bestFit="1" customWidth="1"/>
    <col min="16139" max="16384" width="9.109375" style="93"/>
  </cols>
  <sheetData>
    <row r="5" spans="2:8" x14ac:dyDescent="0.2">
      <c r="B5" s="94"/>
      <c r="C5" s="94"/>
      <c r="D5" s="94"/>
      <c r="E5" s="94"/>
      <c r="F5" s="94"/>
      <c r="G5" s="94"/>
      <c r="H5" s="95"/>
    </row>
    <row r="6" spans="2:8" ht="16.5" customHeight="1" x14ac:dyDescent="0.2">
      <c r="B6" s="94"/>
      <c r="C6" s="94"/>
      <c r="D6" s="94"/>
      <c r="E6" s="94"/>
      <c r="F6" s="96">
        <v>44956</v>
      </c>
      <c r="G6" s="96"/>
      <c r="H6" s="95"/>
    </row>
    <row r="7" spans="2:8" ht="14.25" customHeight="1" x14ac:dyDescent="0.2">
      <c r="B7" s="94"/>
      <c r="C7" s="94"/>
      <c r="D7" s="94"/>
      <c r="E7" s="94"/>
      <c r="F7" s="94"/>
      <c r="G7" s="94"/>
      <c r="H7" s="95"/>
    </row>
    <row r="8" spans="2:8" x14ac:dyDescent="0.2">
      <c r="B8" s="97"/>
      <c r="C8" s="97"/>
      <c r="D8" s="97"/>
      <c r="E8" s="97"/>
      <c r="F8" s="97"/>
      <c r="G8" s="97"/>
    </row>
    <row r="9" spans="2:8" x14ac:dyDescent="0.2">
      <c r="B9" s="460" t="s">
        <v>166</v>
      </c>
      <c r="C9" s="460"/>
      <c r="D9" s="460"/>
      <c r="E9" s="460"/>
      <c r="F9" s="460"/>
      <c r="G9" s="460"/>
    </row>
    <row r="11" spans="2:8" ht="16.5" customHeight="1" x14ac:dyDescent="0.3">
      <c r="B11" s="98" t="s">
        <v>167</v>
      </c>
      <c r="C11" s="97"/>
      <c r="D11" s="99"/>
      <c r="E11" s="99"/>
      <c r="F11" s="99"/>
      <c r="G11" s="99"/>
      <c r="H11" s="100"/>
    </row>
    <row r="12" spans="2:8" x14ac:dyDescent="0.2">
      <c r="B12" s="97"/>
      <c r="C12" s="97"/>
      <c r="D12" s="97"/>
      <c r="E12" s="97"/>
      <c r="F12" s="97"/>
      <c r="G12" s="97"/>
    </row>
    <row r="13" spans="2:8" ht="29.25" customHeight="1" x14ac:dyDescent="0.2">
      <c r="B13" s="98"/>
      <c r="C13" s="461" t="s">
        <v>168</v>
      </c>
      <c r="D13" s="462"/>
      <c r="E13" s="101" t="s">
        <v>169</v>
      </c>
      <c r="F13" s="102" t="s">
        <v>170</v>
      </c>
      <c r="G13" s="98"/>
    </row>
    <row r="14" spans="2:8" s="103" customFormat="1" ht="39.75" customHeight="1" x14ac:dyDescent="0.25">
      <c r="B14" s="104"/>
      <c r="C14" s="463" t="s">
        <v>171</v>
      </c>
      <c r="D14" s="464"/>
      <c r="E14" s="105" t="s">
        <v>172</v>
      </c>
      <c r="F14" s="467">
        <v>499566</v>
      </c>
      <c r="G14" s="104"/>
      <c r="H14" s="106"/>
    </row>
    <row r="15" spans="2:8" s="103" customFormat="1" ht="38.25" customHeight="1" x14ac:dyDescent="0.25">
      <c r="B15" s="104"/>
      <c r="C15" s="465"/>
      <c r="D15" s="466"/>
      <c r="E15" s="107" t="s">
        <v>173</v>
      </c>
      <c r="F15" s="468"/>
      <c r="G15" s="104"/>
      <c r="H15" s="106"/>
    </row>
    <row r="16" spans="2:8" s="108" customFormat="1" ht="24" customHeight="1" x14ac:dyDescent="0.25">
      <c r="C16" s="109"/>
      <c r="D16" s="110"/>
      <c r="E16" s="111" t="s">
        <v>174</v>
      </c>
      <c r="F16" s="112">
        <f>SUM(F14:F15)</f>
        <v>499566</v>
      </c>
    </row>
    <row r="17" spans="2:8" x14ac:dyDescent="0.2">
      <c r="B17" s="99"/>
      <c r="C17" s="99"/>
      <c r="D17" s="99"/>
      <c r="E17" s="99"/>
      <c r="F17" s="99"/>
      <c r="G17" s="99"/>
    </row>
    <row r="18" spans="2:8" ht="28.5" customHeight="1" x14ac:dyDescent="0.2">
      <c r="B18" s="469"/>
      <c r="C18" s="469"/>
      <c r="D18" s="469"/>
      <c r="E18" s="469"/>
      <c r="F18" s="469"/>
      <c r="G18" s="469"/>
    </row>
    <row r="20" spans="2:8" ht="21.75" customHeight="1" x14ac:dyDescent="0.3">
      <c r="B20" s="459" t="s">
        <v>183</v>
      </c>
      <c r="C20" s="459"/>
      <c r="D20" s="459"/>
      <c r="E20" s="459"/>
      <c r="F20" s="459"/>
      <c r="G20" s="459"/>
      <c r="H20" s="100"/>
    </row>
    <row r="21" spans="2:8" x14ac:dyDescent="0.2">
      <c r="B21" s="97"/>
      <c r="C21" s="97"/>
      <c r="D21" s="97"/>
      <c r="E21" s="97"/>
      <c r="F21" s="97"/>
      <c r="G21" s="97"/>
    </row>
    <row r="22" spans="2:8" ht="29.25" customHeight="1" x14ac:dyDescent="0.2">
      <c r="B22" s="98"/>
      <c r="C22" s="461" t="s">
        <v>168</v>
      </c>
      <c r="D22" s="462"/>
      <c r="E22" s="101" t="s">
        <v>169</v>
      </c>
      <c r="F22" s="102" t="s">
        <v>170</v>
      </c>
      <c r="G22" s="98"/>
    </row>
    <row r="23" spans="2:8" s="108" customFormat="1" ht="59.25" customHeight="1" x14ac:dyDescent="0.25">
      <c r="B23" s="113"/>
      <c r="C23" s="470" t="s">
        <v>171</v>
      </c>
      <c r="D23" s="471"/>
      <c r="E23" s="114" t="s">
        <v>175</v>
      </c>
      <c r="F23" s="115">
        <f>'T1 - As per Contract'!O86</f>
        <v>1678778.577</v>
      </c>
      <c r="G23" s="113"/>
      <c r="H23" s="116"/>
    </row>
    <row r="24" spans="2:8" s="108" customFormat="1" ht="55.5" customHeight="1" x14ac:dyDescent="0.25">
      <c r="B24" s="113"/>
      <c r="C24" s="470" t="s">
        <v>181</v>
      </c>
      <c r="D24" s="471"/>
      <c r="E24" s="114" t="s">
        <v>176</v>
      </c>
      <c r="F24" s="115">
        <f>'T1 - VO additional Agreed Varia'!P209</f>
        <v>3840132.4748999993</v>
      </c>
      <c r="G24" s="113"/>
      <c r="H24" s="116"/>
    </row>
    <row r="25" spans="2:8" s="108" customFormat="1" ht="24" customHeight="1" x14ac:dyDescent="0.25">
      <c r="C25" s="109"/>
      <c r="D25" s="110"/>
      <c r="E25" s="111" t="s">
        <v>174</v>
      </c>
      <c r="F25" s="112">
        <f>SUM(F23:F24)</f>
        <v>5518911.0518999994</v>
      </c>
      <c r="H25" s="418">
        <v>5198674.8641749993</v>
      </c>
    </row>
    <row r="26" spans="2:8" ht="28.5" customHeight="1" x14ac:dyDescent="0.2">
      <c r="B26" s="469"/>
      <c r="C26" s="469"/>
      <c r="D26" s="469"/>
      <c r="E26" s="469"/>
      <c r="F26" s="469"/>
      <c r="G26" s="469"/>
      <c r="H26" s="419">
        <f>F25-H25</f>
        <v>320236.18772500008</v>
      </c>
    </row>
    <row r="27" spans="2:8" ht="28.5" customHeight="1" x14ac:dyDescent="0.2">
      <c r="B27" s="122"/>
      <c r="C27" s="122"/>
      <c r="D27" s="122"/>
      <c r="E27" s="122"/>
      <c r="F27" s="122"/>
      <c r="G27" s="122"/>
    </row>
    <row r="28" spans="2:8" ht="28.5" customHeight="1" x14ac:dyDescent="0.2">
      <c r="B28" s="122"/>
      <c r="C28" s="122"/>
      <c r="D28" s="122"/>
      <c r="E28" s="122"/>
      <c r="F28" s="122"/>
      <c r="G28" s="122"/>
    </row>
    <row r="29" spans="2:8" ht="28.5" customHeight="1" x14ac:dyDescent="0.2">
      <c r="B29" s="122"/>
      <c r="C29" s="122"/>
      <c r="D29" s="122"/>
      <c r="E29" s="122"/>
      <c r="F29" s="122"/>
      <c r="G29" s="122"/>
    </row>
    <row r="30" spans="2:8" ht="28.5" customHeight="1" x14ac:dyDescent="0.2">
      <c r="B30" s="122"/>
      <c r="C30" s="122"/>
      <c r="D30" s="122"/>
      <c r="E30" s="122"/>
      <c r="F30" s="122"/>
      <c r="G30" s="122"/>
    </row>
    <row r="31" spans="2:8" ht="28.5" customHeight="1" x14ac:dyDescent="0.2">
      <c r="B31" s="122"/>
      <c r="C31" s="122"/>
      <c r="D31" s="122"/>
      <c r="E31" s="122"/>
      <c r="F31" s="122"/>
      <c r="G31" s="122"/>
    </row>
    <row r="32" spans="2:8" ht="28.5" customHeight="1" x14ac:dyDescent="0.2">
      <c r="B32" s="122"/>
      <c r="C32" s="122"/>
      <c r="D32" s="122"/>
      <c r="E32" s="122"/>
      <c r="F32" s="122"/>
      <c r="G32" s="122"/>
    </row>
    <row r="33" spans="2:7" ht="28.5" customHeight="1" x14ac:dyDescent="0.2">
      <c r="B33" s="122"/>
      <c r="C33" s="122"/>
      <c r="D33" s="122"/>
      <c r="E33" s="122"/>
      <c r="F33" s="122"/>
      <c r="G33" s="122"/>
    </row>
    <row r="34" spans="2:7" ht="28.5" customHeight="1" x14ac:dyDescent="0.2">
      <c r="B34" s="122"/>
      <c r="C34" s="122"/>
      <c r="D34" s="122"/>
      <c r="E34" s="122"/>
      <c r="F34" s="122"/>
      <c r="G34" s="122"/>
    </row>
    <row r="35" spans="2:7" ht="28.5" customHeight="1" x14ac:dyDescent="0.2">
      <c r="B35" s="122"/>
      <c r="C35" s="122"/>
      <c r="D35" s="122"/>
      <c r="E35" s="122"/>
      <c r="F35" s="122"/>
      <c r="G35" s="122"/>
    </row>
    <row r="36" spans="2:7" ht="28.5" customHeight="1" x14ac:dyDescent="0.2">
      <c r="B36" s="122"/>
      <c r="C36" s="122"/>
      <c r="D36" s="122"/>
      <c r="E36" s="122"/>
      <c r="F36" s="122"/>
      <c r="G36" s="122"/>
    </row>
    <row r="37" spans="2:7" ht="28.5" customHeight="1" x14ac:dyDescent="0.2">
      <c r="B37" s="122"/>
      <c r="C37" s="122"/>
      <c r="D37" s="122"/>
      <c r="E37" s="122"/>
      <c r="F37" s="122"/>
      <c r="G37" s="122"/>
    </row>
    <row r="38" spans="2:7" ht="28.5" customHeight="1" x14ac:dyDescent="0.2">
      <c r="B38" s="122"/>
      <c r="C38" s="122"/>
      <c r="D38" s="122"/>
      <c r="E38" s="122"/>
      <c r="F38" s="122"/>
      <c r="G38" s="122"/>
    </row>
    <row r="39" spans="2:7" ht="28.5" customHeight="1" x14ac:dyDescent="0.2">
      <c r="B39" s="122"/>
      <c r="C39" s="122"/>
      <c r="D39" s="122"/>
      <c r="E39" s="122"/>
      <c r="F39" s="122"/>
      <c r="G39" s="122"/>
    </row>
    <row r="40" spans="2:7" ht="28.5" customHeight="1" x14ac:dyDescent="0.2">
      <c r="B40" s="122"/>
      <c r="C40" s="122"/>
      <c r="D40" s="122"/>
      <c r="E40" s="122"/>
      <c r="F40" s="122"/>
      <c r="G40" s="122"/>
    </row>
    <row r="41" spans="2:7" ht="28.5" customHeight="1" x14ac:dyDescent="0.2">
      <c r="B41" s="122"/>
      <c r="C41" s="122"/>
      <c r="D41" s="122"/>
      <c r="E41" s="122"/>
      <c r="F41" s="122"/>
      <c r="G41" s="122"/>
    </row>
    <row r="42" spans="2:7" s="108" customFormat="1" ht="24" customHeight="1" x14ac:dyDescent="0.25">
      <c r="D42" s="118"/>
      <c r="E42" s="119"/>
      <c r="F42" s="120"/>
    </row>
    <row r="43" spans="2:7" s="108" customFormat="1" ht="24" customHeight="1" x14ac:dyDescent="0.25">
      <c r="D43" s="118"/>
      <c r="E43" s="119"/>
      <c r="F43" s="120"/>
    </row>
    <row r="44" spans="2:7" ht="27" customHeight="1" x14ac:dyDescent="0.2">
      <c r="B44" s="117"/>
      <c r="C44" s="117"/>
      <c r="D44" s="117"/>
      <c r="E44" s="117"/>
      <c r="F44" s="117"/>
      <c r="G44" s="117"/>
    </row>
    <row r="45" spans="2:7" ht="27" customHeight="1" x14ac:dyDescent="0.2">
      <c r="B45" s="117"/>
      <c r="C45" s="117"/>
      <c r="D45" s="117"/>
      <c r="E45" s="117"/>
      <c r="F45" s="117"/>
      <c r="G45" s="117"/>
    </row>
    <row r="46" spans="2:7" ht="27" customHeight="1" x14ac:dyDescent="0.2">
      <c r="B46" s="117"/>
      <c r="C46" s="117"/>
      <c r="D46" s="117"/>
      <c r="E46" s="117"/>
      <c r="F46" s="117"/>
      <c r="G46" s="117"/>
    </row>
    <row r="47" spans="2:7" ht="27" customHeight="1" x14ac:dyDescent="0.2">
      <c r="B47" s="117"/>
      <c r="C47" s="117"/>
      <c r="D47" s="117"/>
      <c r="E47" s="117"/>
      <c r="F47" s="117"/>
      <c r="G47" s="117"/>
    </row>
    <row r="48" spans="2:7" ht="27" customHeight="1" x14ac:dyDescent="0.2">
      <c r="B48" s="117"/>
      <c r="C48" s="117"/>
      <c r="D48" s="117"/>
      <c r="E48" s="117"/>
      <c r="F48" s="117"/>
      <c r="G48" s="117"/>
    </row>
    <row r="49" spans="2:10" ht="27" customHeight="1" x14ac:dyDescent="0.2">
      <c r="B49" s="117"/>
      <c r="C49" s="117"/>
      <c r="D49" s="117"/>
      <c r="E49" s="117"/>
      <c r="F49" s="117"/>
      <c r="G49" s="117"/>
    </row>
    <row r="50" spans="2:10" ht="27" customHeight="1" x14ac:dyDescent="0.2">
      <c r="B50" s="117"/>
      <c r="C50" s="117"/>
      <c r="D50" s="117"/>
      <c r="E50" s="117"/>
      <c r="F50" s="117"/>
      <c r="G50" s="117"/>
    </row>
    <row r="51" spans="2:10" ht="27" customHeight="1" x14ac:dyDescent="0.2">
      <c r="B51" s="117"/>
      <c r="C51" s="117"/>
      <c r="D51" s="117"/>
      <c r="E51" s="117"/>
      <c r="F51" s="117"/>
      <c r="G51" s="117"/>
    </row>
    <row r="52" spans="2:10" ht="27" customHeight="1" x14ac:dyDescent="0.2">
      <c r="B52" s="117"/>
      <c r="C52" s="117"/>
      <c r="D52" s="117"/>
      <c r="E52" s="117"/>
      <c r="F52" s="117"/>
      <c r="G52" s="117"/>
    </row>
    <row r="53" spans="2:10" ht="27" customHeight="1" x14ac:dyDescent="0.2">
      <c r="B53" s="117"/>
      <c r="C53" s="117"/>
      <c r="D53" s="117"/>
      <c r="E53" s="117"/>
      <c r="F53" s="117"/>
      <c r="G53" s="117"/>
    </row>
    <row r="54" spans="2:10" ht="27" customHeight="1" x14ac:dyDescent="0.2">
      <c r="B54" s="117"/>
      <c r="C54" s="117"/>
      <c r="D54" s="117"/>
      <c r="E54" s="117"/>
      <c r="F54" s="117"/>
      <c r="G54" s="117"/>
    </row>
    <row r="55" spans="2:10" ht="27" customHeight="1" x14ac:dyDescent="0.2">
      <c r="B55" s="117"/>
      <c r="C55" s="117"/>
      <c r="D55" s="117"/>
      <c r="E55" s="117"/>
      <c r="F55" s="117"/>
      <c r="G55" s="117"/>
    </row>
    <row r="56" spans="2:10" ht="27" customHeight="1" x14ac:dyDescent="0.2">
      <c r="B56" s="117"/>
      <c r="C56" s="117"/>
      <c r="D56" s="117"/>
      <c r="E56" s="117"/>
      <c r="F56" s="117"/>
      <c r="G56" s="117"/>
    </row>
    <row r="57" spans="2:10" ht="27" customHeight="1" x14ac:dyDescent="0.2">
      <c r="B57" s="117"/>
      <c r="C57" s="117"/>
      <c r="D57" s="117"/>
      <c r="E57" s="117"/>
      <c r="F57" s="117"/>
      <c r="G57" s="117"/>
    </row>
    <row r="58" spans="2:10" ht="27" customHeight="1" x14ac:dyDescent="0.2">
      <c r="B58" s="117"/>
      <c r="C58" s="117"/>
      <c r="D58" s="117"/>
      <c r="E58" s="117"/>
      <c r="F58" s="117"/>
      <c r="G58" s="117"/>
    </row>
    <row r="59" spans="2:10" ht="27" customHeight="1" x14ac:dyDescent="0.2">
      <c r="B59" s="117"/>
      <c r="C59" s="117"/>
      <c r="D59" s="117"/>
      <c r="E59" s="117"/>
      <c r="F59" s="117"/>
      <c r="G59" s="117"/>
    </row>
    <row r="60" spans="2:10" ht="27" customHeight="1" x14ac:dyDescent="0.2">
      <c r="B60" s="117"/>
      <c r="C60" s="117"/>
      <c r="D60" s="117"/>
      <c r="E60" s="117"/>
      <c r="F60" s="117"/>
      <c r="G60" s="117"/>
    </row>
    <row r="61" spans="2:10" ht="27" customHeight="1" x14ac:dyDescent="0.2">
      <c r="B61" s="117"/>
      <c r="C61" s="117"/>
      <c r="D61" s="117"/>
      <c r="E61" s="117"/>
      <c r="F61" s="117"/>
      <c r="G61" s="117"/>
    </row>
    <row r="62" spans="2:10" ht="27" customHeight="1" x14ac:dyDescent="0.2">
      <c r="B62" s="117"/>
      <c r="C62" s="117"/>
      <c r="D62" s="117"/>
      <c r="E62" s="117"/>
      <c r="F62" s="117"/>
      <c r="G62" s="117"/>
    </row>
    <row r="63" spans="2:10" ht="27" customHeight="1" x14ac:dyDescent="0.2">
      <c r="B63" s="117"/>
      <c r="C63" s="117"/>
      <c r="D63" s="117"/>
      <c r="E63" s="117"/>
      <c r="F63" s="117"/>
      <c r="G63" s="117"/>
    </row>
    <row r="64" spans="2:10" s="108" customFormat="1" ht="24" customHeight="1" x14ac:dyDescent="0.25">
      <c r="D64" s="118"/>
      <c r="E64" s="119"/>
      <c r="F64" s="120"/>
      <c r="H64" s="121"/>
      <c r="J64" s="120"/>
    </row>
    <row r="65" spans="2:10" s="108" customFormat="1" ht="24" customHeight="1" x14ac:dyDescent="0.25">
      <c r="D65" s="118"/>
      <c r="E65" s="119"/>
      <c r="F65" s="120"/>
      <c r="H65" s="121"/>
      <c r="J65" s="120"/>
    </row>
    <row r="67" spans="2:10" ht="36.75" customHeight="1" x14ac:dyDescent="0.2">
      <c r="B67" s="469"/>
      <c r="C67" s="469"/>
      <c r="D67" s="469"/>
      <c r="E67" s="469"/>
      <c r="F67" s="469"/>
      <c r="G67" s="469"/>
    </row>
    <row r="68" spans="2:10" x14ac:dyDescent="0.2">
      <c r="B68" s="122"/>
      <c r="C68" s="122"/>
      <c r="D68" s="122"/>
      <c r="E68" s="122"/>
      <c r="F68" s="122"/>
      <c r="G68" s="122"/>
    </row>
    <row r="69" spans="2:10" x14ac:dyDescent="0.2">
      <c r="B69" s="122"/>
      <c r="C69" s="122"/>
      <c r="D69" s="122"/>
      <c r="E69" s="122"/>
      <c r="F69" s="122"/>
      <c r="G69" s="122"/>
    </row>
    <row r="70" spans="2:10" x14ac:dyDescent="0.2">
      <c r="B70" s="122"/>
      <c r="C70" s="122"/>
      <c r="D70" s="122"/>
      <c r="E70" s="122"/>
      <c r="F70" s="122"/>
      <c r="G70" s="122"/>
    </row>
    <row r="71" spans="2:10" x14ac:dyDescent="0.2">
      <c r="B71" s="122"/>
      <c r="C71" s="122"/>
      <c r="D71" s="122"/>
      <c r="E71" s="122"/>
      <c r="F71" s="122"/>
      <c r="G71" s="122"/>
    </row>
    <row r="72" spans="2:10" x14ac:dyDescent="0.2">
      <c r="B72" s="122"/>
      <c r="C72" s="122"/>
      <c r="D72" s="122"/>
      <c r="E72" s="122"/>
      <c r="F72" s="122"/>
      <c r="G72" s="122"/>
    </row>
    <row r="73" spans="2:10" x14ac:dyDescent="0.2">
      <c r="B73" s="122"/>
      <c r="C73" s="122"/>
      <c r="D73" s="122"/>
      <c r="E73" s="122"/>
      <c r="F73" s="122"/>
      <c r="G73" s="122"/>
    </row>
    <row r="74" spans="2:10" x14ac:dyDescent="0.2">
      <c r="B74" s="122"/>
      <c r="C74" s="122"/>
      <c r="D74" s="122"/>
      <c r="E74" s="122"/>
      <c r="F74" s="122"/>
      <c r="G74" s="122"/>
    </row>
    <row r="75" spans="2:10" x14ac:dyDescent="0.2">
      <c r="B75" s="122"/>
      <c r="C75" s="122"/>
      <c r="D75" s="122"/>
      <c r="E75" s="122"/>
      <c r="F75" s="122"/>
      <c r="G75" s="122"/>
    </row>
    <row r="76" spans="2:10" x14ac:dyDescent="0.2">
      <c r="B76" s="122"/>
      <c r="C76" s="122"/>
      <c r="D76" s="122"/>
      <c r="E76" s="122"/>
      <c r="F76" s="122"/>
      <c r="G76" s="122"/>
    </row>
    <row r="77" spans="2:10" x14ac:dyDescent="0.2">
      <c r="B77" s="122"/>
      <c r="C77" s="122"/>
      <c r="D77" s="122"/>
      <c r="E77" s="122"/>
      <c r="F77" s="122"/>
      <c r="G77" s="122"/>
    </row>
    <row r="78" spans="2:10" x14ac:dyDescent="0.2">
      <c r="B78" s="122"/>
      <c r="C78" s="122"/>
      <c r="D78" s="122"/>
      <c r="E78" s="122"/>
      <c r="F78" s="122"/>
      <c r="G78" s="122"/>
    </row>
    <row r="79" spans="2:10" x14ac:dyDescent="0.2">
      <c r="B79" s="122"/>
      <c r="C79" s="122"/>
      <c r="D79" s="122"/>
      <c r="E79" s="122"/>
      <c r="F79" s="122"/>
      <c r="G79" s="122"/>
    </row>
    <row r="80" spans="2:10" x14ac:dyDescent="0.2">
      <c r="B80" s="122"/>
      <c r="C80" s="122"/>
      <c r="D80" s="122"/>
      <c r="E80" s="122"/>
      <c r="F80" s="122"/>
      <c r="G80" s="122"/>
    </row>
    <row r="81" spans="2:7" x14ac:dyDescent="0.2">
      <c r="B81" s="122"/>
      <c r="C81" s="122"/>
      <c r="D81" s="122"/>
      <c r="E81" s="122"/>
      <c r="F81" s="122"/>
      <c r="G81" s="122"/>
    </row>
    <row r="82" spans="2:7" x14ac:dyDescent="0.2">
      <c r="B82" s="122"/>
      <c r="C82" s="122"/>
      <c r="D82" s="122"/>
      <c r="E82" s="122"/>
      <c r="F82" s="122"/>
      <c r="G82" s="122"/>
    </row>
    <row r="83" spans="2:7" x14ac:dyDescent="0.2">
      <c r="B83" s="122"/>
      <c r="C83" s="122"/>
      <c r="D83" s="122"/>
      <c r="E83" s="122"/>
      <c r="F83" s="122"/>
      <c r="G83" s="122"/>
    </row>
    <row r="84" spans="2:7" x14ac:dyDescent="0.2">
      <c r="B84" s="122"/>
      <c r="C84" s="122"/>
      <c r="D84" s="122"/>
      <c r="E84" s="122"/>
      <c r="F84" s="122"/>
      <c r="G84" s="122"/>
    </row>
    <row r="85" spans="2:7" x14ac:dyDescent="0.2">
      <c r="B85" s="122"/>
      <c r="C85" s="122"/>
      <c r="D85" s="122"/>
      <c r="E85" s="122"/>
      <c r="F85" s="122"/>
      <c r="G85" s="122"/>
    </row>
    <row r="86" spans="2:7" x14ac:dyDescent="0.2">
      <c r="B86" s="122"/>
      <c r="C86" s="122"/>
      <c r="D86" s="122"/>
      <c r="E86" s="122"/>
      <c r="F86" s="122"/>
      <c r="G86" s="122"/>
    </row>
    <row r="87" spans="2:7" x14ac:dyDescent="0.2">
      <c r="B87" s="122"/>
      <c r="C87" s="122"/>
      <c r="D87" s="122"/>
      <c r="E87" s="122"/>
      <c r="F87" s="122"/>
      <c r="G87" s="122"/>
    </row>
    <row r="88" spans="2:7" x14ac:dyDescent="0.2">
      <c r="B88" s="122"/>
      <c r="C88" s="122"/>
      <c r="D88" s="122"/>
      <c r="E88" s="122"/>
      <c r="F88" s="122"/>
      <c r="G88" s="122"/>
    </row>
    <row r="89" spans="2:7" x14ac:dyDescent="0.2">
      <c r="B89" s="122"/>
      <c r="C89" s="122"/>
      <c r="D89" s="122"/>
      <c r="E89" s="122"/>
      <c r="F89" s="122"/>
      <c r="G89" s="122"/>
    </row>
    <row r="90" spans="2:7" x14ac:dyDescent="0.2">
      <c r="B90" s="122"/>
      <c r="C90" s="122"/>
      <c r="D90" s="122"/>
      <c r="E90" s="122"/>
      <c r="F90" s="122"/>
      <c r="G90" s="122"/>
    </row>
    <row r="98" ht="14.25" customHeight="1" x14ac:dyDescent="0.2"/>
  </sheetData>
  <mergeCells count="11">
    <mergeCell ref="B67:G67"/>
    <mergeCell ref="B26:G26"/>
    <mergeCell ref="C24:D24"/>
    <mergeCell ref="C22:D22"/>
    <mergeCell ref="C23:D23"/>
    <mergeCell ref="B20:G20"/>
    <mergeCell ref="B9:G9"/>
    <mergeCell ref="C13:D13"/>
    <mergeCell ref="C14:D15"/>
    <mergeCell ref="F14:F15"/>
    <mergeCell ref="B18:G18"/>
  </mergeCells>
  <printOptions horizontalCentered="1"/>
  <pageMargins left="0.2" right="0.2" top="0.3" bottom="0.3" header="0" footer="0"/>
  <pageSetup paperSize="9" scale="84" orientation="portrait" r:id="rId1"/>
  <rowBreaks count="1" manualBreakCount="1">
    <brk id="43" max="6" man="1"/>
  </rowBreaks>
  <colBreaks count="1" manualBreakCount="1">
    <brk id="7"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sheetPr>
  <dimension ref="A1:P102"/>
  <sheetViews>
    <sheetView view="pageBreakPreview" zoomScale="60" zoomScaleNormal="100" workbookViewId="0">
      <pane xSplit="9" ySplit="10" topLeftCell="J77" activePane="bottomRight" state="frozen"/>
      <selection activeCell="H236" sqref="H236"/>
      <selection pane="topRight" activeCell="H236" sqref="H236"/>
      <selection pane="bottomLeft" activeCell="H236" sqref="H236"/>
      <selection pane="bottomRight" activeCell="I86" sqref="I86"/>
    </sheetView>
  </sheetViews>
  <sheetFormatPr defaultColWidth="9.109375" defaultRowHeight="12.6" x14ac:dyDescent="0.2"/>
  <cols>
    <col min="1" max="1" width="5.88671875" style="93" customWidth="1"/>
    <col min="2" max="3" width="9.109375" style="93"/>
    <col min="4" max="4" width="9" style="93" customWidth="1"/>
    <col min="5" max="5" width="36.6640625" style="93" customWidth="1"/>
    <col min="6" max="7" width="11.5546875" style="95" customWidth="1"/>
    <col min="8" max="8" width="13.6640625" style="228" customWidth="1"/>
    <col min="9" max="9" width="19.77734375" style="93" customWidth="1"/>
    <col min="10" max="10" width="11.109375" style="132" customWidth="1"/>
    <col min="11" max="11" width="9.44140625" style="229" customWidth="1"/>
    <col min="12" max="12" width="12.6640625" style="132" customWidth="1"/>
    <col min="13" max="13" width="17.6640625" style="132" bestFit="1" customWidth="1"/>
    <col min="14" max="14" width="15.88671875" style="230" customWidth="1"/>
    <col min="15" max="15" width="17.5546875" style="132" customWidth="1"/>
    <col min="16" max="16" width="33.44140625" style="93" customWidth="1"/>
    <col min="17" max="16384" width="9.109375" style="93"/>
  </cols>
  <sheetData>
    <row r="1" spans="1:16" hidden="1" x14ac:dyDescent="0.2"/>
    <row r="2" spans="1:16" hidden="1" x14ac:dyDescent="0.2"/>
    <row r="3" spans="1:16" hidden="1" x14ac:dyDescent="0.2"/>
    <row r="4" spans="1:16" hidden="1" x14ac:dyDescent="0.2"/>
    <row r="5" spans="1:16" hidden="1" x14ac:dyDescent="0.2"/>
    <row r="6" spans="1:16" ht="16.5" hidden="1" customHeight="1" x14ac:dyDescent="0.2">
      <c r="A6" s="514" t="s">
        <v>29</v>
      </c>
      <c r="B6" s="514"/>
      <c r="C6" s="514"/>
      <c r="D6" s="514"/>
      <c r="E6" s="514"/>
      <c r="F6" s="514"/>
      <c r="G6" s="514"/>
      <c r="H6" s="514"/>
      <c r="I6" s="514"/>
      <c r="J6" s="133"/>
      <c r="K6" s="134"/>
      <c r="L6" s="135"/>
      <c r="M6" s="509">
        <f>Summary!F6</f>
        <v>44956</v>
      </c>
      <c r="N6" s="509"/>
      <c r="O6" s="509"/>
    </row>
    <row r="7" spans="1:16" s="108" customFormat="1" ht="19.5" hidden="1" customHeight="1" x14ac:dyDescent="0.25">
      <c r="A7" s="136" t="s">
        <v>94</v>
      </c>
      <c r="B7" s="136"/>
      <c r="C7" s="136"/>
      <c r="D7" s="136"/>
      <c r="E7" s="136"/>
      <c r="F7" s="122"/>
      <c r="G7" s="122"/>
      <c r="H7" s="137"/>
      <c r="I7" s="136"/>
      <c r="J7" s="138"/>
      <c r="K7" s="139"/>
      <c r="L7" s="138"/>
      <c r="M7" s="138"/>
      <c r="N7" s="140"/>
      <c r="O7" s="138"/>
    </row>
    <row r="8" spans="1:16" s="144" customFormat="1" ht="33" hidden="1" customHeight="1" thickBot="1" x14ac:dyDescent="0.3">
      <c r="A8" s="515" t="s">
        <v>30</v>
      </c>
      <c r="B8" s="515"/>
      <c r="C8" s="515"/>
      <c r="D8" s="515"/>
      <c r="E8" s="515"/>
      <c r="F8" s="515"/>
      <c r="G8" s="515"/>
      <c r="H8" s="515"/>
      <c r="I8" s="515"/>
      <c r="J8" s="141"/>
      <c r="K8" s="142"/>
      <c r="L8" s="143"/>
      <c r="M8" s="510" t="s">
        <v>177</v>
      </c>
      <c r="N8" s="510"/>
      <c r="O8" s="510"/>
    </row>
    <row r="9" spans="1:16" ht="18" customHeight="1" thickTop="1" x14ac:dyDescent="0.2">
      <c r="A9" s="522" t="s">
        <v>32</v>
      </c>
      <c r="B9" s="492" t="s">
        <v>0</v>
      </c>
      <c r="C9" s="493"/>
      <c r="D9" s="493"/>
      <c r="E9" s="494"/>
      <c r="F9" s="516" t="s">
        <v>34</v>
      </c>
      <c r="G9" s="516" t="s">
        <v>31</v>
      </c>
      <c r="H9" s="518" t="s">
        <v>36</v>
      </c>
      <c r="I9" s="520" t="s">
        <v>35</v>
      </c>
      <c r="J9" s="472" t="s">
        <v>91</v>
      </c>
      <c r="K9" s="473"/>
      <c r="L9" s="474"/>
      <c r="M9" s="475" t="s">
        <v>92</v>
      </c>
      <c r="N9" s="473"/>
      <c r="O9" s="476"/>
      <c r="P9" s="507" t="s">
        <v>284</v>
      </c>
    </row>
    <row r="10" spans="1:16" ht="36.75" customHeight="1" thickBot="1" x14ac:dyDescent="0.25">
      <c r="A10" s="523"/>
      <c r="B10" s="495"/>
      <c r="C10" s="496"/>
      <c r="D10" s="496"/>
      <c r="E10" s="497"/>
      <c r="F10" s="517"/>
      <c r="G10" s="517"/>
      <c r="H10" s="519"/>
      <c r="I10" s="521"/>
      <c r="J10" s="413" t="s">
        <v>87</v>
      </c>
      <c r="K10" s="414" t="s">
        <v>88</v>
      </c>
      <c r="L10" s="415" t="s">
        <v>90</v>
      </c>
      <c r="M10" s="415" t="s">
        <v>87</v>
      </c>
      <c r="N10" s="415" t="s">
        <v>88</v>
      </c>
      <c r="O10" s="416" t="s">
        <v>89</v>
      </c>
      <c r="P10" s="508"/>
    </row>
    <row r="11" spans="1:16" x14ac:dyDescent="0.2">
      <c r="A11" s="145"/>
      <c r="B11" s="511"/>
      <c r="C11" s="512"/>
      <c r="D11" s="512"/>
      <c r="E11" s="513"/>
      <c r="F11" s="146"/>
      <c r="G11" s="154"/>
      <c r="H11" s="147"/>
      <c r="I11" s="148"/>
      <c r="J11" s="149"/>
      <c r="K11" s="150"/>
      <c r="L11" s="151"/>
      <c r="M11" s="151"/>
      <c r="N11" s="152"/>
      <c r="O11" s="153"/>
      <c r="P11" s="393"/>
    </row>
    <row r="12" spans="1:16" ht="21.75" customHeight="1" x14ac:dyDescent="0.2">
      <c r="A12" s="145"/>
      <c r="B12" s="498" t="s">
        <v>13</v>
      </c>
      <c r="C12" s="499"/>
      <c r="D12" s="499"/>
      <c r="E12" s="500"/>
      <c r="F12" s="146"/>
      <c r="G12" s="154"/>
      <c r="H12" s="147"/>
      <c r="I12" s="148"/>
      <c r="J12" s="149"/>
      <c r="K12" s="150"/>
      <c r="L12" s="151"/>
      <c r="M12" s="151"/>
      <c r="N12" s="152"/>
      <c r="O12" s="153"/>
      <c r="P12" s="393"/>
    </row>
    <row r="13" spans="1:16" s="108" customFormat="1" ht="43.5" customHeight="1" x14ac:dyDescent="0.25">
      <c r="A13" s="145" t="s">
        <v>3</v>
      </c>
      <c r="B13" s="485" t="s">
        <v>4</v>
      </c>
      <c r="C13" s="486"/>
      <c r="D13" s="486"/>
      <c r="E13" s="487"/>
      <c r="F13" s="146"/>
      <c r="G13" s="154"/>
      <c r="H13" s="147"/>
      <c r="I13" s="148"/>
      <c r="J13" s="149"/>
      <c r="K13" s="150"/>
      <c r="L13" s="151"/>
      <c r="M13" s="151"/>
      <c r="N13" s="152"/>
      <c r="O13" s="153"/>
      <c r="P13" s="394"/>
    </row>
    <row r="14" spans="1:16" s="108" customFormat="1" x14ac:dyDescent="0.25">
      <c r="A14" s="145"/>
      <c r="B14" s="155"/>
      <c r="C14" s="480"/>
      <c r="D14" s="480"/>
      <c r="E14" s="481"/>
      <c r="F14" s="146"/>
      <c r="G14" s="154"/>
      <c r="H14" s="147"/>
      <c r="I14" s="148"/>
      <c r="J14" s="149"/>
      <c r="K14" s="150"/>
      <c r="L14" s="151"/>
      <c r="M14" s="151"/>
      <c r="N14" s="152"/>
      <c r="O14" s="153"/>
      <c r="P14" s="394"/>
    </row>
    <row r="15" spans="1:16" s="144" customFormat="1" ht="42.75" customHeight="1" x14ac:dyDescent="0.25">
      <c r="A15" s="156">
        <v>1</v>
      </c>
      <c r="B15" s="477" t="s">
        <v>6</v>
      </c>
      <c r="C15" s="478"/>
      <c r="D15" s="478"/>
      <c r="E15" s="479"/>
      <c r="F15" s="157">
        <v>25</v>
      </c>
      <c r="G15" s="158" t="s">
        <v>248</v>
      </c>
      <c r="H15" s="159">
        <v>820</v>
      </c>
      <c r="I15" s="160">
        <f t="shared" ref="I15:I22" si="0">H15*F15</f>
        <v>20500</v>
      </c>
      <c r="J15" s="161">
        <v>89.6</v>
      </c>
      <c r="K15" s="162">
        <f>L15-J15</f>
        <v>0</v>
      </c>
      <c r="L15" s="163">
        <v>89.6</v>
      </c>
      <c r="M15" s="163">
        <f t="shared" ref="M15:M22" si="1">+J15*H15</f>
        <v>73472</v>
      </c>
      <c r="N15" s="164">
        <f>O15-M15</f>
        <v>-52972</v>
      </c>
      <c r="O15" s="165">
        <f t="shared" ref="O15:O22" si="2">IF(H15*L15&gt;I15,I15,H15*L15)</f>
        <v>20500</v>
      </c>
      <c r="P15" s="395"/>
    </row>
    <row r="16" spans="1:16" s="144" customFormat="1" ht="40.5" customHeight="1" x14ac:dyDescent="0.25">
      <c r="A16" s="156">
        <v>2</v>
      </c>
      <c r="B16" s="477" t="s">
        <v>7</v>
      </c>
      <c r="C16" s="478"/>
      <c r="D16" s="478"/>
      <c r="E16" s="479"/>
      <c r="F16" s="166">
        <v>25</v>
      </c>
      <c r="G16" s="158" t="s">
        <v>248</v>
      </c>
      <c r="H16" s="159">
        <v>820</v>
      </c>
      <c r="I16" s="160">
        <f t="shared" si="0"/>
        <v>20500</v>
      </c>
      <c r="J16" s="161"/>
      <c r="K16" s="162">
        <f>L16-J16</f>
        <v>0</v>
      </c>
      <c r="L16" s="163"/>
      <c r="M16" s="163">
        <f>+J16*H16</f>
        <v>0</v>
      </c>
      <c r="N16" s="164">
        <f t="shared" ref="N16:N22" si="3">O16-M16</f>
        <v>0</v>
      </c>
      <c r="O16" s="165">
        <f t="shared" si="2"/>
        <v>0</v>
      </c>
      <c r="P16" s="395"/>
    </row>
    <row r="17" spans="1:16" s="144" customFormat="1" ht="42" customHeight="1" x14ac:dyDescent="0.25">
      <c r="A17" s="156">
        <v>3</v>
      </c>
      <c r="B17" s="477" t="s">
        <v>8</v>
      </c>
      <c r="C17" s="478"/>
      <c r="D17" s="478"/>
      <c r="E17" s="479"/>
      <c r="F17" s="166">
        <v>119.82</v>
      </c>
      <c r="G17" s="158" t="s">
        <v>248</v>
      </c>
      <c r="H17" s="159">
        <v>820</v>
      </c>
      <c r="I17" s="160">
        <f t="shared" si="0"/>
        <v>98252.4</v>
      </c>
      <c r="J17" s="161"/>
      <c r="K17" s="162">
        <f t="shared" ref="K17:K22" si="4">L17-J17</f>
        <v>0</v>
      </c>
      <c r="L17" s="163"/>
      <c r="M17" s="163">
        <f t="shared" si="1"/>
        <v>0</v>
      </c>
      <c r="N17" s="164">
        <f t="shared" si="3"/>
        <v>0</v>
      </c>
      <c r="O17" s="165">
        <f t="shared" si="2"/>
        <v>0</v>
      </c>
      <c r="P17" s="395"/>
    </row>
    <row r="18" spans="1:16" s="144" customFormat="1" ht="42" customHeight="1" x14ac:dyDescent="0.25">
      <c r="A18" s="156">
        <v>4</v>
      </c>
      <c r="B18" s="477" t="s">
        <v>9</v>
      </c>
      <c r="C18" s="478"/>
      <c r="D18" s="478"/>
      <c r="E18" s="479"/>
      <c r="F18" s="166">
        <v>27.12</v>
      </c>
      <c r="G18" s="158" t="s">
        <v>5</v>
      </c>
      <c r="H18" s="159">
        <v>820</v>
      </c>
      <c r="I18" s="160">
        <f t="shared" si="0"/>
        <v>22238.400000000001</v>
      </c>
      <c r="J18" s="161"/>
      <c r="K18" s="162">
        <f t="shared" si="4"/>
        <v>0</v>
      </c>
      <c r="L18" s="163"/>
      <c r="M18" s="163">
        <f t="shared" si="1"/>
        <v>0</v>
      </c>
      <c r="N18" s="164">
        <f t="shared" si="3"/>
        <v>0</v>
      </c>
      <c r="O18" s="165">
        <f t="shared" si="2"/>
        <v>0</v>
      </c>
      <c r="P18" s="395"/>
    </row>
    <row r="19" spans="1:16" s="144" customFormat="1" ht="42" customHeight="1" x14ac:dyDescent="0.25">
      <c r="A19" s="156">
        <v>5</v>
      </c>
      <c r="B19" s="477" t="s">
        <v>10</v>
      </c>
      <c r="C19" s="478"/>
      <c r="D19" s="478"/>
      <c r="E19" s="479"/>
      <c r="F19" s="167">
        <v>13.28</v>
      </c>
      <c r="G19" s="158" t="s">
        <v>248</v>
      </c>
      <c r="H19" s="159">
        <v>820</v>
      </c>
      <c r="I19" s="160">
        <f t="shared" si="0"/>
        <v>10889.6</v>
      </c>
      <c r="J19" s="161">
        <v>13.28</v>
      </c>
      <c r="K19" s="162">
        <f t="shared" si="4"/>
        <v>0</v>
      </c>
      <c r="L19" s="163">
        <v>13.28</v>
      </c>
      <c r="M19" s="163">
        <f t="shared" si="1"/>
        <v>10889.6</v>
      </c>
      <c r="N19" s="164">
        <f t="shared" si="3"/>
        <v>0</v>
      </c>
      <c r="O19" s="165">
        <f t="shared" si="2"/>
        <v>10889.6</v>
      </c>
      <c r="P19" s="395"/>
    </row>
    <row r="20" spans="1:16" s="144" customFormat="1" ht="44.25" customHeight="1" x14ac:dyDescent="0.25">
      <c r="A20" s="156">
        <v>6</v>
      </c>
      <c r="B20" s="477" t="s">
        <v>11</v>
      </c>
      <c r="C20" s="478"/>
      <c r="D20" s="478"/>
      <c r="E20" s="479"/>
      <c r="F20" s="166">
        <v>22.04</v>
      </c>
      <c r="G20" s="158" t="s">
        <v>248</v>
      </c>
      <c r="H20" s="159">
        <v>820</v>
      </c>
      <c r="I20" s="160">
        <f t="shared" si="0"/>
        <v>18072.8</v>
      </c>
      <c r="J20" s="161">
        <v>22.04</v>
      </c>
      <c r="K20" s="162">
        <f t="shared" si="4"/>
        <v>0</v>
      </c>
      <c r="L20" s="163">
        <v>22.04</v>
      </c>
      <c r="M20" s="163">
        <f t="shared" si="1"/>
        <v>18072.8</v>
      </c>
      <c r="N20" s="164">
        <f t="shared" si="3"/>
        <v>0</v>
      </c>
      <c r="O20" s="165">
        <f t="shared" si="2"/>
        <v>18072.8</v>
      </c>
      <c r="P20" s="395"/>
    </row>
    <row r="21" spans="1:16" s="144" customFormat="1" ht="55.5" customHeight="1" x14ac:dyDescent="0.25">
      <c r="A21" s="156">
        <v>7</v>
      </c>
      <c r="B21" s="477" t="s">
        <v>249</v>
      </c>
      <c r="C21" s="478"/>
      <c r="D21" s="478"/>
      <c r="E21" s="479"/>
      <c r="F21" s="166">
        <v>125</v>
      </c>
      <c r="G21" s="158" t="s">
        <v>248</v>
      </c>
      <c r="H21" s="159">
        <v>820</v>
      </c>
      <c r="I21" s="160">
        <f t="shared" si="0"/>
        <v>102500</v>
      </c>
      <c r="J21" s="161">
        <v>12.35</v>
      </c>
      <c r="K21" s="162">
        <f t="shared" si="4"/>
        <v>0</v>
      </c>
      <c r="L21" s="163">
        <v>12.35</v>
      </c>
      <c r="M21" s="163">
        <f t="shared" si="1"/>
        <v>10127</v>
      </c>
      <c r="N21" s="164">
        <f t="shared" si="3"/>
        <v>0</v>
      </c>
      <c r="O21" s="165">
        <f t="shared" si="2"/>
        <v>10127</v>
      </c>
      <c r="P21" s="395"/>
    </row>
    <row r="22" spans="1:16" s="144" customFormat="1" ht="51" customHeight="1" x14ac:dyDescent="0.25">
      <c r="A22" s="156">
        <v>8</v>
      </c>
      <c r="B22" s="477" t="s">
        <v>37</v>
      </c>
      <c r="C22" s="478"/>
      <c r="D22" s="478"/>
      <c r="E22" s="479"/>
      <c r="F22" s="166">
        <v>18.399999999999999</v>
      </c>
      <c r="G22" s="158" t="s">
        <v>12</v>
      </c>
      <c r="H22" s="159">
        <v>195</v>
      </c>
      <c r="I22" s="160">
        <f t="shared" si="0"/>
        <v>3587.9999999999995</v>
      </c>
      <c r="J22" s="161"/>
      <c r="K22" s="162">
        <f t="shared" si="4"/>
        <v>0</v>
      </c>
      <c r="L22" s="163"/>
      <c r="M22" s="163">
        <f t="shared" si="1"/>
        <v>0</v>
      </c>
      <c r="N22" s="164">
        <f t="shared" si="3"/>
        <v>0</v>
      </c>
      <c r="O22" s="165">
        <f t="shared" si="2"/>
        <v>0</v>
      </c>
      <c r="P22" s="395"/>
    </row>
    <row r="23" spans="1:16" s="108" customFormat="1" ht="33.75" customHeight="1" thickBot="1" x14ac:dyDescent="0.3">
      <c r="A23" s="168"/>
      <c r="B23" s="504"/>
      <c r="C23" s="505"/>
      <c r="D23" s="505"/>
      <c r="E23" s="506"/>
      <c r="F23" s="169"/>
      <c r="G23" s="170"/>
      <c r="H23" s="171"/>
      <c r="I23" s="172"/>
      <c r="J23" s="173"/>
      <c r="K23" s="174"/>
      <c r="L23" s="175"/>
      <c r="M23" s="175"/>
      <c r="N23" s="176"/>
      <c r="O23" s="177"/>
      <c r="P23" s="394"/>
    </row>
    <row r="24" spans="1:16" ht="19.5" customHeight="1" thickTop="1" x14ac:dyDescent="0.2">
      <c r="A24" s="145"/>
      <c r="B24" s="498" t="s">
        <v>14</v>
      </c>
      <c r="C24" s="499"/>
      <c r="D24" s="499"/>
      <c r="E24" s="500"/>
      <c r="F24" s="146"/>
      <c r="G24" s="178"/>
      <c r="H24" s="147"/>
      <c r="I24" s="148"/>
      <c r="J24" s="149"/>
      <c r="K24" s="150"/>
      <c r="L24" s="151"/>
      <c r="M24" s="151"/>
      <c r="N24" s="152"/>
      <c r="O24" s="153"/>
      <c r="P24" s="393"/>
    </row>
    <row r="25" spans="1:16" s="108" customFormat="1" ht="18" customHeight="1" x14ac:dyDescent="0.25">
      <c r="A25" s="145" t="s">
        <v>15</v>
      </c>
      <c r="B25" s="485" t="s">
        <v>16</v>
      </c>
      <c r="C25" s="486"/>
      <c r="D25" s="486"/>
      <c r="E25" s="487"/>
      <c r="F25" s="146"/>
      <c r="G25" s="178"/>
      <c r="H25" s="147"/>
      <c r="I25" s="148"/>
      <c r="J25" s="149"/>
      <c r="K25" s="150"/>
      <c r="L25" s="151"/>
      <c r="M25" s="151"/>
      <c r="N25" s="152"/>
      <c r="O25" s="153"/>
      <c r="P25" s="394"/>
    </row>
    <row r="26" spans="1:16" s="108" customFormat="1" x14ac:dyDescent="0.25">
      <c r="A26" s="145"/>
      <c r="B26" s="155"/>
      <c r="C26" s="480"/>
      <c r="D26" s="480"/>
      <c r="E26" s="481"/>
      <c r="F26" s="146"/>
      <c r="G26" s="154"/>
      <c r="H26" s="147"/>
      <c r="I26" s="148"/>
      <c r="J26" s="149"/>
      <c r="K26" s="150"/>
      <c r="L26" s="151"/>
      <c r="M26" s="151"/>
      <c r="N26" s="152"/>
      <c r="O26" s="153"/>
      <c r="P26" s="394"/>
    </row>
    <row r="27" spans="1:16" s="144" customFormat="1" ht="42.75" customHeight="1" x14ac:dyDescent="0.25">
      <c r="A27" s="156">
        <v>1</v>
      </c>
      <c r="B27" s="477" t="s">
        <v>48</v>
      </c>
      <c r="C27" s="478"/>
      <c r="D27" s="478"/>
      <c r="E27" s="479"/>
      <c r="F27" s="157">
        <v>12</v>
      </c>
      <c r="G27" s="158" t="s">
        <v>1</v>
      </c>
      <c r="H27" s="159">
        <v>8000</v>
      </c>
      <c r="I27" s="160">
        <f t="shared" ref="I27:I45" si="5">H27*F27</f>
        <v>96000</v>
      </c>
      <c r="J27" s="161"/>
      <c r="K27" s="162">
        <f>L27-J27</f>
        <v>0</v>
      </c>
      <c r="L27" s="163"/>
      <c r="M27" s="163">
        <f>+J27*H27</f>
        <v>0</v>
      </c>
      <c r="N27" s="164">
        <f>O27-M27</f>
        <v>0</v>
      </c>
      <c r="O27" s="165">
        <f>IF(H27*L27&gt;I27,I27,H27*L27)</f>
        <v>0</v>
      </c>
      <c r="P27" s="395"/>
    </row>
    <row r="28" spans="1:16" s="144" customFormat="1" ht="42.75" customHeight="1" x14ac:dyDescent="0.25">
      <c r="A28" s="156">
        <v>2</v>
      </c>
      <c r="B28" s="477" t="s">
        <v>49</v>
      </c>
      <c r="C28" s="478"/>
      <c r="D28" s="478"/>
      <c r="E28" s="479"/>
      <c r="F28" s="166">
        <v>38</v>
      </c>
      <c r="G28" s="158" t="s">
        <v>1</v>
      </c>
      <c r="H28" s="159">
        <v>8250</v>
      </c>
      <c r="I28" s="160">
        <f t="shared" si="5"/>
        <v>313500</v>
      </c>
      <c r="J28" s="161"/>
      <c r="K28" s="162">
        <f>L28-J28</f>
        <v>0</v>
      </c>
      <c r="L28" s="163"/>
      <c r="M28" s="163">
        <f>+J28*H28</f>
        <v>0</v>
      </c>
      <c r="N28" s="164">
        <f>O28-M28</f>
        <v>0</v>
      </c>
      <c r="O28" s="165">
        <f>IF(H28*L28&gt;I28,I28,H28*L28)</f>
        <v>0</v>
      </c>
      <c r="P28" s="395"/>
    </row>
    <row r="29" spans="1:16" s="144" customFormat="1" ht="42.75" customHeight="1" x14ac:dyDescent="0.25">
      <c r="A29" s="156">
        <v>3</v>
      </c>
      <c r="B29" s="477" t="s">
        <v>50</v>
      </c>
      <c r="C29" s="478"/>
      <c r="D29" s="478"/>
      <c r="E29" s="479"/>
      <c r="F29" s="166">
        <v>1</v>
      </c>
      <c r="G29" s="158" t="s">
        <v>2</v>
      </c>
      <c r="H29" s="159">
        <v>15000</v>
      </c>
      <c r="I29" s="160">
        <f t="shared" si="5"/>
        <v>15000</v>
      </c>
      <c r="J29" s="161"/>
      <c r="K29" s="162">
        <f>L29-J29</f>
        <v>0</v>
      </c>
      <c r="L29" s="163"/>
      <c r="M29" s="163">
        <f>+J29*H29</f>
        <v>0</v>
      </c>
      <c r="N29" s="164">
        <f>O29-M29</f>
        <v>0</v>
      </c>
      <c r="O29" s="165">
        <f>IF(H29*L29&gt;I29,I29,H29*L29)</f>
        <v>0</v>
      </c>
      <c r="P29" s="395"/>
    </row>
    <row r="30" spans="1:16" s="144" customFormat="1" ht="42.75" customHeight="1" x14ac:dyDescent="0.25">
      <c r="A30" s="156">
        <v>4</v>
      </c>
      <c r="B30" s="477" t="s">
        <v>51</v>
      </c>
      <c r="C30" s="478"/>
      <c r="D30" s="478"/>
      <c r="E30" s="479"/>
      <c r="F30" s="166">
        <v>1</v>
      </c>
      <c r="G30" s="158" t="s">
        <v>2</v>
      </c>
      <c r="H30" s="159">
        <v>9400</v>
      </c>
      <c r="I30" s="160">
        <f t="shared" si="5"/>
        <v>9400</v>
      </c>
      <c r="J30" s="161"/>
      <c r="K30" s="162">
        <f t="shared" ref="K30:K45" si="6">L30-J30</f>
        <v>0</v>
      </c>
      <c r="L30" s="163"/>
      <c r="M30" s="163">
        <f t="shared" ref="M30:M45" si="7">+J30*H30</f>
        <v>0</v>
      </c>
      <c r="N30" s="164">
        <f t="shared" ref="N30:N45" si="8">O30-M30</f>
        <v>0</v>
      </c>
      <c r="O30" s="165">
        <f>IF(H30*L30&gt;I30,I30,H30*L30)</f>
        <v>0</v>
      </c>
      <c r="P30" s="395"/>
    </row>
    <row r="31" spans="1:16" s="144" customFormat="1" ht="42.75" customHeight="1" x14ac:dyDescent="0.25">
      <c r="A31" s="156">
        <v>5</v>
      </c>
      <c r="B31" s="477" t="s">
        <v>52</v>
      </c>
      <c r="C31" s="478"/>
      <c r="D31" s="478"/>
      <c r="E31" s="479"/>
      <c r="F31" s="166">
        <v>1</v>
      </c>
      <c r="G31" s="158" t="s">
        <v>2</v>
      </c>
      <c r="H31" s="159">
        <v>6250</v>
      </c>
      <c r="I31" s="160">
        <f t="shared" si="5"/>
        <v>6250</v>
      </c>
      <c r="J31" s="161"/>
      <c r="K31" s="162">
        <f t="shared" si="6"/>
        <v>0</v>
      </c>
      <c r="L31" s="163"/>
      <c r="M31" s="163">
        <f t="shared" si="7"/>
        <v>0</v>
      </c>
      <c r="N31" s="164">
        <f t="shared" si="8"/>
        <v>0</v>
      </c>
      <c r="O31" s="165">
        <f t="shared" ref="O31:O45" si="9">IF(H31*L31&gt;I31,I31,H31*L31)</f>
        <v>0</v>
      </c>
      <c r="P31" s="395"/>
    </row>
    <row r="32" spans="1:16" s="144" customFormat="1" ht="42.75" customHeight="1" x14ac:dyDescent="0.25">
      <c r="A32" s="156">
        <v>6</v>
      </c>
      <c r="B32" s="477" t="s">
        <v>53</v>
      </c>
      <c r="C32" s="478"/>
      <c r="D32" s="478"/>
      <c r="E32" s="479"/>
      <c r="F32" s="166">
        <v>1</v>
      </c>
      <c r="G32" s="158" t="s">
        <v>2</v>
      </c>
      <c r="H32" s="159">
        <v>3375</v>
      </c>
      <c r="I32" s="160">
        <f t="shared" si="5"/>
        <v>3375</v>
      </c>
      <c r="J32" s="161"/>
      <c r="K32" s="162">
        <f t="shared" si="6"/>
        <v>0</v>
      </c>
      <c r="L32" s="163"/>
      <c r="M32" s="163">
        <f t="shared" si="7"/>
        <v>0</v>
      </c>
      <c r="N32" s="164">
        <f t="shared" si="8"/>
        <v>0</v>
      </c>
      <c r="O32" s="165">
        <f t="shared" si="9"/>
        <v>0</v>
      </c>
      <c r="P32" s="395"/>
    </row>
    <row r="33" spans="1:16" s="144" customFormat="1" ht="42.75" customHeight="1" x14ac:dyDescent="0.25">
      <c r="A33" s="156">
        <v>7</v>
      </c>
      <c r="B33" s="477" t="s">
        <v>54</v>
      </c>
      <c r="C33" s="478"/>
      <c r="D33" s="478"/>
      <c r="E33" s="479"/>
      <c r="F33" s="166">
        <v>1</v>
      </c>
      <c r="G33" s="158" t="s">
        <v>2</v>
      </c>
      <c r="H33" s="159">
        <v>10000</v>
      </c>
      <c r="I33" s="160">
        <f t="shared" si="5"/>
        <v>10000</v>
      </c>
      <c r="J33" s="161"/>
      <c r="K33" s="162">
        <f t="shared" si="6"/>
        <v>0</v>
      </c>
      <c r="L33" s="163"/>
      <c r="M33" s="163">
        <f t="shared" si="7"/>
        <v>0</v>
      </c>
      <c r="N33" s="164">
        <f t="shared" si="8"/>
        <v>0</v>
      </c>
      <c r="O33" s="165">
        <f t="shared" si="9"/>
        <v>0</v>
      </c>
      <c r="P33" s="395"/>
    </row>
    <row r="34" spans="1:16" s="144" customFormat="1" ht="42.75" customHeight="1" x14ac:dyDescent="0.25">
      <c r="A34" s="156">
        <v>8</v>
      </c>
      <c r="B34" s="477" t="s">
        <v>55</v>
      </c>
      <c r="C34" s="478"/>
      <c r="D34" s="478"/>
      <c r="E34" s="479"/>
      <c r="F34" s="166">
        <v>2</v>
      </c>
      <c r="G34" s="158" t="s">
        <v>1</v>
      </c>
      <c r="H34" s="159">
        <v>11750</v>
      </c>
      <c r="I34" s="160">
        <f t="shared" si="5"/>
        <v>23500</v>
      </c>
      <c r="J34" s="161"/>
      <c r="K34" s="162">
        <f t="shared" si="6"/>
        <v>0</v>
      </c>
      <c r="L34" s="163"/>
      <c r="M34" s="163">
        <f t="shared" si="7"/>
        <v>0</v>
      </c>
      <c r="N34" s="164">
        <f t="shared" si="8"/>
        <v>0</v>
      </c>
      <c r="O34" s="165">
        <f t="shared" si="9"/>
        <v>0</v>
      </c>
      <c r="P34" s="395"/>
    </row>
    <row r="35" spans="1:16" s="144" customFormat="1" ht="42.75" customHeight="1" x14ac:dyDescent="0.25">
      <c r="A35" s="156">
        <v>9</v>
      </c>
      <c r="B35" s="477" t="s">
        <v>56</v>
      </c>
      <c r="C35" s="478"/>
      <c r="D35" s="478"/>
      <c r="E35" s="479"/>
      <c r="F35" s="166">
        <v>1</v>
      </c>
      <c r="G35" s="158" t="s">
        <v>2</v>
      </c>
      <c r="H35" s="159">
        <v>30000</v>
      </c>
      <c r="I35" s="160">
        <f t="shared" si="5"/>
        <v>30000</v>
      </c>
      <c r="J35" s="161"/>
      <c r="K35" s="162">
        <f t="shared" si="6"/>
        <v>0</v>
      </c>
      <c r="L35" s="163"/>
      <c r="M35" s="163">
        <f t="shared" si="7"/>
        <v>0</v>
      </c>
      <c r="N35" s="164">
        <f t="shared" si="8"/>
        <v>0</v>
      </c>
      <c r="O35" s="165">
        <f t="shared" si="9"/>
        <v>0</v>
      </c>
      <c r="P35" s="395"/>
    </row>
    <row r="36" spans="1:16" s="144" customFormat="1" ht="42.75" customHeight="1" x14ac:dyDescent="0.25">
      <c r="A36" s="156">
        <v>10</v>
      </c>
      <c r="B36" s="477" t="s">
        <v>57</v>
      </c>
      <c r="C36" s="478"/>
      <c r="D36" s="478"/>
      <c r="E36" s="479"/>
      <c r="F36" s="166">
        <v>1</v>
      </c>
      <c r="G36" s="158" t="s">
        <v>2</v>
      </c>
      <c r="H36" s="159">
        <v>8750</v>
      </c>
      <c r="I36" s="160">
        <f t="shared" si="5"/>
        <v>8750</v>
      </c>
      <c r="J36" s="161"/>
      <c r="K36" s="162">
        <f t="shared" si="6"/>
        <v>0</v>
      </c>
      <c r="L36" s="163"/>
      <c r="M36" s="163">
        <f t="shared" si="7"/>
        <v>0</v>
      </c>
      <c r="N36" s="164">
        <f t="shared" si="8"/>
        <v>0</v>
      </c>
      <c r="O36" s="165">
        <f t="shared" si="9"/>
        <v>0</v>
      </c>
      <c r="P36" s="395"/>
    </row>
    <row r="37" spans="1:16" s="144" customFormat="1" ht="42.75" customHeight="1" x14ac:dyDescent="0.25">
      <c r="A37" s="156">
        <v>11</v>
      </c>
      <c r="B37" s="482" t="s">
        <v>58</v>
      </c>
      <c r="C37" s="482"/>
      <c r="D37" s="482"/>
      <c r="E37" s="482"/>
      <c r="F37" s="158">
        <v>1</v>
      </c>
      <c r="G37" s="158" t="s">
        <v>2</v>
      </c>
      <c r="H37" s="159">
        <v>7000</v>
      </c>
      <c r="I37" s="160">
        <f t="shared" si="5"/>
        <v>7000</v>
      </c>
      <c r="J37" s="161"/>
      <c r="K37" s="162">
        <f t="shared" si="6"/>
        <v>0</v>
      </c>
      <c r="L37" s="163"/>
      <c r="M37" s="163">
        <f t="shared" si="7"/>
        <v>0</v>
      </c>
      <c r="N37" s="164">
        <f t="shared" si="8"/>
        <v>0</v>
      </c>
      <c r="O37" s="165">
        <f t="shared" si="9"/>
        <v>0</v>
      </c>
      <c r="P37" s="395"/>
    </row>
    <row r="38" spans="1:16" s="144" customFormat="1" ht="42.75" customHeight="1" x14ac:dyDescent="0.25">
      <c r="A38" s="156">
        <v>12</v>
      </c>
      <c r="B38" s="477" t="s">
        <v>59</v>
      </c>
      <c r="C38" s="478"/>
      <c r="D38" s="478"/>
      <c r="E38" s="479"/>
      <c r="F38" s="158">
        <v>1</v>
      </c>
      <c r="G38" s="179" t="s">
        <v>2</v>
      </c>
      <c r="H38" s="159">
        <v>13750</v>
      </c>
      <c r="I38" s="160">
        <f t="shared" si="5"/>
        <v>13750</v>
      </c>
      <c r="J38" s="161"/>
      <c r="K38" s="162">
        <f t="shared" si="6"/>
        <v>0</v>
      </c>
      <c r="L38" s="163"/>
      <c r="M38" s="163">
        <f t="shared" si="7"/>
        <v>0</v>
      </c>
      <c r="N38" s="164">
        <f t="shared" si="8"/>
        <v>0</v>
      </c>
      <c r="O38" s="165">
        <f t="shared" si="9"/>
        <v>0</v>
      </c>
      <c r="P38" s="395"/>
    </row>
    <row r="39" spans="1:16" s="144" customFormat="1" ht="42.75" customHeight="1" x14ac:dyDescent="0.25">
      <c r="A39" s="156">
        <v>13</v>
      </c>
      <c r="B39" s="477" t="s">
        <v>60</v>
      </c>
      <c r="C39" s="478"/>
      <c r="D39" s="478"/>
      <c r="E39" s="479"/>
      <c r="F39" s="158">
        <v>1</v>
      </c>
      <c r="G39" s="179" t="s">
        <v>2</v>
      </c>
      <c r="H39" s="159">
        <v>7000</v>
      </c>
      <c r="I39" s="160">
        <f t="shared" si="5"/>
        <v>7000</v>
      </c>
      <c r="J39" s="161"/>
      <c r="K39" s="162">
        <f t="shared" si="6"/>
        <v>0</v>
      </c>
      <c r="L39" s="163"/>
      <c r="M39" s="163">
        <f t="shared" si="7"/>
        <v>0</v>
      </c>
      <c r="N39" s="164">
        <f t="shared" si="8"/>
        <v>0</v>
      </c>
      <c r="O39" s="165">
        <f t="shared" si="9"/>
        <v>0</v>
      </c>
      <c r="P39" s="395"/>
    </row>
    <row r="40" spans="1:16" s="144" customFormat="1" ht="42.75" customHeight="1" x14ac:dyDescent="0.25">
      <c r="A40" s="156">
        <v>14</v>
      </c>
      <c r="B40" s="477" t="s">
        <v>61</v>
      </c>
      <c r="C40" s="478"/>
      <c r="D40" s="478"/>
      <c r="E40" s="479"/>
      <c r="F40" s="158">
        <v>1</v>
      </c>
      <c r="G40" s="179" t="s">
        <v>2</v>
      </c>
      <c r="H40" s="159">
        <v>13750</v>
      </c>
      <c r="I40" s="160">
        <f t="shared" si="5"/>
        <v>13750</v>
      </c>
      <c r="J40" s="161"/>
      <c r="K40" s="162">
        <f t="shared" si="6"/>
        <v>0</v>
      </c>
      <c r="L40" s="163"/>
      <c r="M40" s="163">
        <f t="shared" si="7"/>
        <v>0</v>
      </c>
      <c r="N40" s="164">
        <f t="shared" si="8"/>
        <v>0</v>
      </c>
      <c r="O40" s="165">
        <f t="shared" si="9"/>
        <v>0</v>
      </c>
      <c r="P40" s="395"/>
    </row>
    <row r="41" spans="1:16" s="144" customFormat="1" ht="42.75" customHeight="1" x14ac:dyDescent="0.25">
      <c r="A41" s="156">
        <v>15</v>
      </c>
      <c r="B41" s="477" t="s">
        <v>62</v>
      </c>
      <c r="C41" s="478"/>
      <c r="D41" s="478"/>
      <c r="E41" s="479"/>
      <c r="F41" s="158">
        <v>1</v>
      </c>
      <c r="G41" s="179" t="s">
        <v>2</v>
      </c>
      <c r="H41" s="159">
        <v>7000</v>
      </c>
      <c r="I41" s="160">
        <f t="shared" si="5"/>
        <v>7000</v>
      </c>
      <c r="J41" s="161"/>
      <c r="K41" s="162">
        <f t="shared" si="6"/>
        <v>0</v>
      </c>
      <c r="L41" s="163"/>
      <c r="M41" s="163">
        <f t="shared" si="7"/>
        <v>0</v>
      </c>
      <c r="N41" s="164">
        <f t="shared" si="8"/>
        <v>0</v>
      </c>
      <c r="O41" s="165">
        <f t="shared" si="9"/>
        <v>0</v>
      </c>
      <c r="P41" s="395"/>
    </row>
    <row r="42" spans="1:16" s="144" customFormat="1" ht="42.75" customHeight="1" x14ac:dyDescent="0.25">
      <c r="A42" s="156">
        <v>16</v>
      </c>
      <c r="B42" s="477" t="s">
        <v>63</v>
      </c>
      <c r="C42" s="478"/>
      <c r="D42" s="478"/>
      <c r="E42" s="479"/>
      <c r="F42" s="158">
        <v>1</v>
      </c>
      <c r="G42" s="179" t="s">
        <v>2</v>
      </c>
      <c r="H42" s="159">
        <v>13750</v>
      </c>
      <c r="I42" s="160">
        <f t="shared" si="5"/>
        <v>13750</v>
      </c>
      <c r="J42" s="161"/>
      <c r="K42" s="162">
        <f t="shared" si="6"/>
        <v>0</v>
      </c>
      <c r="L42" s="163"/>
      <c r="M42" s="163">
        <f t="shared" si="7"/>
        <v>0</v>
      </c>
      <c r="N42" s="164">
        <f t="shared" si="8"/>
        <v>0</v>
      </c>
      <c r="O42" s="165">
        <f t="shared" si="9"/>
        <v>0</v>
      </c>
      <c r="P42" s="395"/>
    </row>
    <row r="43" spans="1:16" s="144" customFormat="1" ht="42.75" customHeight="1" x14ac:dyDescent="0.25">
      <c r="A43" s="156">
        <v>17</v>
      </c>
      <c r="B43" s="477" t="s">
        <v>64</v>
      </c>
      <c r="C43" s="478"/>
      <c r="D43" s="478"/>
      <c r="E43" s="479"/>
      <c r="F43" s="158">
        <v>1</v>
      </c>
      <c r="G43" s="179" t="s">
        <v>2</v>
      </c>
      <c r="H43" s="159">
        <v>8750</v>
      </c>
      <c r="I43" s="160">
        <f t="shared" si="5"/>
        <v>8750</v>
      </c>
      <c r="J43" s="161"/>
      <c r="K43" s="162">
        <f t="shared" si="6"/>
        <v>0</v>
      </c>
      <c r="L43" s="163"/>
      <c r="M43" s="163">
        <f t="shared" si="7"/>
        <v>0</v>
      </c>
      <c r="N43" s="164">
        <f t="shared" si="8"/>
        <v>0</v>
      </c>
      <c r="O43" s="165">
        <f t="shared" si="9"/>
        <v>0</v>
      </c>
      <c r="P43" s="395"/>
    </row>
    <row r="44" spans="1:16" s="144" customFormat="1" ht="42.75" customHeight="1" x14ac:dyDescent="0.25">
      <c r="A44" s="156">
        <v>18</v>
      </c>
      <c r="B44" s="477" t="s">
        <v>65</v>
      </c>
      <c r="C44" s="478"/>
      <c r="D44" s="478"/>
      <c r="E44" s="479"/>
      <c r="F44" s="158">
        <v>1</v>
      </c>
      <c r="G44" s="179" t="s">
        <v>2</v>
      </c>
      <c r="H44" s="159">
        <v>7000</v>
      </c>
      <c r="I44" s="160">
        <f t="shared" si="5"/>
        <v>7000</v>
      </c>
      <c r="J44" s="161"/>
      <c r="K44" s="162">
        <f t="shared" si="6"/>
        <v>0</v>
      </c>
      <c r="L44" s="163"/>
      <c r="M44" s="163">
        <f t="shared" si="7"/>
        <v>0</v>
      </c>
      <c r="N44" s="164">
        <f t="shared" si="8"/>
        <v>0</v>
      </c>
      <c r="O44" s="165">
        <f t="shared" si="9"/>
        <v>0</v>
      </c>
      <c r="P44" s="395"/>
    </row>
    <row r="45" spans="1:16" s="144" customFormat="1" ht="42.75" customHeight="1" thickBot="1" x14ac:dyDescent="0.3">
      <c r="A45" s="180">
        <v>19</v>
      </c>
      <c r="B45" s="504" t="s">
        <v>66</v>
      </c>
      <c r="C45" s="505"/>
      <c r="D45" s="505"/>
      <c r="E45" s="506"/>
      <c r="F45" s="181">
        <v>1</v>
      </c>
      <c r="G45" s="182" t="s">
        <v>2</v>
      </c>
      <c r="H45" s="183">
        <v>13750</v>
      </c>
      <c r="I45" s="184">
        <f t="shared" si="5"/>
        <v>13750</v>
      </c>
      <c r="J45" s="185"/>
      <c r="K45" s="186">
        <f t="shared" si="6"/>
        <v>0</v>
      </c>
      <c r="L45" s="187"/>
      <c r="M45" s="187">
        <f t="shared" si="7"/>
        <v>0</v>
      </c>
      <c r="N45" s="188">
        <f t="shared" si="8"/>
        <v>0</v>
      </c>
      <c r="O45" s="165">
        <f t="shared" si="9"/>
        <v>0</v>
      </c>
      <c r="P45" s="395"/>
    </row>
    <row r="46" spans="1:16" ht="13.2" thickTop="1" x14ac:dyDescent="0.2">
      <c r="A46" s="145"/>
      <c r="B46" s="483" t="s">
        <v>17</v>
      </c>
      <c r="C46" s="483"/>
      <c r="D46" s="483"/>
      <c r="E46" s="483"/>
      <c r="F46" s="154"/>
      <c r="G46" s="178"/>
      <c r="H46" s="147"/>
      <c r="I46" s="148"/>
      <c r="J46" s="149"/>
      <c r="K46" s="150"/>
      <c r="L46" s="151"/>
      <c r="M46" s="151"/>
      <c r="N46" s="152"/>
      <c r="O46" s="153"/>
      <c r="P46" s="393"/>
    </row>
    <row r="47" spans="1:16" s="108" customFormat="1" ht="42.75" customHeight="1" x14ac:dyDescent="0.25">
      <c r="A47" s="145" t="s">
        <v>18</v>
      </c>
      <c r="B47" s="484" t="s">
        <v>19</v>
      </c>
      <c r="C47" s="484"/>
      <c r="D47" s="484"/>
      <c r="E47" s="484"/>
      <c r="F47" s="154"/>
      <c r="G47" s="178"/>
      <c r="H47" s="147"/>
      <c r="I47" s="148"/>
      <c r="J47" s="149"/>
      <c r="K47" s="150"/>
      <c r="L47" s="151"/>
      <c r="M47" s="151"/>
      <c r="N47" s="152"/>
      <c r="O47" s="153"/>
      <c r="P47" s="394"/>
    </row>
    <row r="48" spans="1:16" s="108" customFormat="1" x14ac:dyDescent="0.25">
      <c r="A48" s="145"/>
      <c r="B48" s="155"/>
      <c r="C48" s="481"/>
      <c r="D48" s="491"/>
      <c r="E48" s="491"/>
      <c r="F48" s="154"/>
      <c r="G48" s="154"/>
      <c r="H48" s="147"/>
      <c r="I48" s="148"/>
      <c r="J48" s="149"/>
      <c r="K48" s="150"/>
      <c r="L48" s="151"/>
      <c r="M48" s="151"/>
      <c r="N48" s="152"/>
      <c r="O48" s="153"/>
      <c r="P48" s="394"/>
    </row>
    <row r="49" spans="1:16" s="144" customFormat="1" ht="42" customHeight="1" x14ac:dyDescent="0.25">
      <c r="A49" s="156">
        <v>1</v>
      </c>
      <c r="B49" s="482" t="s">
        <v>67</v>
      </c>
      <c r="C49" s="482"/>
      <c r="D49" s="482"/>
      <c r="E49" s="482"/>
      <c r="F49" s="189">
        <v>1</v>
      </c>
      <c r="G49" s="158" t="s">
        <v>2</v>
      </c>
      <c r="H49" s="159">
        <v>2800</v>
      </c>
      <c r="I49" s="160">
        <f t="shared" ref="I49:I66" si="10">H49*F49</f>
        <v>2800</v>
      </c>
      <c r="J49" s="161"/>
      <c r="K49" s="162">
        <f t="shared" ref="K49:K66" si="11">L49-J49</f>
        <v>0</v>
      </c>
      <c r="L49" s="163"/>
      <c r="M49" s="163">
        <f t="shared" ref="M49:M66" si="12">+J49*H49</f>
        <v>0</v>
      </c>
      <c r="N49" s="164">
        <f t="shared" ref="N49:N66" si="13">O49-M49</f>
        <v>0</v>
      </c>
      <c r="O49" s="165">
        <f t="shared" ref="O49:O84" si="14">IF(H49*L49&gt;I49,I49,H49*L49)</f>
        <v>0</v>
      </c>
      <c r="P49" s="395"/>
    </row>
    <row r="50" spans="1:16" s="144" customFormat="1" ht="42" customHeight="1" x14ac:dyDescent="0.25">
      <c r="A50" s="156">
        <v>2</v>
      </c>
      <c r="B50" s="482" t="s">
        <v>68</v>
      </c>
      <c r="C50" s="482"/>
      <c r="D50" s="482"/>
      <c r="E50" s="482"/>
      <c r="F50" s="189">
        <v>1</v>
      </c>
      <c r="G50" s="158" t="s">
        <v>2</v>
      </c>
      <c r="H50" s="159">
        <v>4900</v>
      </c>
      <c r="I50" s="160">
        <f t="shared" si="10"/>
        <v>4900</v>
      </c>
      <c r="J50" s="161">
        <v>1</v>
      </c>
      <c r="K50" s="162">
        <f t="shared" si="11"/>
        <v>0</v>
      </c>
      <c r="L50" s="163">
        <v>1</v>
      </c>
      <c r="M50" s="163">
        <f t="shared" si="12"/>
        <v>4900</v>
      </c>
      <c r="N50" s="164">
        <f t="shared" si="13"/>
        <v>0</v>
      </c>
      <c r="O50" s="165">
        <f t="shared" si="14"/>
        <v>4900</v>
      </c>
      <c r="P50" s="395"/>
    </row>
    <row r="51" spans="1:16" s="144" customFormat="1" ht="42" customHeight="1" x14ac:dyDescent="0.25">
      <c r="A51" s="156">
        <v>3</v>
      </c>
      <c r="B51" s="482" t="s">
        <v>69</v>
      </c>
      <c r="C51" s="482"/>
      <c r="D51" s="482"/>
      <c r="E51" s="482"/>
      <c r="F51" s="158">
        <v>2</v>
      </c>
      <c r="G51" s="158" t="s">
        <v>1</v>
      </c>
      <c r="H51" s="159">
        <v>1680</v>
      </c>
      <c r="I51" s="160">
        <f t="shared" si="10"/>
        <v>3360</v>
      </c>
      <c r="J51" s="161">
        <v>1</v>
      </c>
      <c r="K51" s="162">
        <f t="shared" si="11"/>
        <v>0</v>
      </c>
      <c r="L51" s="163">
        <v>1</v>
      </c>
      <c r="M51" s="163">
        <f t="shared" si="12"/>
        <v>1680</v>
      </c>
      <c r="N51" s="164">
        <f t="shared" si="13"/>
        <v>0</v>
      </c>
      <c r="O51" s="165">
        <f t="shared" si="14"/>
        <v>1680</v>
      </c>
      <c r="P51" s="395"/>
    </row>
    <row r="52" spans="1:16" s="144" customFormat="1" ht="42" customHeight="1" x14ac:dyDescent="0.25">
      <c r="A52" s="156">
        <v>4</v>
      </c>
      <c r="B52" s="482" t="s">
        <v>70</v>
      </c>
      <c r="C52" s="482"/>
      <c r="D52" s="482"/>
      <c r="E52" s="482"/>
      <c r="F52" s="158">
        <v>5</v>
      </c>
      <c r="G52" s="158" t="s">
        <v>12</v>
      </c>
      <c r="H52" s="159">
        <v>1240</v>
      </c>
      <c r="I52" s="160">
        <f t="shared" si="10"/>
        <v>6200</v>
      </c>
      <c r="J52" s="161">
        <v>5</v>
      </c>
      <c r="K52" s="162">
        <f t="shared" si="11"/>
        <v>0</v>
      </c>
      <c r="L52" s="163">
        <v>5</v>
      </c>
      <c r="M52" s="163">
        <f t="shared" si="12"/>
        <v>6200</v>
      </c>
      <c r="N52" s="164">
        <f t="shared" si="13"/>
        <v>0</v>
      </c>
      <c r="O52" s="165">
        <f t="shared" si="14"/>
        <v>6200</v>
      </c>
      <c r="P52" s="395"/>
    </row>
    <row r="53" spans="1:16" s="144" customFormat="1" ht="42" customHeight="1" x14ac:dyDescent="0.25">
      <c r="A53" s="156">
        <v>5</v>
      </c>
      <c r="B53" s="482" t="s">
        <v>71</v>
      </c>
      <c r="C53" s="482"/>
      <c r="D53" s="482"/>
      <c r="E53" s="482"/>
      <c r="F53" s="158">
        <v>1</v>
      </c>
      <c r="G53" s="158" t="s">
        <v>2</v>
      </c>
      <c r="H53" s="159">
        <v>4650</v>
      </c>
      <c r="I53" s="160">
        <f t="shared" si="10"/>
        <v>4650</v>
      </c>
      <c r="J53" s="161">
        <v>1</v>
      </c>
      <c r="K53" s="162">
        <f t="shared" si="11"/>
        <v>0</v>
      </c>
      <c r="L53" s="163">
        <v>1</v>
      </c>
      <c r="M53" s="163">
        <f t="shared" si="12"/>
        <v>4650</v>
      </c>
      <c r="N53" s="164">
        <f t="shared" si="13"/>
        <v>0</v>
      </c>
      <c r="O53" s="165">
        <f t="shared" si="14"/>
        <v>4650</v>
      </c>
      <c r="P53" s="395"/>
    </row>
    <row r="54" spans="1:16" s="144" customFormat="1" ht="42" customHeight="1" x14ac:dyDescent="0.25">
      <c r="A54" s="156">
        <v>6</v>
      </c>
      <c r="B54" s="482" t="s">
        <v>72</v>
      </c>
      <c r="C54" s="482"/>
      <c r="D54" s="482"/>
      <c r="E54" s="482"/>
      <c r="F54" s="158">
        <v>50</v>
      </c>
      <c r="G54" s="158" t="s">
        <v>12</v>
      </c>
      <c r="H54" s="159">
        <v>595</v>
      </c>
      <c r="I54" s="160">
        <f t="shared" si="10"/>
        <v>29750</v>
      </c>
      <c r="J54" s="161"/>
      <c r="K54" s="162">
        <f t="shared" si="11"/>
        <v>0</v>
      </c>
      <c r="L54" s="163"/>
      <c r="M54" s="163">
        <f t="shared" si="12"/>
        <v>0</v>
      </c>
      <c r="N54" s="164">
        <f t="shared" si="13"/>
        <v>0</v>
      </c>
      <c r="O54" s="165">
        <f t="shared" si="14"/>
        <v>0</v>
      </c>
      <c r="P54" s="395"/>
    </row>
    <row r="55" spans="1:16" s="144" customFormat="1" ht="42" customHeight="1" x14ac:dyDescent="0.25">
      <c r="A55" s="156">
        <v>7</v>
      </c>
      <c r="B55" s="482" t="s">
        <v>73</v>
      </c>
      <c r="C55" s="482"/>
      <c r="D55" s="482"/>
      <c r="E55" s="482"/>
      <c r="F55" s="158">
        <v>15</v>
      </c>
      <c r="G55" s="158" t="s">
        <v>12</v>
      </c>
      <c r="H55" s="159">
        <v>920</v>
      </c>
      <c r="I55" s="160">
        <f t="shared" si="10"/>
        <v>13800</v>
      </c>
      <c r="J55" s="161">
        <v>15</v>
      </c>
      <c r="K55" s="162">
        <f t="shared" si="11"/>
        <v>0</v>
      </c>
      <c r="L55" s="163">
        <v>15</v>
      </c>
      <c r="M55" s="163">
        <f t="shared" si="12"/>
        <v>13800</v>
      </c>
      <c r="N55" s="164">
        <f t="shared" si="13"/>
        <v>0</v>
      </c>
      <c r="O55" s="165">
        <f t="shared" si="14"/>
        <v>13800</v>
      </c>
      <c r="P55" s="395"/>
    </row>
    <row r="56" spans="1:16" s="144" customFormat="1" ht="42" customHeight="1" x14ac:dyDescent="0.25">
      <c r="A56" s="156">
        <v>8</v>
      </c>
      <c r="B56" s="482" t="s">
        <v>74</v>
      </c>
      <c r="C56" s="482"/>
      <c r="D56" s="482"/>
      <c r="E56" s="482"/>
      <c r="F56" s="158">
        <v>1.1000000000000001</v>
      </c>
      <c r="G56" s="158" t="s">
        <v>20</v>
      </c>
      <c r="H56" s="159">
        <v>1400</v>
      </c>
      <c r="I56" s="160">
        <f t="shared" si="10"/>
        <v>1540.0000000000002</v>
      </c>
      <c r="J56" s="161"/>
      <c r="K56" s="162">
        <f t="shared" si="11"/>
        <v>0</v>
      </c>
      <c r="L56" s="163"/>
      <c r="M56" s="163">
        <f t="shared" si="12"/>
        <v>0</v>
      </c>
      <c r="N56" s="164">
        <f t="shared" si="13"/>
        <v>0</v>
      </c>
      <c r="O56" s="165">
        <f t="shared" si="14"/>
        <v>0</v>
      </c>
      <c r="P56" s="395"/>
    </row>
    <row r="57" spans="1:16" s="144" customFormat="1" ht="42" customHeight="1" x14ac:dyDescent="0.25">
      <c r="A57" s="156">
        <v>9</v>
      </c>
      <c r="B57" s="482" t="s">
        <v>75</v>
      </c>
      <c r="C57" s="482"/>
      <c r="D57" s="482"/>
      <c r="E57" s="482"/>
      <c r="F57" s="158">
        <v>71.34</v>
      </c>
      <c r="G57" s="158" t="s">
        <v>20</v>
      </c>
      <c r="H57" s="159">
        <v>595</v>
      </c>
      <c r="I57" s="160">
        <f t="shared" si="10"/>
        <v>42447.3</v>
      </c>
      <c r="J57" s="161">
        <v>34.956600000000002</v>
      </c>
      <c r="K57" s="162">
        <f t="shared" si="11"/>
        <v>0</v>
      </c>
      <c r="L57" s="163">
        <f>71.34*0.7*0.7</f>
        <v>34.956600000000002</v>
      </c>
      <c r="M57" s="163">
        <f t="shared" si="12"/>
        <v>20799.177</v>
      </c>
      <c r="N57" s="164">
        <f t="shared" si="13"/>
        <v>0</v>
      </c>
      <c r="O57" s="165">
        <f t="shared" si="14"/>
        <v>20799.177</v>
      </c>
      <c r="P57" s="395"/>
    </row>
    <row r="58" spans="1:16" s="144" customFormat="1" ht="42" customHeight="1" x14ac:dyDescent="0.25">
      <c r="A58" s="156">
        <v>10</v>
      </c>
      <c r="B58" s="482" t="s">
        <v>21</v>
      </c>
      <c r="C58" s="482"/>
      <c r="D58" s="482"/>
      <c r="E58" s="482"/>
      <c r="F58" s="158">
        <v>87.94</v>
      </c>
      <c r="G58" s="158" t="s">
        <v>12</v>
      </c>
      <c r="H58" s="159">
        <v>800</v>
      </c>
      <c r="I58" s="160">
        <f t="shared" si="10"/>
        <v>70352</v>
      </c>
      <c r="J58" s="161"/>
      <c r="K58" s="162">
        <f t="shared" si="11"/>
        <v>0</v>
      </c>
      <c r="L58" s="163"/>
      <c r="M58" s="163">
        <f t="shared" si="12"/>
        <v>0</v>
      </c>
      <c r="N58" s="164">
        <f t="shared" si="13"/>
        <v>0</v>
      </c>
      <c r="O58" s="165">
        <f t="shared" si="14"/>
        <v>0</v>
      </c>
      <c r="P58" s="395"/>
    </row>
    <row r="59" spans="1:16" s="144" customFormat="1" ht="35.25" customHeight="1" x14ac:dyDescent="0.25">
      <c r="A59" s="156">
        <v>11</v>
      </c>
      <c r="B59" s="482" t="s">
        <v>76</v>
      </c>
      <c r="C59" s="482"/>
      <c r="D59" s="482"/>
      <c r="E59" s="482"/>
      <c r="F59" s="158">
        <v>15</v>
      </c>
      <c r="G59" s="158" t="s">
        <v>12</v>
      </c>
      <c r="H59" s="159">
        <v>550</v>
      </c>
      <c r="I59" s="160">
        <f t="shared" si="10"/>
        <v>8250</v>
      </c>
      <c r="J59" s="161">
        <v>15</v>
      </c>
      <c r="K59" s="162">
        <f t="shared" si="11"/>
        <v>0</v>
      </c>
      <c r="L59" s="163">
        <v>15</v>
      </c>
      <c r="M59" s="163">
        <f t="shared" si="12"/>
        <v>8250</v>
      </c>
      <c r="N59" s="164">
        <f t="shared" si="13"/>
        <v>0</v>
      </c>
      <c r="O59" s="165">
        <f t="shared" si="14"/>
        <v>8250</v>
      </c>
      <c r="P59" s="395"/>
    </row>
    <row r="60" spans="1:16" s="144" customFormat="1" ht="42" customHeight="1" x14ac:dyDescent="0.25">
      <c r="A60" s="156">
        <v>12</v>
      </c>
      <c r="B60" s="482" t="s">
        <v>77</v>
      </c>
      <c r="C60" s="482"/>
      <c r="D60" s="482"/>
      <c r="E60" s="482"/>
      <c r="F60" s="158">
        <v>25.62</v>
      </c>
      <c r="G60" s="158" t="s">
        <v>12</v>
      </c>
      <c r="H60" s="159">
        <v>645</v>
      </c>
      <c r="I60" s="160">
        <f t="shared" si="10"/>
        <v>16524.900000000001</v>
      </c>
      <c r="J60" s="161"/>
      <c r="K60" s="162">
        <f t="shared" si="11"/>
        <v>0</v>
      </c>
      <c r="L60" s="163"/>
      <c r="M60" s="163">
        <f t="shared" si="12"/>
        <v>0</v>
      </c>
      <c r="N60" s="164">
        <f t="shared" si="13"/>
        <v>0</v>
      </c>
      <c r="O60" s="165">
        <f t="shared" si="14"/>
        <v>0</v>
      </c>
      <c r="P60" s="395"/>
    </row>
    <row r="61" spans="1:16" s="144" customFormat="1" ht="42" customHeight="1" x14ac:dyDescent="0.25">
      <c r="A61" s="156">
        <v>13</v>
      </c>
      <c r="B61" s="482" t="s">
        <v>78</v>
      </c>
      <c r="C61" s="482"/>
      <c r="D61" s="482"/>
      <c r="E61" s="482"/>
      <c r="F61" s="158">
        <v>1</v>
      </c>
      <c r="G61" s="158" t="s">
        <v>22</v>
      </c>
      <c r="H61" s="159">
        <v>2350</v>
      </c>
      <c r="I61" s="160">
        <f t="shared" si="10"/>
        <v>2350</v>
      </c>
      <c r="J61" s="161"/>
      <c r="K61" s="162">
        <f t="shared" si="11"/>
        <v>0</v>
      </c>
      <c r="L61" s="163"/>
      <c r="M61" s="163">
        <f t="shared" si="12"/>
        <v>0</v>
      </c>
      <c r="N61" s="164">
        <f t="shared" si="13"/>
        <v>0</v>
      </c>
      <c r="O61" s="165">
        <f t="shared" si="14"/>
        <v>0</v>
      </c>
      <c r="P61" s="395"/>
    </row>
    <row r="62" spans="1:16" s="144" customFormat="1" ht="52.5" customHeight="1" x14ac:dyDescent="0.25">
      <c r="A62" s="156">
        <v>14</v>
      </c>
      <c r="B62" s="482" t="s">
        <v>79</v>
      </c>
      <c r="C62" s="482"/>
      <c r="D62" s="482"/>
      <c r="E62" s="482"/>
      <c r="F62" s="158">
        <v>1</v>
      </c>
      <c r="G62" s="158" t="s">
        <v>2</v>
      </c>
      <c r="H62" s="159">
        <v>3650</v>
      </c>
      <c r="I62" s="160">
        <f t="shared" si="10"/>
        <v>3650</v>
      </c>
      <c r="J62" s="161">
        <v>1</v>
      </c>
      <c r="K62" s="162">
        <f t="shared" si="11"/>
        <v>0</v>
      </c>
      <c r="L62" s="163">
        <v>1</v>
      </c>
      <c r="M62" s="163">
        <f t="shared" si="12"/>
        <v>3650</v>
      </c>
      <c r="N62" s="164">
        <f t="shared" si="13"/>
        <v>0</v>
      </c>
      <c r="O62" s="165">
        <f t="shared" si="14"/>
        <v>3650</v>
      </c>
      <c r="P62" s="395"/>
    </row>
    <row r="63" spans="1:16" s="144" customFormat="1" ht="46.5" customHeight="1" x14ac:dyDescent="0.25">
      <c r="A63" s="156">
        <v>15</v>
      </c>
      <c r="B63" s="482" t="s">
        <v>250</v>
      </c>
      <c r="C63" s="482"/>
      <c r="D63" s="482"/>
      <c r="E63" s="482"/>
      <c r="F63" s="158">
        <v>15</v>
      </c>
      <c r="G63" s="158" t="s">
        <v>12</v>
      </c>
      <c r="H63" s="159">
        <v>920</v>
      </c>
      <c r="I63" s="160">
        <f t="shared" si="10"/>
        <v>13800</v>
      </c>
      <c r="J63" s="161">
        <v>15</v>
      </c>
      <c r="K63" s="162">
        <f t="shared" si="11"/>
        <v>0</v>
      </c>
      <c r="L63" s="163">
        <v>15</v>
      </c>
      <c r="M63" s="163">
        <f t="shared" si="12"/>
        <v>13800</v>
      </c>
      <c r="N63" s="164">
        <f t="shared" si="13"/>
        <v>0</v>
      </c>
      <c r="O63" s="165">
        <f t="shared" si="14"/>
        <v>13800</v>
      </c>
      <c r="P63" s="395"/>
    </row>
    <row r="64" spans="1:16" s="144" customFormat="1" ht="36" customHeight="1" x14ac:dyDescent="0.25">
      <c r="A64" s="156">
        <v>16</v>
      </c>
      <c r="B64" s="477" t="s">
        <v>38</v>
      </c>
      <c r="C64" s="478"/>
      <c r="D64" s="478"/>
      <c r="E64" s="479"/>
      <c r="F64" s="158">
        <v>50</v>
      </c>
      <c r="G64" s="158" t="s">
        <v>20</v>
      </c>
      <c r="H64" s="159">
        <v>595</v>
      </c>
      <c r="I64" s="160">
        <f t="shared" si="10"/>
        <v>29750</v>
      </c>
      <c r="J64" s="161"/>
      <c r="K64" s="162">
        <f t="shared" si="11"/>
        <v>0</v>
      </c>
      <c r="L64" s="163"/>
      <c r="M64" s="163">
        <f t="shared" si="12"/>
        <v>0</v>
      </c>
      <c r="N64" s="164">
        <f t="shared" si="13"/>
        <v>0</v>
      </c>
      <c r="O64" s="165">
        <f t="shared" si="14"/>
        <v>0</v>
      </c>
      <c r="P64" s="395"/>
    </row>
    <row r="65" spans="1:16" s="144" customFormat="1" ht="42" customHeight="1" x14ac:dyDescent="0.25">
      <c r="A65" s="156">
        <v>17</v>
      </c>
      <c r="B65" s="482" t="s">
        <v>251</v>
      </c>
      <c r="C65" s="482"/>
      <c r="D65" s="482"/>
      <c r="E65" s="482"/>
      <c r="F65" s="158">
        <v>15</v>
      </c>
      <c r="G65" s="158" t="s">
        <v>20</v>
      </c>
      <c r="H65" s="159">
        <v>920</v>
      </c>
      <c r="I65" s="160">
        <f t="shared" si="10"/>
        <v>13800</v>
      </c>
      <c r="J65" s="161">
        <v>10.5</v>
      </c>
      <c r="K65" s="162">
        <f t="shared" si="11"/>
        <v>0</v>
      </c>
      <c r="L65" s="163">
        <v>10.5</v>
      </c>
      <c r="M65" s="163">
        <f t="shared" si="12"/>
        <v>9660</v>
      </c>
      <c r="N65" s="164">
        <f t="shared" si="13"/>
        <v>0</v>
      </c>
      <c r="O65" s="165">
        <f t="shared" si="14"/>
        <v>9660</v>
      </c>
      <c r="P65" s="395"/>
    </row>
    <row r="66" spans="1:16" s="144" customFormat="1" ht="36" customHeight="1" x14ac:dyDescent="0.25">
      <c r="A66" s="156">
        <v>18</v>
      </c>
      <c r="B66" s="482" t="s">
        <v>39</v>
      </c>
      <c r="C66" s="482"/>
      <c r="D66" s="482"/>
      <c r="E66" s="482"/>
      <c r="F66" s="158">
        <v>15</v>
      </c>
      <c r="G66" s="158" t="s">
        <v>12</v>
      </c>
      <c r="H66" s="159">
        <v>550</v>
      </c>
      <c r="I66" s="160">
        <f t="shared" si="10"/>
        <v>8250</v>
      </c>
      <c r="J66" s="161"/>
      <c r="K66" s="162">
        <f t="shared" si="11"/>
        <v>0</v>
      </c>
      <c r="L66" s="163"/>
      <c r="M66" s="163">
        <f t="shared" si="12"/>
        <v>0</v>
      </c>
      <c r="N66" s="164">
        <f t="shared" si="13"/>
        <v>0</v>
      </c>
      <c r="O66" s="165">
        <f t="shared" si="14"/>
        <v>0</v>
      </c>
      <c r="P66" s="395"/>
    </row>
    <row r="67" spans="1:16" s="144" customFormat="1" ht="42" customHeight="1" x14ac:dyDescent="0.25">
      <c r="A67" s="156">
        <v>19</v>
      </c>
      <c r="B67" s="482" t="s">
        <v>40</v>
      </c>
      <c r="C67" s="482"/>
      <c r="D67" s="482"/>
      <c r="E67" s="482"/>
      <c r="F67" s="158">
        <v>129.91999999999999</v>
      </c>
      <c r="G67" s="158" t="s">
        <v>12</v>
      </c>
      <c r="H67" s="159" t="s">
        <v>24</v>
      </c>
      <c r="I67" s="160" t="s">
        <v>23</v>
      </c>
      <c r="J67" s="161"/>
      <c r="K67" s="162"/>
      <c r="L67" s="163"/>
      <c r="M67" s="163"/>
      <c r="N67" s="164"/>
      <c r="O67" s="165"/>
      <c r="P67" s="395"/>
    </row>
    <row r="68" spans="1:16" s="144" customFormat="1" ht="45.75" customHeight="1" x14ac:dyDescent="0.25">
      <c r="A68" s="156">
        <v>20</v>
      </c>
      <c r="B68" s="482" t="s">
        <v>252</v>
      </c>
      <c r="C68" s="482"/>
      <c r="D68" s="482"/>
      <c r="E68" s="482"/>
      <c r="F68" s="158">
        <v>15</v>
      </c>
      <c r="G68" s="158" t="s">
        <v>20</v>
      </c>
      <c r="H68" s="159">
        <v>920</v>
      </c>
      <c r="I68" s="160">
        <f t="shared" ref="I68:I74" si="15">H68*F68</f>
        <v>13800</v>
      </c>
      <c r="J68" s="161">
        <v>15</v>
      </c>
      <c r="K68" s="162">
        <f t="shared" ref="K68:K76" si="16">L68-J68</f>
        <v>0</v>
      </c>
      <c r="L68" s="163">
        <v>15</v>
      </c>
      <c r="M68" s="163">
        <f t="shared" ref="M68:M76" si="17">+J68*H68</f>
        <v>13800</v>
      </c>
      <c r="N68" s="164">
        <f t="shared" ref="N68:N76" si="18">O68-M68</f>
        <v>0</v>
      </c>
      <c r="O68" s="165">
        <f t="shared" si="14"/>
        <v>13800</v>
      </c>
      <c r="P68" s="395"/>
    </row>
    <row r="69" spans="1:16" s="144" customFormat="1" ht="35.25" customHeight="1" x14ac:dyDescent="0.25">
      <c r="A69" s="156">
        <v>21</v>
      </c>
      <c r="B69" s="482" t="s">
        <v>41</v>
      </c>
      <c r="C69" s="482"/>
      <c r="D69" s="482"/>
      <c r="E69" s="482"/>
      <c r="F69" s="158">
        <v>50</v>
      </c>
      <c r="G69" s="158" t="s">
        <v>12</v>
      </c>
      <c r="H69" s="159">
        <v>595</v>
      </c>
      <c r="I69" s="160">
        <f t="shared" si="15"/>
        <v>29750</v>
      </c>
      <c r="J69" s="161"/>
      <c r="K69" s="162">
        <f t="shared" si="16"/>
        <v>0</v>
      </c>
      <c r="L69" s="163"/>
      <c r="M69" s="163">
        <f t="shared" si="17"/>
        <v>0</v>
      </c>
      <c r="N69" s="164">
        <f t="shared" si="18"/>
        <v>0</v>
      </c>
      <c r="O69" s="165">
        <f t="shared" si="14"/>
        <v>0</v>
      </c>
      <c r="P69" s="395"/>
    </row>
    <row r="70" spans="1:16" s="144" customFormat="1" ht="30.75" customHeight="1" x14ac:dyDescent="0.25">
      <c r="A70" s="156">
        <v>22</v>
      </c>
      <c r="B70" s="482" t="s">
        <v>42</v>
      </c>
      <c r="C70" s="482"/>
      <c r="D70" s="482"/>
      <c r="E70" s="482"/>
      <c r="F70" s="158">
        <v>15</v>
      </c>
      <c r="G70" s="158" t="s">
        <v>12</v>
      </c>
      <c r="H70" s="159">
        <v>920</v>
      </c>
      <c r="I70" s="160">
        <f t="shared" si="15"/>
        <v>13800</v>
      </c>
      <c r="J70" s="161"/>
      <c r="K70" s="162">
        <f t="shared" si="16"/>
        <v>0</v>
      </c>
      <c r="L70" s="163"/>
      <c r="M70" s="163">
        <f t="shared" si="17"/>
        <v>0</v>
      </c>
      <c r="N70" s="164">
        <f t="shared" si="18"/>
        <v>0</v>
      </c>
      <c r="O70" s="165">
        <f t="shared" si="14"/>
        <v>0</v>
      </c>
      <c r="P70" s="395"/>
    </row>
    <row r="71" spans="1:16" s="144" customFormat="1" ht="33.75" customHeight="1" x14ac:dyDescent="0.25">
      <c r="A71" s="156">
        <v>23</v>
      </c>
      <c r="B71" s="489" t="s">
        <v>43</v>
      </c>
      <c r="C71" s="489"/>
      <c r="D71" s="489"/>
      <c r="E71" s="489"/>
      <c r="F71" s="158">
        <v>15</v>
      </c>
      <c r="G71" s="158" t="s">
        <v>12</v>
      </c>
      <c r="H71" s="159">
        <v>920</v>
      </c>
      <c r="I71" s="160">
        <f t="shared" si="15"/>
        <v>13800</v>
      </c>
      <c r="J71" s="161"/>
      <c r="K71" s="162">
        <f t="shared" si="16"/>
        <v>0</v>
      </c>
      <c r="L71" s="163"/>
      <c r="M71" s="163">
        <f t="shared" si="17"/>
        <v>0</v>
      </c>
      <c r="N71" s="164">
        <f t="shared" si="18"/>
        <v>0</v>
      </c>
      <c r="O71" s="165">
        <f t="shared" si="14"/>
        <v>0</v>
      </c>
      <c r="P71" s="395"/>
    </row>
    <row r="72" spans="1:16" s="144" customFormat="1" ht="33" customHeight="1" x14ac:dyDescent="0.25">
      <c r="A72" s="156">
        <v>24</v>
      </c>
      <c r="B72" s="482" t="s">
        <v>44</v>
      </c>
      <c r="C72" s="482"/>
      <c r="D72" s="482"/>
      <c r="E72" s="482"/>
      <c r="F72" s="158">
        <v>15</v>
      </c>
      <c r="G72" s="158" t="s">
        <v>12</v>
      </c>
      <c r="H72" s="159">
        <v>550</v>
      </c>
      <c r="I72" s="160">
        <f t="shared" si="15"/>
        <v>8250</v>
      </c>
      <c r="J72" s="161"/>
      <c r="K72" s="162">
        <f t="shared" si="16"/>
        <v>0</v>
      </c>
      <c r="L72" s="163"/>
      <c r="M72" s="163">
        <f t="shared" si="17"/>
        <v>0</v>
      </c>
      <c r="N72" s="164">
        <f t="shared" si="18"/>
        <v>0</v>
      </c>
      <c r="O72" s="165">
        <f t="shared" si="14"/>
        <v>0</v>
      </c>
      <c r="P72" s="395"/>
    </row>
    <row r="73" spans="1:16" s="144" customFormat="1" ht="32.25" customHeight="1" x14ac:dyDescent="0.25">
      <c r="A73" s="156">
        <v>25</v>
      </c>
      <c r="B73" s="482" t="s">
        <v>45</v>
      </c>
      <c r="C73" s="482"/>
      <c r="D73" s="482"/>
      <c r="E73" s="482"/>
      <c r="F73" s="158">
        <v>15</v>
      </c>
      <c r="G73" s="158" t="s">
        <v>12</v>
      </c>
      <c r="H73" s="159">
        <v>920</v>
      </c>
      <c r="I73" s="160">
        <f t="shared" si="15"/>
        <v>13800</v>
      </c>
      <c r="J73" s="161"/>
      <c r="K73" s="162">
        <f t="shared" si="16"/>
        <v>0</v>
      </c>
      <c r="L73" s="163"/>
      <c r="M73" s="163">
        <f t="shared" si="17"/>
        <v>0</v>
      </c>
      <c r="N73" s="164">
        <f t="shared" si="18"/>
        <v>0</v>
      </c>
      <c r="O73" s="165">
        <f t="shared" si="14"/>
        <v>0</v>
      </c>
      <c r="P73" s="395"/>
    </row>
    <row r="74" spans="1:16" s="144" customFormat="1" ht="33.75" customHeight="1" x14ac:dyDescent="0.25">
      <c r="A74" s="190">
        <v>26</v>
      </c>
      <c r="B74" s="490" t="s">
        <v>46</v>
      </c>
      <c r="C74" s="490"/>
      <c r="D74" s="490"/>
      <c r="E74" s="490"/>
      <c r="F74" s="191">
        <v>15</v>
      </c>
      <c r="G74" s="191" t="s">
        <v>12</v>
      </c>
      <c r="H74" s="192">
        <v>2500</v>
      </c>
      <c r="I74" s="193">
        <f t="shared" si="15"/>
        <v>37500</v>
      </c>
      <c r="J74" s="194"/>
      <c r="K74" s="195">
        <f t="shared" si="16"/>
        <v>0</v>
      </c>
      <c r="L74" s="196"/>
      <c r="M74" s="196">
        <f t="shared" si="17"/>
        <v>0</v>
      </c>
      <c r="N74" s="197">
        <f t="shared" si="18"/>
        <v>0</v>
      </c>
      <c r="O74" s="165">
        <f t="shared" si="14"/>
        <v>0</v>
      </c>
      <c r="P74" s="395"/>
    </row>
    <row r="75" spans="1:16" s="144" customFormat="1" ht="25.5" customHeight="1" x14ac:dyDescent="0.25">
      <c r="A75" s="156"/>
      <c r="B75" s="483" t="s">
        <v>25</v>
      </c>
      <c r="C75" s="483"/>
      <c r="D75" s="483"/>
      <c r="E75" s="483"/>
      <c r="F75" s="158"/>
      <c r="G75" s="158"/>
      <c r="H75" s="159"/>
      <c r="I75" s="160"/>
      <c r="J75" s="161"/>
      <c r="K75" s="162"/>
      <c r="L75" s="163"/>
      <c r="M75" s="163"/>
      <c r="N75" s="164"/>
      <c r="O75" s="165">
        <f t="shared" si="14"/>
        <v>0</v>
      </c>
      <c r="P75" s="395"/>
    </row>
    <row r="76" spans="1:16" s="144" customFormat="1" ht="73.5" customHeight="1" x14ac:dyDescent="0.25">
      <c r="A76" s="156" t="s">
        <v>47</v>
      </c>
      <c r="B76" s="488" t="s">
        <v>33</v>
      </c>
      <c r="C76" s="488"/>
      <c r="D76" s="488"/>
      <c r="E76" s="488"/>
      <c r="F76" s="158">
        <v>280</v>
      </c>
      <c r="G76" s="158" t="s">
        <v>5</v>
      </c>
      <c r="H76" s="159">
        <v>825</v>
      </c>
      <c r="I76" s="160">
        <f>H76*F76</f>
        <v>231000</v>
      </c>
      <c r="J76" s="161">
        <v>21.818181818181817</v>
      </c>
      <c r="K76" s="162">
        <f t="shared" si="16"/>
        <v>0</v>
      </c>
      <c r="L76" s="163">
        <v>21.818181818181817</v>
      </c>
      <c r="M76" s="163">
        <f t="shared" si="17"/>
        <v>18000</v>
      </c>
      <c r="N76" s="164">
        <f t="shared" si="18"/>
        <v>0</v>
      </c>
      <c r="O76" s="165">
        <f t="shared" si="14"/>
        <v>18000</v>
      </c>
      <c r="P76" s="395"/>
    </row>
    <row r="77" spans="1:16" s="144" customFormat="1" ht="24.75" customHeight="1" x14ac:dyDescent="0.25">
      <c r="A77" s="198">
        <v>1</v>
      </c>
      <c r="B77" s="482" t="s">
        <v>26</v>
      </c>
      <c r="C77" s="482"/>
      <c r="D77" s="482"/>
      <c r="E77" s="482"/>
      <c r="F77" s="158">
        <v>1</v>
      </c>
      <c r="G77" s="158" t="s">
        <v>27</v>
      </c>
      <c r="H77" s="159">
        <v>18000</v>
      </c>
      <c r="I77" s="160" t="s">
        <v>28</v>
      </c>
      <c r="J77" s="161"/>
      <c r="K77" s="162">
        <f t="shared" ref="K77" si="19">L77-J77</f>
        <v>0</v>
      </c>
      <c r="L77" s="163"/>
      <c r="M77" s="163">
        <f t="shared" ref="M77" si="20">+J77*H77</f>
        <v>0</v>
      </c>
      <c r="N77" s="164">
        <f t="shared" ref="N77" si="21">O77-M77</f>
        <v>0</v>
      </c>
      <c r="O77" s="165">
        <f t="shared" si="14"/>
        <v>0</v>
      </c>
      <c r="P77" s="395"/>
    </row>
    <row r="78" spans="1:16" s="108" customFormat="1" x14ac:dyDescent="0.25">
      <c r="A78" s="145"/>
      <c r="B78" s="199"/>
      <c r="C78" s="200"/>
      <c r="D78" s="200"/>
      <c r="E78" s="201"/>
      <c r="F78" s="146"/>
      <c r="G78" s="154"/>
      <c r="H78" s="147"/>
      <c r="I78" s="148"/>
      <c r="J78" s="149"/>
      <c r="K78" s="150"/>
      <c r="L78" s="151"/>
      <c r="M78" s="151"/>
      <c r="N78" s="152"/>
      <c r="O78" s="165">
        <f t="shared" si="14"/>
        <v>0</v>
      </c>
      <c r="P78" s="394"/>
    </row>
    <row r="79" spans="1:16" x14ac:dyDescent="0.2">
      <c r="A79" s="145" t="s">
        <v>93</v>
      </c>
      <c r="B79" s="485" t="s">
        <v>80</v>
      </c>
      <c r="C79" s="486"/>
      <c r="D79" s="486"/>
      <c r="E79" s="487"/>
      <c r="F79" s="146"/>
      <c r="G79" s="154"/>
      <c r="H79" s="147"/>
      <c r="I79" s="148"/>
      <c r="J79" s="149"/>
      <c r="K79" s="150"/>
      <c r="L79" s="151"/>
      <c r="M79" s="151"/>
      <c r="N79" s="152"/>
      <c r="O79" s="165">
        <f t="shared" si="14"/>
        <v>0</v>
      </c>
      <c r="P79" s="393"/>
    </row>
    <row r="80" spans="1:16" s="108" customFormat="1" x14ac:dyDescent="0.25">
      <c r="A80" s="145"/>
      <c r="B80" s="155"/>
      <c r="C80" s="480"/>
      <c r="D80" s="480"/>
      <c r="E80" s="481"/>
      <c r="F80" s="146"/>
      <c r="G80" s="154"/>
      <c r="H80" s="147"/>
      <c r="I80" s="148"/>
      <c r="J80" s="149"/>
      <c r="K80" s="150"/>
      <c r="L80" s="151"/>
      <c r="M80" s="151"/>
      <c r="N80" s="152"/>
      <c r="O80" s="165">
        <f t="shared" si="14"/>
        <v>0</v>
      </c>
      <c r="P80" s="394"/>
    </row>
    <row r="81" spans="1:16" s="144" customFormat="1" ht="29.25" customHeight="1" x14ac:dyDescent="0.25">
      <c r="A81" s="198">
        <v>1</v>
      </c>
      <c r="B81" s="477" t="s">
        <v>81</v>
      </c>
      <c r="C81" s="478"/>
      <c r="D81" s="478"/>
      <c r="E81" s="479"/>
      <c r="F81" s="157">
        <v>1</v>
      </c>
      <c r="G81" s="158" t="s">
        <v>82</v>
      </c>
      <c r="H81" s="159">
        <v>1650000</v>
      </c>
      <c r="I81" s="160">
        <f>H81*F81</f>
        <v>1650000</v>
      </c>
      <c r="J81" s="161">
        <v>0.9</v>
      </c>
      <c r="K81" s="162">
        <f>L81-J81</f>
        <v>0</v>
      </c>
      <c r="L81" s="392">
        <v>0.9</v>
      </c>
      <c r="M81" s="163">
        <f>+J81*H81</f>
        <v>1485000</v>
      </c>
      <c r="N81" s="164">
        <f>O81-M81</f>
        <v>0</v>
      </c>
      <c r="O81" s="165">
        <f t="shared" si="14"/>
        <v>1485000</v>
      </c>
      <c r="P81" s="396"/>
    </row>
    <row r="82" spans="1:16" s="144" customFormat="1" ht="24.75" customHeight="1" x14ac:dyDescent="0.25">
      <c r="A82" s="198">
        <v>2</v>
      </c>
      <c r="B82" s="477" t="s">
        <v>83</v>
      </c>
      <c r="C82" s="478"/>
      <c r="D82" s="478"/>
      <c r="E82" s="479"/>
      <c r="F82" s="157">
        <v>1</v>
      </c>
      <c r="G82" s="158" t="s">
        <v>82</v>
      </c>
      <c r="H82" s="159">
        <v>93750</v>
      </c>
      <c r="I82" s="160">
        <f>H82*F82</f>
        <v>93750</v>
      </c>
      <c r="J82" s="161"/>
      <c r="K82" s="162">
        <f t="shared" ref="K82:K84" si="22">L82-J82</f>
        <v>0</v>
      </c>
      <c r="L82" s="163"/>
      <c r="M82" s="163">
        <f t="shared" ref="M82:M84" si="23">+J82*H82</f>
        <v>0</v>
      </c>
      <c r="N82" s="164">
        <f t="shared" ref="N82:N83" si="24">O82-M82</f>
        <v>0</v>
      </c>
      <c r="O82" s="165">
        <f t="shared" si="14"/>
        <v>0</v>
      </c>
      <c r="P82" s="395"/>
    </row>
    <row r="83" spans="1:16" s="144" customFormat="1" ht="29.25" customHeight="1" x14ac:dyDescent="0.25">
      <c r="A83" s="198">
        <v>3</v>
      </c>
      <c r="B83" s="477" t="s">
        <v>84</v>
      </c>
      <c r="C83" s="478"/>
      <c r="D83" s="478"/>
      <c r="E83" s="479"/>
      <c r="F83" s="157">
        <v>1</v>
      </c>
      <c r="G83" s="158" t="s">
        <v>82</v>
      </c>
      <c r="H83" s="159">
        <v>15000</v>
      </c>
      <c r="I83" s="160">
        <f>H83*F83</f>
        <v>15000</v>
      </c>
      <c r="J83" s="161">
        <v>1</v>
      </c>
      <c r="K83" s="162">
        <f>L83-J83</f>
        <v>0</v>
      </c>
      <c r="L83" s="163">
        <v>1</v>
      </c>
      <c r="M83" s="163">
        <f t="shared" si="23"/>
        <v>15000</v>
      </c>
      <c r="N83" s="164">
        <f t="shared" si="24"/>
        <v>0</v>
      </c>
      <c r="O83" s="165">
        <f t="shared" si="14"/>
        <v>15000</v>
      </c>
      <c r="P83" s="395"/>
    </row>
    <row r="84" spans="1:16" s="144" customFormat="1" ht="22.5" customHeight="1" x14ac:dyDescent="0.25">
      <c r="A84" s="198">
        <v>4</v>
      </c>
      <c r="B84" s="477" t="s">
        <v>85</v>
      </c>
      <c r="C84" s="478"/>
      <c r="D84" s="478"/>
      <c r="E84" s="479"/>
      <c r="F84" s="157">
        <v>1</v>
      </c>
      <c r="G84" s="158" t="s">
        <v>82</v>
      </c>
      <c r="H84" s="159">
        <v>29750</v>
      </c>
      <c r="I84" s="160">
        <f>H84*F84</f>
        <v>29750</v>
      </c>
      <c r="J84" s="161"/>
      <c r="K84" s="162">
        <f t="shared" si="22"/>
        <v>0</v>
      </c>
      <c r="L84" s="163"/>
      <c r="M84" s="163">
        <f t="shared" si="23"/>
        <v>0</v>
      </c>
      <c r="N84" s="164">
        <f>O84-M84</f>
        <v>0</v>
      </c>
      <c r="O84" s="165">
        <f t="shared" si="14"/>
        <v>0</v>
      </c>
      <c r="P84" s="395"/>
    </row>
    <row r="85" spans="1:16" ht="12" customHeight="1" x14ac:dyDescent="0.2">
      <c r="A85" s="202"/>
      <c r="B85" s="203"/>
      <c r="C85" s="204"/>
      <c r="D85" s="204"/>
      <c r="E85" s="205"/>
      <c r="F85" s="206"/>
      <c r="G85" s="207"/>
      <c r="H85" s="208"/>
      <c r="I85" s="209">
        <v>-0.4</v>
      </c>
      <c r="J85" s="210"/>
      <c r="K85" s="211"/>
      <c r="L85" s="212"/>
      <c r="M85" s="212"/>
      <c r="N85" s="213"/>
      <c r="O85" s="214"/>
      <c r="P85" s="393"/>
    </row>
    <row r="86" spans="1:16" s="108" customFormat="1" ht="21" customHeight="1" thickBot="1" x14ac:dyDescent="0.3">
      <c r="A86" s="215"/>
      <c r="B86" s="501" t="s">
        <v>86</v>
      </c>
      <c r="C86" s="502"/>
      <c r="D86" s="502"/>
      <c r="E86" s="503"/>
      <c r="F86" s="216"/>
      <c r="G86" s="216"/>
      <c r="H86" s="217"/>
      <c r="I86" s="218">
        <f>SUM(I15:I85)</f>
        <v>3330440</v>
      </c>
      <c r="J86" s="219"/>
      <c r="K86" s="220"/>
      <c r="L86" s="221"/>
      <c r="M86" s="221">
        <f>SUM(M15:M85)</f>
        <v>1731750.577</v>
      </c>
      <c r="N86" s="222">
        <f>SUM(N15:N85)</f>
        <v>-52972</v>
      </c>
      <c r="O86" s="223">
        <f>SUM(O15:O85)</f>
        <v>1678778.577</v>
      </c>
      <c r="P86" s="408"/>
    </row>
    <row r="87" spans="1:16" s="108" customFormat="1" ht="21" customHeight="1" thickTop="1" x14ac:dyDescent="0.25">
      <c r="A87" s="118"/>
      <c r="B87" s="122"/>
      <c r="C87" s="122"/>
      <c r="D87" s="122"/>
      <c r="E87" s="122"/>
      <c r="F87" s="122"/>
      <c r="G87" s="122"/>
      <c r="H87" s="224"/>
      <c r="I87" s="120"/>
      <c r="J87" s="225"/>
      <c r="K87" s="226"/>
      <c r="L87" s="225"/>
      <c r="M87" s="225"/>
      <c r="N87" s="227"/>
      <c r="O87" s="225"/>
    </row>
    <row r="88" spans="1:16" s="108" customFormat="1" ht="21" customHeight="1" x14ac:dyDescent="0.25">
      <c r="A88" s="118"/>
      <c r="B88" s="122"/>
      <c r="C88" s="122"/>
      <c r="D88" s="122"/>
      <c r="E88" s="122"/>
      <c r="F88" s="122"/>
      <c r="G88" s="122"/>
      <c r="H88" s="224"/>
      <c r="I88" s="120"/>
      <c r="J88" s="225"/>
      <c r="K88" s="226"/>
      <c r="L88" s="225"/>
      <c r="M88" s="225"/>
      <c r="N88" s="227"/>
      <c r="O88" s="225"/>
    </row>
    <row r="89" spans="1:16" s="108" customFormat="1" ht="21" customHeight="1" x14ac:dyDescent="0.25">
      <c r="A89" s="118"/>
      <c r="B89" s="122"/>
      <c r="C89" s="122"/>
      <c r="D89" s="122"/>
      <c r="E89" s="122"/>
      <c r="F89" s="122"/>
      <c r="G89" s="122"/>
      <c r="H89" s="224"/>
      <c r="I89" s="120"/>
      <c r="J89" s="225"/>
      <c r="K89" s="226"/>
      <c r="L89" s="225"/>
      <c r="M89" s="225"/>
      <c r="N89" s="227"/>
      <c r="O89" s="225"/>
    </row>
    <row r="90" spans="1:16" s="108" customFormat="1" ht="21" customHeight="1" x14ac:dyDescent="0.25">
      <c r="A90" s="118"/>
      <c r="B90" s="122"/>
      <c r="C90" s="122"/>
      <c r="D90" s="122"/>
      <c r="E90" s="122"/>
      <c r="F90" s="122"/>
      <c r="G90" s="122"/>
      <c r="H90" s="224"/>
      <c r="I90" s="120"/>
      <c r="J90" s="225"/>
      <c r="K90" s="226"/>
      <c r="L90" s="225"/>
      <c r="M90" s="225"/>
      <c r="N90" s="227"/>
      <c r="O90" s="225"/>
    </row>
    <row r="91" spans="1:16" s="108" customFormat="1" ht="21" customHeight="1" x14ac:dyDescent="0.25">
      <c r="A91" s="118"/>
      <c r="B91" s="122"/>
      <c r="C91" s="122"/>
      <c r="D91" s="122"/>
      <c r="E91" s="122"/>
      <c r="F91" s="122"/>
      <c r="G91" s="122"/>
      <c r="H91" s="224"/>
      <c r="I91" s="120"/>
      <c r="J91" s="225"/>
      <c r="K91" s="226"/>
      <c r="L91" s="225"/>
      <c r="M91" s="225"/>
      <c r="N91" s="227"/>
      <c r="O91" s="225"/>
    </row>
    <row r="92" spans="1:16" s="108" customFormat="1" ht="21" customHeight="1" x14ac:dyDescent="0.25">
      <c r="A92" s="118"/>
      <c r="B92" s="122"/>
      <c r="C92" s="122"/>
      <c r="D92" s="122"/>
      <c r="E92" s="122"/>
      <c r="F92" s="122"/>
      <c r="G92" s="122"/>
      <c r="H92" s="224"/>
      <c r="I92" s="120"/>
      <c r="J92" s="225"/>
      <c r="K92" s="226"/>
      <c r="L92" s="225"/>
      <c r="M92" s="225"/>
      <c r="N92" s="227"/>
      <c r="O92" s="225"/>
    </row>
    <row r="93" spans="1:16" s="108" customFormat="1" ht="21" customHeight="1" x14ac:dyDescent="0.25">
      <c r="A93" s="118"/>
      <c r="B93" s="122"/>
      <c r="C93" s="122"/>
      <c r="D93" s="122"/>
      <c r="E93" s="122"/>
      <c r="F93" s="122"/>
      <c r="G93" s="122"/>
      <c r="H93" s="224"/>
      <c r="I93" s="120"/>
      <c r="J93" s="225"/>
      <c r="K93" s="226"/>
      <c r="L93" s="225"/>
      <c r="M93" s="225"/>
      <c r="N93" s="227"/>
      <c r="O93" s="225"/>
    </row>
    <row r="94" spans="1:16" s="108" customFormat="1" ht="21" customHeight="1" x14ac:dyDescent="0.25">
      <c r="A94" s="118"/>
      <c r="B94" s="122"/>
      <c r="C94" s="122"/>
      <c r="D94" s="122"/>
      <c r="E94" s="122"/>
      <c r="F94" s="122"/>
      <c r="G94" s="122"/>
      <c r="H94" s="224"/>
      <c r="I94" s="120"/>
      <c r="J94" s="225"/>
      <c r="K94" s="226"/>
      <c r="L94" s="225"/>
      <c r="M94" s="225"/>
      <c r="N94" s="227"/>
      <c r="O94" s="225"/>
    </row>
    <row r="95" spans="1:16" s="108" customFormat="1" ht="21" customHeight="1" x14ac:dyDescent="0.25">
      <c r="A95" s="118"/>
      <c r="B95" s="122"/>
      <c r="C95" s="122"/>
      <c r="D95" s="122"/>
      <c r="E95" s="122"/>
      <c r="F95" s="122"/>
      <c r="G95" s="122"/>
      <c r="H95" s="224"/>
      <c r="I95" s="120"/>
      <c r="J95" s="225"/>
      <c r="K95" s="226"/>
      <c r="L95" s="225"/>
      <c r="M95" s="225"/>
      <c r="N95" s="227"/>
      <c r="O95" s="225"/>
    </row>
    <row r="96" spans="1:16" s="108" customFormat="1" ht="21" customHeight="1" x14ac:dyDescent="0.25">
      <c r="A96" s="118"/>
      <c r="B96" s="122"/>
      <c r="C96" s="122"/>
      <c r="D96" s="122"/>
      <c r="E96" s="122"/>
      <c r="F96" s="122"/>
      <c r="G96" s="122"/>
      <c r="H96" s="224"/>
      <c r="I96" s="120"/>
      <c r="J96" s="225"/>
      <c r="K96" s="226"/>
      <c r="L96" s="225"/>
      <c r="M96" s="225"/>
      <c r="N96" s="227"/>
      <c r="O96" s="225"/>
    </row>
    <row r="97" spans="1:15" s="108" customFormat="1" ht="21" customHeight="1" x14ac:dyDescent="0.25">
      <c r="A97" s="118"/>
      <c r="B97" s="122"/>
      <c r="C97" s="122"/>
      <c r="D97" s="122"/>
      <c r="E97" s="122"/>
      <c r="F97" s="122"/>
      <c r="G97" s="122"/>
      <c r="H97" s="224"/>
      <c r="I97" s="120"/>
      <c r="J97" s="225"/>
      <c r="K97" s="226"/>
      <c r="L97" s="225"/>
      <c r="M97" s="225"/>
      <c r="N97" s="227"/>
      <c r="O97" s="225"/>
    </row>
    <row r="98" spans="1:15" s="108" customFormat="1" ht="21" customHeight="1" x14ac:dyDescent="0.25">
      <c r="A98" s="118"/>
      <c r="B98" s="122"/>
      <c r="C98" s="122"/>
      <c r="D98" s="122"/>
      <c r="E98" s="122"/>
      <c r="F98" s="122"/>
      <c r="G98" s="122"/>
      <c r="H98" s="224"/>
      <c r="I98" s="120"/>
      <c r="J98" s="225"/>
      <c r="K98" s="226"/>
      <c r="L98" s="225"/>
      <c r="M98" s="225"/>
      <c r="N98" s="227"/>
      <c r="O98" s="225"/>
    </row>
    <row r="99" spans="1:15" s="108" customFormat="1" ht="21" customHeight="1" x14ac:dyDescent="0.25">
      <c r="A99" s="118"/>
      <c r="B99" s="122"/>
      <c r="C99" s="122"/>
      <c r="D99" s="122"/>
      <c r="E99" s="122"/>
      <c r="F99" s="122"/>
      <c r="G99" s="122"/>
      <c r="H99" s="224"/>
      <c r="I99" s="120"/>
      <c r="J99" s="225"/>
      <c r="K99" s="226"/>
      <c r="L99" s="225"/>
      <c r="M99" s="225"/>
      <c r="N99" s="227"/>
      <c r="O99" s="225"/>
    </row>
    <row r="100" spans="1:15" s="108" customFormat="1" ht="21" customHeight="1" x14ac:dyDescent="0.25">
      <c r="A100" s="118"/>
      <c r="B100" s="122"/>
      <c r="C100" s="122"/>
      <c r="D100" s="122"/>
      <c r="E100" s="122"/>
      <c r="F100" s="122"/>
      <c r="G100" s="122"/>
      <c r="H100" s="224"/>
      <c r="I100" s="120"/>
      <c r="J100" s="225"/>
      <c r="K100" s="226"/>
      <c r="L100" s="225"/>
      <c r="M100" s="225"/>
      <c r="N100" s="227"/>
      <c r="O100" s="225"/>
    </row>
    <row r="101" spans="1:15" s="108" customFormat="1" ht="21" customHeight="1" x14ac:dyDescent="0.25">
      <c r="A101" s="118"/>
      <c r="B101" s="122"/>
      <c r="C101" s="122"/>
      <c r="D101" s="122"/>
      <c r="E101" s="122"/>
      <c r="F101" s="122"/>
      <c r="G101" s="122"/>
      <c r="H101" s="224"/>
      <c r="I101" s="120"/>
      <c r="J101" s="225"/>
      <c r="K101" s="226"/>
      <c r="L101" s="225"/>
      <c r="M101" s="225"/>
      <c r="N101" s="227"/>
      <c r="O101" s="225"/>
    </row>
    <row r="102" spans="1:15" s="108" customFormat="1" ht="21" customHeight="1" x14ac:dyDescent="0.25">
      <c r="A102" s="118"/>
      <c r="B102" s="122"/>
      <c r="C102" s="122"/>
      <c r="D102" s="122"/>
      <c r="E102" s="122"/>
      <c r="F102" s="122"/>
      <c r="G102" s="122"/>
      <c r="H102" s="224"/>
      <c r="I102" s="120"/>
      <c r="J102" s="225"/>
      <c r="K102" s="226"/>
      <c r="L102" s="225"/>
      <c r="M102" s="225"/>
      <c r="N102" s="227"/>
      <c r="O102" s="225"/>
    </row>
  </sheetData>
  <mergeCells count="86">
    <mergeCell ref="P9:P10"/>
    <mergeCell ref="M6:O6"/>
    <mergeCell ref="M8:O8"/>
    <mergeCell ref="B21:E21"/>
    <mergeCell ref="B22:E23"/>
    <mergeCell ref="B11:E11"/>
    <mergeCell ref="A6:I6"/>
    <mergeCell ref="A8:I8"/>
    <mergeCell ref="B13:E13"/>
    <mergeCell ref="B12:E12"/>
    <mergeCell ref="F9:F10"/>
    <mergeCell ref="G9:G10"/>
    <mergeCell ref="H9:H10"/>
    <mergeCell ref="I9:I10"/>
    <mergeCell ref="C14:E14"/>
    <mergeCell ref="A9:A10"/>
    <mergeCell ref="B86:E86"/>
    <mergeCell ref="B15:E15"/>
    <mergeCell ref="B16:E16"/>
    <mergeCell ref="B17:E17"/>
    <mergeCell ref="B18:E18"/>
    <mergeCell ref="B45:E45"/>
    <mergeCell ref="B28:E28"/>
    <mergeCell ref="B29:E29"/>
    <mergeCell ref="B30:E30"/>
    <mergeCell ref="B31:E31"/>
    <mergeCell ref="B32:E32"/>
    <mergeCell ref="B34:E34"/>
    <mergeCell ref="B44:E44"/>
    <mergeCell ref="B20:E20"/>
    <mergeCell ref="B19:E19"/>
    <mergeCell ref="B49:E49"/>
    <mergeCell ref="B9:E10"/>
    <mergeCell ref="B37:E37"/>
    <mergeCell ref="B42:E42"/>
    <mergeCell ref="B43:E43"/>
    <mergeCell ref="B38:E38"/>
    <mergeCell ref="B39:E39"/>
    <mergeCell ref="B40:E40"/>
    <mergeCell ref="B41:E41"/>
    <mergeCell ref="B35:E35"/>
    <mergeCell ref="B36:E36"/>
    <mergeCell ref="B24:E24"/>
    <mergeCell ref="B25:E25"/>
    <mergeCell ref="C26:E26"/>
    <mergeCell ref="B27:E27"/>
    <mergeCell ref="B33:E33"/>
    <mergeCell ref="B50:E50"/>
    <mergeCell ref="B57:E57"/>
    <mergeCell ref="B58:E58"/>
    <mergeCell ref="B51:E51"/>
    <mergeCell ref="B52:E52"/>
    <mergeCell ref="B53:E53"/>
    <mergeCell ref="B54:E54"/>
    <mergeCell ref="B46:E46"/>
    <mergeCell ref="B47:E47"/>
    <mergeCell ref="B79:E79"/>
    <mergeCell ref="B77:E77"/>
    <mergeCell ref="B76:E76"/>
    <mergeCell ref="B67:E67"/>
    <mergeCell ref="B68:E68"/>
    <mergeCell ref="B69:E69"/>
    <mergeCell ref="B70:E70"/>
    <mergeCell ref="B71:E71"/>
    <mergeCell ref="B72:E72"/>
    <mergeCell ref="B74:E74"/>
    <mergeCell ref="B75:E75"/>
    <mergeCell ref="B55:E55"/>
    <mergeCell ref="B73:E73"/>
    <mergeCell ref="C48:E48"/>
    <mergeCell ref="J9:L9"/>
    <mergeCell ref="M9:O9"/>
    <mergeCell ref="B82:E82"/>
    <mergeCell ref="B83:E83"/>
    <mergeCell ref="B84:E84"/>
    <mergeCell ref="C80:E80"/>
    <mergeCell ref="B81:E81"/>
    <mergeCell ref="B56:E56"/>
    <mergeCell ref="B63:E63"/>
    <mergeCell ref="B59:E59"/>
    <mergeCell ref="B60:E60"/>
    <mergeCell ref="B61:E61"/>
    <mergeCell ref="B62:E62"/>
    <mergeCell ref="B64:E64"/>
    <mergeCell ref="B65:E65"/>
    <mergeCell ref="B66:E66"/>
  </mergeCells>
  <phoneticPr fontId="4" type="noConversion"/>
  <printOptions horizontalCentered="1"/>
  <pageMargins left="0.2" right="0.2" top="0.3" bottom="0.3" header="0" footer="0"/>
  <pageSetup paperSize="9" scale="41" fitToHeight="5" orientation="portrait" r:id="rId1"/>
  <headerFooter>
    <oddFooter>Page &amp;P of &amp;N</oddFooter>
  </headerFooter>
  <rowBreaks count="2" manualBreakCount="2">
    <brk id="45" max="15" man="1"/>
    <brk id="86" max="14"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76F89-B4E5-4F2D-9258-7A6FE372C274}">
  <sheetPr>
    <tabColor theme="3" tint="0.59999389629810485"/>
  </sheetPr>
  <dimension ref="A1:R210"/>
  <sheetViews>
    <sheetView tabSelected="1" view="pageBreakPreview" topLeftCell="A9" zoomScale="70" zoomScaleNormal="100" zoomScaleSheetLayoutView="70" workbookViewId="0">
      <pane xSplit="10" ySplit="2" topLeftCell="K221" activePane="bottomRight" state="frozen"/>
      <selection activeCell="A9" sqref="A9"/>
      <selection pane="topRight" activeCell="K9" sqref="K9"/>
      <selection pane="bottomLeft" activeCell="A11" sqref="A11"/>
      <selection pane="bottomRight" activeCell="K194" sqref="K194"/>
    </sheetView>
  </sheetViews>
  <sheetFormatPr defaultColWidth="9.109375" defaultRowHeight="15" x14ac:dyDescent="0.25"/>
  <cols>
    <col min="1" max="1" width="5.88671875" style="235" customWidth="1"/>
    <col min="2" max="3" width="9.109375" style="235"/>
    <col min="4" max="4" width="9" style="235" customWidth="1"/>
    <col min="5" max="5" width="36.6640625" style="235" customWidth="1"/>
    <col min="6" max="6" width="11.5546875" style="269" customWidth="1"/>
    <col min="7" max="7" width="12.88671875" style="269" customWidth="1"/>
    <col min="8" max="8" width="13.6640625" style="370" customWidth="1"/>
    <col min="9" max="9" width="16.6640625" style="269" bestFit="1" customWidth="1"/>
    <col min="10" max="10" width="12.88671875" style="269" hidden="1" customWidth="1"/>
    <col min="11" max="11" width="14.33203125" style="234" customWidth="1"/>
    <col min="12" max="12" width="12.88671875" style="371" customWidth="1"/>
    <col min="13" max="13" width="12.88671875" style="234" bestFit="1" customWidth="1"/>
    <col min="14" max="14" width="19.6640625" style="234" customWidth="1"/>
    <col min="15" max="15" width="19" style="371" customWidth="1"/>
    <col min="16" max="16" width="19.6640625" style="234" customWidth="1"/>
    <col min="17" max="17" width="38.109375" style="397" customWidth="1"/>
    <col min="18" max="18" width="21.44140625" style="235" customWidth="1"/>
    <col min="19" max="16384" width="9.109375" style="235"/>
  </cols>
  <sheetData>
    <row r="1" spans="1:17" hidden="1" x14ac:dyDescent="0.25"/>
    <row r="2" spans="1:17" hidden="1" x14ac:dyDescent="0.25"/>
    <row r="3" spans="1:17" hidden="1" x14ac:dyDescent="0.25"/>
    <row r="4" spans="1:17" hidden="1" x14ac:dyDescent="0.25"/>
    <row r="5" spans="1:17" hidden="1" x14ac:dyDescent="0.25"/>
    <row r="6" spans="1:17" ht="16.5" hidden="1" customHeight="1" x14ac:dyDescent="0.3">
      <c r="A6" s="612" t="s">
        <v>29</v>
      </c>
      <c r="B6" s="612"/>
      <c r="C6" s="612"/>
      <c r="D6" s="612"/>
      <c r="E6" s="612"/>
      <c r="F6" s="612"/>
      <c r="G6" s="612"/>
      <c r="H6" s="612"/>
      <c r="I6" s="612"/>
      <c r="J6" s="231"/>
      <c r="K6" s="232"/>
      <c r="L6" s="233"/>
      <c r="N6" s="603">
        <f>Summary!F6</f>
        <v>44956</v>
      </c>
      <c r="O6" s="603"/>
      <c r="P6" s="603"/>
    </row>
    <row r="7" spans="1:17" s="239" customFormat="1" ht="19.5" hidden="1" customHeight="1" x14ac:dyDescent="0.25">
      <c r="A7" s="236" t="s">
        <v>94</v>
      </c>
      <c r="B7" s="236"/>
      <c r="C7" s="236"/>
      <c r="D7" s="236"/>
      <c r="E7" s="236"/>
      <c r="F7" s="237"/>
      <c r="G7" s="237"/>
      <c r="H7" s="238"/>
      <c r="I7" s="237"/>
      <c r="J7" s="237"/>
      <c r="K7" s="232"/>
      <c r="L7" s="233"/>
      <c r="M7" s="232"/>
      <c r="N7" s="232"/>
      <c r="O7" s="233"/>
      <c r="P7" s="232"/>
      <c r="Q7" s="397"/>
    </row>
    <row r="8" spans="1:17" s="243" customFormat="1" ht="33" hidden="1" customHeight="1" thickBot="1" x14ac:dyDescent="0.3">
      <c r="A8" s="613" t="s">
        <v>128</v>
      </c>
      <c r="B8" s="613"/>
      <c r="C8" s="613"/>
      <c r="D8" s="613"/>
      <c r="E8" s="613"/>
      <c r="F8" s="613"/>
      <c r="G8" s="613"/>
      <c r="H8" s="613"/>
      <c r="I8" s="613"/>
      <c r="J8" s="240"/>
      <c r="K8" s="241"/>
      <c r="L8" s="242"/>
      <c r="M8" s="234"/>
      <c r="N8" s="604" t="s">
        <v>182</v>
      </c>
      <c r="O8" s="604"/>
      <c r="P8" s="604"/>
      <c r="Q8" s="397"/>
    </row>
    <row r="9" spans="1:17" ht="18" customHeight="1" thickTop="1" x14ac:dyDescent="0.25">
      <c r="A9" s="614" t="s">
        <v>32</v>
      </c>
      <c r="B9" s="616" t="s">
        <v>0</v>
      </c>
      <c r="C9" s="617"/>
      <c r="D9" s="617"/>
      <c r="E9" s="618"/>
      <c r="F9" s="622" t="s">
        <v>34</v>
      </c>
      <c r="G9" s="622" t="s">
        <v>31</v>
      </c>
      <c r="H9" s="624" t="s">
        <v>36</v>
      </c>
      <c r="I9" s="626" t="s">
        <v>35</v>
      </c>
      <c r="J9" s="244"/>
      <c r="K9" s="605" t="s">
        <v>91</v>
      </c>
      <c r="L9" s="606"/>
      <c r="M9" s="607"/>
      <c r="N9" s="608" t="s">
        <v>92</v>
      </c>
      <c r="O9" s="606"/>
      <c r="P9" s="606"/>
      <c r="Q9" s="629" t="s">
        <v>284</v>
      </c>
    </row>
    <row r="10" spans="1:17" ht="36.75" customHeight="1" thickBot="1" x14ac:dyDescent="0.3">
      <c r="A10" s="615"/>
      <c r="B10" s="619"/>
      <c r="C10" s="620"/>
      <c r="D10" s="620"/>
      <c r="E10" s="621"/>
      <c r="F10" s="623"/>
      <c r="G10" s="623"/>
      <c r="H10" s="625"/>
      <c r="I10" s="627"/>
      <c r="J10" s="409" t="s">
        <v>239</v>
      </c>
      <c r="K10" s="410" t="s">
        <v>87</v>
      </c>
      <c r="L10" s="411" t="s">
        <v>88</v>
      </c>
      <c r="M10" s="411" t="s">
        <v>90</v>
      </c>
      <c r="N10" s="411" t="s">
        <v>87</v>
      </c>
      <c r="O10" s="411" t="s">
        <v>88</v>
      </c>
      <c r="P10" s="412" t="s">
        <v>89</v>
      </c>
      <c r="Q10" s="623"/>
    </row>
    <row r="11" spans="1:17" ht="15.6" x14ac:dyDescent="0.25">
      <c r="A11" s="245"/>
      <c r="B11" s="609"/>
      <c r="C11" s="544"/>
      <c r="D11" s="544"/>
      <c r="E11" s="545"/>
      <c r="F11" s="246"/>
      <c r="G11" s="254"/>
      <c r="H11" s="247"/>
      <c r="I11" s="248"/>
      <c r="J11" s="249"/>
      <c r="K11" s="250"/>
      <c r="L11" s="251"/>
      <c r="M11" s="252"/>
      <c r="N11" s="252"/>
      <c r="O11" s="251"/>
      <c r="P11" s="248"/>
    </row>
    <row r="12" spans="1:17" ht="87" customHeight="1" x14ac:dyDescent="0.25">
      <c r="A12" s="253">
        <v>1</v>
      </c>
      <c r="B12" s="535" t="s">
        <v>139</v>
      </c>
      <c r="C12" s="536"/>
      <c r="D12" s="536"/>
      <c r="E12" s="537"/>
      <c r="F12" s="246"/>
      <c r="G12" s="254"/>
      <c r="H12" s="247"/>
      <c r="I12" s="255"/>
      <c r="J12" s="256">
        <f>I13+I15+I16+I17+I18</f>
        <v>473000</v>
      </c>
      <c r="K12" s="250"/>
      <c r="L12" s="251"/>
      <c r="M12" s="252"/>
      <c r="N12" s="252"/>
      <c r="O12" s="251"/>
      <c r="P12" s="248"/>
    </row>
    <row r="13" spans="1:17" s="239" customFormat="1" ht="54.75" customHeight="1" x14ac:dyDescent="0.25">
      <c r="A13" s="245" t="s">
        <v>3</v>
      </c>
      <c r="B13" s="596" t="s">
        <v>95</v>
      </c>
      <c r="C13" s="597"/>
      <c r="D13" s="597"/>
      <c r="E13" s="598"/>
      <c r="F13" s="246">
        <v>1</v>
      </c>
      <c r="G13" s="254" t="s">
        <v>2</v>
      </c>
      <c r="H13" s="247">
        <v>116000</v>
      </c>
      <c r="I13" s="248">
        <f>H13*F13</f>
        <v>116000</v>
      </c>
      <c r="J13" s="249"/>
      <c r="K13" s="250">
        <v>1</v>
      </c>
      <c r="L13" s="251">
        <f>M13-K13</f>
        <v>0</v>
      </c>
      <c r="M13" s="252">
        <v>1</v>
      </c>
      <c r="N13" s="252">
        <f>+K13*H13*0.95</f>
        <v>110200</v>
      </c>
      <c r="O13" s="251">
        <f t="shared" ref="O13:O22" si="0">P13-N13</f>
        <v>0</v>
      </c>
      <c r="P13" s="448">
        <f>H13*M13*95%</f>
        <v>110200</v>
      </c>
      <c r="Q13" s="398" t="s">
        <v>308</v>
      </c>
    </row>
    <row r="14" spans="1:17" s="239" customFormat="1" ht="15.6" x14ac:dyDescent="0.25">
      <c r="A14" s="245"/>
      <c r="B14" s="257"/>
      <c r="C14" s="610"/>
      <c r="D14" s="610"/>
      <c r="E14" s="611"/>
      <c r="F14" s="246"/>
      <c r="G14" s="254"/>
      <c r="H14" s="247"/>
      <c r="I14" s="248"/>
      <c r="J14" s="249"/>
      <c r="K14" s="250"/>
      <c r="L14" s="251"/>
      <c r="M14" s="252"/>
      <c r="N14" s="252"/>
      <c r="O14" s="251"/>
      <c r="P14" s="448"/>
      <c r="Q14" s="399"/>
    </row>
    <row r="15" spans="1:17" s="243" customFormat="1" ht="54.75" customHeight="1" x14ac:dyDescent="0.25">
      <c r="A15" s="253" t="s">
        <v>15</v>
      </c>
      <c r="B15" s="555" t="s">
        <v>96</v>
      </c>
      <c r="C15" s="556"/>
      <c r="D15" s="556"/>
      <c r="E15" s="557"/>
      <c r="F15" s="258">
        <v>1</v>
      </c>
      <c r="G15" s="254" t="s">
        <v>2</v>
      </c>
      <c r="H15" s="247">
        <v>82500</v>
      </c>
      <c r="I15" s="248">
        <f>H15*F15</f>
        <v>82500</v>
      </c>
      <c r="J15" s="249"/>
      <c r="K15" s="250">
        <v>1</v>
      </c>
      <c r="L15" s="251">
        <f>M15-K15</f>
        <v>0</v>
      </c>
      <c r="M15" s="252">
        <v>1</v>
      </c>
      <c r="N15" s="252">
        <f>+K15*H15*0.95</f>
        <v>78375</v>
      </c>
      <c r="O15" s="251">
        <f t="shared" si="0"/>
        <v>0</v>
      </c>
      <c r="P15" s="448">
        <f>H15*M15*95%</f>
        <v>78375</v>
      </c>
      <c r="Q15" s="398" t="s">
        <v>308</v>
      </c>
    </row>
    <row r="16" spans="1:17" s="243" customFormat="1" ht="51" customHeight="1" x14ac:dyDescent="0.25">
      <c r="A16" s="253" t="s">
        <v>18</v>
      </c>
      <c r="B16" s="555" t="s">
        <v>97</v>
      </c>
      <c r="C16" s="556"/>
      <c r="D16" s="556"/>
      <c r="E16" s="557"/>
      <c r="F16" s="258">
        <v>1</v>
      </c>
      <c r="G16" s="254" t="s">
        <v>2</v>
      </c>
      <c r="H16" s="247">
        <v>111500</v>
      </c>
      <c r="I16" s="248">
        <f>H16*F16</f>
        <v>111500</v>
      </c>
      <c r="J16" s="249"/>
      <c r="K16" s="250"/>
      <c r="L16" s="251">
        <f>M16-K16</f>
        <v>0.5</v>
      </c>
      <c r="M16" s="252">
        <v>0.5</v>
      </c>
      <c r="N16" s="252">
        <f>+K16*H16</f>
        <v>0</v>
      </c>
      <c r="O16" s="251">
        <f t="shared" si="0"/>
        <v>55750</v>
      </c>
      <c r="P16" s="448">
        <f t="shared" ref="P16:P22" si="1">H16*M16</f>
        <v>55750</v>
      </c>
      <c r="Q16" s="399" t="s">
        <v>309</v>
      </c>
    </row>
    <row r="17" spans="1:17" s="243" customFormat="1" ht="134.25" customHeight="1" x14ac:dyDescent="0.25">
      <c r="A17" s="253" t="s">
        <v>47</v>
      </c>
      <c r="B17" s="555" t="s">
        <v>98</v>
      </c>
      <c r="C17" s="556"/>
      <c r="D17" s="556"/>
      <c r="E17" s="557"/>
      <c r="F17" s="246">
        <v>1</v>
      </c>
      <c r="G17" s="254" t="s">
        <v>2</v>
      </c>
      <c r="H17" s="247">
        <v>146000</v>
      </c>
      <c r="I17" s="248">
        <f>H17*F17</f>
        <v>146000</v>
      </c>
      <c r="J17" s="249"/>
      <c r="K17" s="250"/>
      <c r="L17" s="251">
        <f t="shared" ref="L17:L22" si="2">M17-K17</f>
        <v>0</v>
      </c>
      <c r="M17" s="252"/>
      <c r="N17" s="252">
        <f t="shared" ref="N17:N22" si="3">+K17*H17</f>
        <v>0</v>
      </c>
      <c r="O17" s="251">
        <f t="shared" si="0"/>
        <v>0</v>
      </c>
      <c r="P17" s="248">
        <f t="shared" si="1"/>
        <v>0</v>
      </c>
      <c r="Q17" s="399"/>
    </row>
    <row r="18" spans="1:17" s="243" customFormat="1" ht="158.25" customHeight="1" thickBot="1" x14ac:dyDescent="0.3">
      <c r="A18" s="259" t="s">
        <v>93</v>
      </c>
      <c r="B18" s="558" t="s">
        <v>99</v>
      </c>
      <c r="C18" s="559"/>
      <c r="D18" s="559"/>
      <c r="E18" s="560"/>
      <c r="F18" s="260">
        <v>1</v>
      </c>
      <c r="G18" s="261" t="s">
        <v>27</v>
      </c>
      <c r="H18" s="262">
        <v>17000</v>
      </c>
      <c r="I18" s="263">
        <f>H18*F18</f>
        <v>17000</v>
      </c>
      <c r="J18" s="264"/>
      <c r="K18" s="265">
        <v>1</v>
      </c>
      <c r="L18" s="266">
        <f t="shared" si="2"/>
        <v>0</v>
      </c>
      <c r="M18" s="267">
        <v>1</v>
      </c>
      <c r="N18" s="267">
        <f t="shared" si="3"/>
        <v>17000</v>
      </c>
      <c r="O18" s="266">
        <f t="shared" si="0"/>
        <v>0</v>
      </c>
      <c r="P18" s="263">
        <f t="shared" si="1"/>
        <v>17000</v>
      </c>
      <c r="Q18" s="399"/>
    </row>
    <row r="19" spans="1:17" s="243" customFormat="1" ht="63" customHeight="1" thickTop="1" x14ac:dyDescent="0.25">
      <c r="A19" s="253">
        <v>2</v>
      </c>
      <c r="B19" s="535" t="s">
        <v>180</v>
      </c>
      <c r="C19" s="536"/>
      <c r="D19" s="536"/>
      <c r="E19" s="537"/>
      <c r="F19" s="246"/>
      <c r="G19" s="254"/>
      <c r="H19" s="247"/>
      <c r="I19" s="248"/>
      <c r="J19" s="268">
        <f>SUM(I21:I40)</f>
        <v>429331.25</v>
      </c>
      <c r="K19" s="250"/>
      <c r="L19" s="251"/>
      <c r="M19" s="252"/>
      <c r="N19" s="252"/>
      <c r="O19" s="251"/>
      <c r="P19" s="248"/>
      <c r="Q19" s="398">
        <f>SUM(I21:I40)</f>
        <v>429331.25</v>
      </c>
    </row>
    <row r="20" spans="1:17" s="243" customFormat="1" ht="20.25" customHeight="1" x14ac:dyDescent="0.25">
      <c r="A20" s="253" t="s">
        <v>3</v>
      </c>
      <c r="B20" s="552" t="s">
        <v>100</v>
      </c>
      <c r="C20" s="553"/>
      <c r="D20" s="553"/>
      <c r="E20" s="554"/>
      <c r="F20" s="246"/>
      <c r="G20" s="254"/>
      <c r="H20" s="247"/>
      <c r="I20" s="248"/>
      <c r="J20" s="249"/>
      <c r="K20" s="250"/>
      <c r="L20" s="251"/>
      <c r="M20" s="252"/>
      <c r="N20" s="252"/>
      <c r="O20" s="251"/>
      <c r="P20" s="248"/>
      <c r="Q20" s="399"/>
    </row>
    <row r="21" spans="1:17" s="243" customFormat="1" ht="19.5" customHeight="1" x14ac:dyDescent="0.25">
      <c r="A21" s="253"/>
      <c r="B21" s="555" t="s">
        <v>101</v>
      </c>
      <c r="C21" s="556"/>
      <c r="D21" s="556"/>
      <c r="E21" s="557"/>
      <c r="F21" s="246">
        <v>6.4</v>
      </c>
      <c r="G21" s="254" t="s">
        <v>103</v>
      </c>
      <c r="H21" s="247">
        <v>19925</v>
      </c>
      <c r="I21" s="248">
        <f>H21*F21</f>
        <v>127520</v>
      </c>
      <c r="J21" s="249"/>
      <c r="K21" s="250">
        <v>6.4</v>
      </c>
      <c r="L21" s="251">
        <f t="shared" si="2"/>
        <v>0</v>
      </c>
      <c r="M21" s="252">
        <v>6.4</v>
      </c>
      <c r="N21" s="252">
        <f t="shared" si="3"/>
        <v>127520</v>
      </c>
      <c r="O21" s="251">
        <f t="shared" si="0"/>
        <v>0</v>
      </c>
      <c r="P21" s="248">
        <f t="shared" si="1"/>
        <v>127520</v>
      </c>
      <c r="Q21" s="399"/>
    </row>
    <row r="22" spans="1:17" s="243" customFormat="1" ht="33.75" customHeight="1" x14ac:dyDescent="0.25">
      <c r="A22" s="253"/>
      <c r="B22" s="555" t="s">
        <v>102</v>
      </c>
      <c r="C22" s="556"/>
      <c r="D22" s="556"/>
      <c r="E22" s="557"/>
      <c r="F22" s="246">
        <v>116</v>
      </c>
      <c r="G22" s="254" t="s">
        <v>1</v>
      </c>
      <c r="H22" s="247">
        <v>330</v>
      </c>
      <c r="I22" s="248">
        <f>H22*F22</f>
        <v>38280</v>
      </c>
      <c r="J22" s="249"/>
      <c r="K22" s="250">
        <v>116</v>
      </c>
      <c r="L22" s="251">
        <f t="shared" si="2"/>
        <v>0</v>
      </c>
      <c r="M22" s="252">
        <v>116</v>
      </c>
      <c r="N22" s="252">
        <f t="shared" si="3"/>
        <v>38280</v>
      </c>
      <c r="O22" s="251">
        <f t="shared" si="0"/>
        <v>0</v>
      </c>
      <c r="P22" s="248">
        <f t="shared" si="1"/>
        <v>38280</v>
      </c>
      <c r="Q22" s="399"/>
    </row>
    <row r="23" spans="1:17" s="243" customFormat="1" ht="20.25" customHeight="1" x14ac:dyDescent="0.25">
      <c r="A23" s="253" t="s">
        <v>15</v>
      </c>
      <c r="B23" s="552" t="s">
        <v>104</v>
      </c>
      <c r="C23" s="553"/>
      <c r="D23" s="553"/>
      <c r="E23" s="554"/>
      <c r="F23" s="246"/>
      <c r="G23" s="254"/>
      <c r="H23" s="247"/>
      <c r="I23" s="248"/>
      <c r="J23" s="249"/>
      <c r="K23" s="250"/>
      <c r="L23" s="251"/>
      <c r="M23" s="252"/>
      <c r="N23" s="252"/>
      <c r="O23" s="251"/>
      <c r="P23" s="248"/>
      <c r="Q23" s="399"/>
    </row>
    <row r="24" spans="1:17" ht="19.5" customHeight="1" x14ac:dyDescent="0.25">
      <c r="A24" s="245"/>
      <c r="B24" s="600" t="s">
        <v>101</v>
      </c>
      <c r="C24" s="601"/>
      <c r="D24" s="601"/>
      <c r="E24" s="602"/>
      <c r="F24" s="246">
        <v>2.52</v>
      </c>
      <c r="G24" s="254" t="s">
        <v>103</v>
      </c>
      <c r="H24" s="247">
        <v>19925</v>
      </c>
      <c r="I24" s="248">
        <f>H24*F24</f>
        <v>50211</v>
      </c>
      <c r="J24" s="249"/>
      <c r="K24" s="250">
        <v>2.52</v>
      </c>
      <c r="L24" s="251">
        <f t="shared" ref="L24:L25" si="4">M24-K24</f>
        <v>0</v>
      </c>
      <c r="M24" s="252">
        <v>2.52</v>
      </c>
      <c r="N24" s="252">
        <f t="shared" ref="N24:N25" si="5">+K24*H24</f>
        <v>50211</v>
      </c>
      <c r="O24" s="251">
        <f t="shared" ref="O24:O25" si="6">P24-N24</f>
        <v>0</v>
      </c>
      <c r="P24" s="248">
        <f t="shared" ref="P24:P25" si="7">H24*M24</f>
        <v>50211</v>
      </c>
      <c r="Q24" s="399"/>
    </row>
    <row r="25" spans="1:17" s="239" customFormat="1" ht="33.75" customHeight="1" x14ac:dyDescent="0.25">
      <c r="A25" s="245"/>
      <c r="B25" s="600" t="s">
        <v>102</v>
      </c>
      <c r="C25" s="601"/>
      <c r="D25" s="601"/>
      <c r="E25" s="602"/>
      <c r="F25" s="246">
        <v>42</v>
      </c>
      <c r="G25" s="254" t="s">
        <v>1</v>
      </c>
      <c r="H25" s="247">
        <v>330</v>
      </c>
      <c r="I25" s="248">
        <f>H25*F25</f>
        <v>13860</v>
      </c>
      <c r="J25" s="249"/>
      <c r="K25" s="250">
        <v>103</v>
      </c>
      <c r="L25" s="251">
        <f t="shared" si="4"/>
        <v>0</v>
      </c>
      <c r="M25" s="252">
        <v>103</v>
      </c>
      <c r="N25" s="252">
        <f t="shared" si="5"/>
        <v>33990</v>
      </c>
      <c r="O25" s="251">
        <f t="shared" si="6"/>
        <v>0</v>
      </c>
      <c r="P25" s="248">
        <f t="shared" si="7"/>
        <v>33990</v>
      </c>
      <c r="Q25" s="399"/>
    </row>
    <row r="26" spans="1:17" s="243" customFormat="1" ht="20.25" customHeight="1" x14ac:dyDescent="0.25">
      <c r="A26" s="253" t="s">
        <v>18</v>
      </c>
      <c r="B26" s="552" t="s">
        <v>105</v>
      </c>
      <c r="C26" s="553"/>
      <c r="D26" s="553"/>
      <c r="E26" s="554"/>
      <c r="F26" s="246"/>
      <c r="G26" s="254"/>
      <c r="H26" s="247"/>
      <c r="I26" s="248"/>
      <c r="J26" s="249"/>
      <c r="K26" s="250"/>
      <c r="L26" s="251"/>
      <c r="M26" s="252"/>
      <c r="N26" s="252"/>
      <c r="O26" s="251"/>
      <c r="P26" s="248"/>
      <c r="Q26" s="399"/>
    </row>
    <row r="27" spans="1:17" ht="19.5" customHeight="1" x14ac:dyDescent="0.25">
      <c r="A27" s="245"/>
      <c r="B27" s="600" t="s">
        <v>101</v>
      </c>
      <c r="C27" s="601"/>
      <c r="D27" s="601"/>
      <c r="E27" s="602"/>
      <c r="F27" s="246">
        <v>2.52</v>
      </c>
      <c r="G27" s="254" t="s">
        <v>103</v>
      </c>
      <c r="H27" s="247">
        <v>19925</v>
      </c>
      <c r="I27" s="248">
        <f>H27*F27</f>
        <v>50211</v>
      </c>
      <c r="J27" s="249"/>
      <c r="K27" s="250">
        <v>2.52</v>
      </c>
      <c r="L27" s="251">
        <f>M27-K27</f>
        <v>0</v>
      </c>
      <c r="M27" s="252">
        <v>2.52</v>
      </c>
      <c r="N27" s="252">
        <f t="shared" ref="N27:N28" si="8">+K27*H27</f>
        <v>50211</v>
      </c>
      <c r="O27" s="251">
        <f>P27-N27</f>
        <v>0</v>
      </c>
      <c r="P27" s="248">
        <f t="shared" ref="P27:P28" si="9">H27*M27</f>
        <v>50211</v>
      </c>
      <c r="Q27" s="399"/>
    </row>
    <row r="28" spans="1:17" s="239" customFormat="1" ht="33.75" customHeight="1" x14ac:dyDescent="0.25">
      <c r="A28" s="245"/>
      <c r="B28" s="600" t="s">
        <v>102</v>
      </c>
      <c r="C28" s="601"/>
      <c r="D28" s="601"/>
      <c r="E28" s="602"/>
      <c r="F28" s="246">
        <v>42</v>
      </c>
      <c r="G28" s="254" t="s">
        <v>1</v>
      </c>
      <c r="H28" s="247">
        <v>330</v>
      </c>
      <c r="I28" s="248">
        <f>H28*F28</f>
        <v>13860</v>
      </c>
      <c r="J28" s="249"/>
      <c r="K28" s="250">
        <v>103</v>
      </c>
      <c r="L28" s="251">
        <f t="shared" ref="L28" si="10">M28-K28</f>
        <v>0</v>
      </c>
      <c r="M28" s="252">
        <v>103</v>
      </c>
      <c r="N28" s="252">
        <f t="shared" si="8"/>
        <v>33990</v>
      </c>
      <c r="O28" s="251">
        <f t="shared" ref="O28" si="11">P28-N28</f>
        <v>0</v>
      </c>
      <c r="P28" s="248">
        <f t="shared" si="9"/>
        <v>33990</v>
      </c>
      <c r="Q28" s="399"/>
    </row>
    <row r="29" spans="1:17" s="243" customFormat="1" ht="20.25" customHeight="1" x14ac:dyDescent="0.25">
      <c r="A29" s="253" t="s">
        <v>47</v>
      </c>
      <c r="B29" s="552" t="s">
        <v>106</v>
      </c>
      <c r="C29" s="553"/>
      <c r="D29" s="553"/>
      <c r="E29" s="554"/>
      <c r="F29" s="246"/>
      <c r="G29" s="254"/>
      <c r="H29" s="247"/>
      <c r="I29" s="248"/>
      <c r="J29" s="249"/>
      <c r="K29" s="250"/>
      <c r="L29" s="251"/>
      <c r="M29" s="252"/>
      <c r="N29" s="252"/>
      <c r="O29" s="251"/>
      <c r="P29" s="248"/>
      <c r="Q29" s="399"/>
    </row>
    <row r="30" spans="1:17" ht="19.5" customHeight="1" x14ac:dyDescent="0.25">
      <c r="A30" s="245"/>
      <c r="B30" s="600" t="s">
        <v>101</v>
      </c>
      <c r="C30" s="601"/>
      <c r="D30" s="601"/>
      <c r="E30" s="602"/>
      <c r="F30" s="246">
        <v>0.88</v>
      </c>
      <c r="G30" s="254" t="s">
        <v>103</v>
      </c>
      <c r="H30" s="247">
        <v>19925</v>
      </c>
      <c r="I30" s="248">
        <f>H30*F30</f>
        <v>17534</v>
      </c>
      <c r="J30" s="249"/>
      <c r="K30" s="250"/>
      <c r="L30" s="251">
        <f t="shared" ref="L30:L31" si="12">M30-K30</f>
        <v>0</v>
      </c>
      <c r="M30" s="252"/>
      <c r="N30" s="252">
        <f t="shared" ref="N30:N31" si="13">+K30*H30</f>
        <v>0</v>
      </c>
      <c r="O30" s="251">
        <f t="shared" ref="O30:O31" si="14">P30-N30</f>
        <v>0</v>
      </c>
      <c r="P30" s="248">
        <f t="shared" ref="P30:P31" si="15">H30*M30</f>
        <v>0</v>
      </c>
      <c r="Q30" s="399"/>
    </row>
    <row r="31" spans="1:17" s="239" customFormat="1" ht="33.75" customHeight="1" x14ac:dyDescent="0.25">
      <c r="A31" s="245"/>
      <c r="B31" s="600" t="s">
        <v>102</v>
      </c>
      <c r="C31" s="601"/>
      <c r="D31" s="601"/>
      <c r="E31" s="602"/>
      <c r="F31" s="246">
        <v>48</v>
      </c>
      <c r="G31" s="254" t="s">
        <v>1</v>
      </c>
      <c r="H31" s="247">
        <v>330</v>
      </c>
      <c r="I31" s="248">
        <f>H31*F31</f>
        <v>15840</v>
      </c>
      <c r="J31" s="249"/>
      <c r="K31" s="250"/>
      <c r="L31" s="251">
        <f t="shared" si="12"/>
        <v>0</v>
      </c>
      <c r="M31" s="252"/>
      <c r="N31" s="252">
        <f t="shared" si="13"/>
        <v>0</v>
      </c>
      <c r="O31" s="251">
        <f t="shared" si="14"/>
        <v>0</v>
      </c>
      <c r="P31" s="248">
        <f t="shared" si="15"/>
        <v>0</v>
      </c>
      <c r="Q31" s="399"/>
    </row>
    <row r="32" spans="1:17" s="243" customFormat="1" ht="20.25" customHeight="1" x14ac:dyDescent="0.25">
      <c r="A32" s="253" t="s">
        <v>93</v>
      </c>
      <c r="B32" s="552" t="s">
        <v>107</v>
      </c>
      <c r="C32" s="553"/>
      <c r="D32" s="553"/>
      <c r="E32" s="554"/>
      <c r="F32" s="246"/>
      <c r="G32" s="254"/>
      <c r="H32" s="247"/>
      <c r="I32" s="248"/>
      <c r="J32" s="249"/>
      <c r="K32" s="250"/>
      <c r="L32" s="251"/>
      <c r="M32" s="252"/>
      <c r="N32" s="252"/>
      <c r="O32" s="251"/>
      <c r="P32" s="248"/>
      <c r="Q32" s="399"/>
    </row>
    <row r="33" spans="1:17" ht="19.5" customHeight="1" x14ac:dyDescent="0.25">
      <c r="A33" s="245"/>
      <c r="B33" s="600" t="s">
        <v>101</v>
      </c>
      <c r="C33" s="601"/>
      <c r="D33" s="601"/>
      <c r="E33" s="602"/>
      <c r="F33" s="246">
        <v>0.88</v>
      </c>
      <c r="G33" s="254" t="s">
        <v>103</v>
      </c>
      <c r="H33" s="247">
        <v>19925</v>
      </c>
      <c r="I33" s="248">
        <f>H33*F33</f>
        <v>17534</v>
      </c>
      <c r="J33" s="249"/>
      <c r="K33" s="250"/>
      <c r="L33" s="251">
        <f t="shared" ref="L33:L34" si="16">M33-K33</f>
        <v>0</v>
      </c>
      <c r="M33" s="252"/>
      <c r="N33" s="252">
        <f t="shared" ref="N33:N34" si="17">+K33*H33</f>
        <v>0</v>
      </c>
      <c r="O33" s="251">
        <f t="shared" ref="O33:O34" si="18">P33-N33</f>
        <v>0</v>
      </c>
      <c r="P33" s="248">
        <f t="shared" ref="P33:P34" si="19">H33*M33</f>
        <v>0</v>
      </c>
      <c r="Q33" s="399"/>
    </row>
    <row r="34" spans="1:17" s="239" customFormat="1" ht="33.75" customHeight="1" x14ac:dyDescent="0.25">
      <c r="A34" s="245"/>
      <c r="B34" s="600" t="s">
        <v>102</v>
      </c>
      <c r="C34" s="601"/>
      <c r="D34" s="601"/>
      <c r="E34" s="602"/>
      <c r="F34" s="246">
        <v>48</v>
      </c>
      <c r="G34" s="254" t="s">
        <v>1</v>
      </c>
      <c r="H34" s="247">
        <v>330</v>
      </c>
      <c r="I34" s="248">
        <f>H34*F34</f>
        <v>15840</v>
      </c>
      <c r="J34" s="249"/>
      <c r="K34" s="250"/>
      <c r="L34" s="251">
        <f t="shared" si="16"/>
        <v>0</v>
      </c>
      <c r="M34" s="252"/>
      <c r="N34" s="252">
        <f t="shared" si="17"/>
        <v>0</v>
      </c>
      <c r="O34" s="251">
        <f t="shared" si="18"/>
        <v>0</v>
      </c>
      <c r="P34" s="248">
        <f t="shared" si="19"/>
        <v>0</v>
      </c>
      <c r="Q34" s="399"/>
    </row>
    <row r="35" spans="1:17" s="239" customFormat="1" ht="24" customHeight="1" x14ac:dyDescent="0.25">
      <c r="A35" s="245" t="s">
        <v>108</v>
      </c>
      <c r="B35" s="596" t="s">
        <v>109</v>
      </c>
      <c r="C35" s="597"/>
      <c r="D35" s="597"/>
      <c r="E35" s="598"/>
      <c r="F35" s="246"/>
      <c r="G35" s="254"/>
      <c r="H35" s="247"/>
      <c r="I35" s="248"/>
      <c r="J35" s="249"/>
      <c r="K35" s="250"/>
      <c r="L35" s="251"/>
      <c r="M35" s="252"/>
      <c r="N35" s="252"/>
      <c r="O35" s="251"/>
      <c r="P35" s="248"/>
      <c r="Q35" s="399"/>
    </row>
    <row r="36" spans="1:17" ht="19.5" customHeight="1" x14ac:dyDescent="0.25">
      <c r="A36" s="245"/>
      <c r="B36" s="600" t="s">
        <v>101</v>
      </c>
      <c r="C36" s="601"/>
      <c r="D36" s="601"/>
      <c r="E36" s="602"/>
      <c r="F36" s="246">
        <v>2.65</v>
      </c>
      <c r="G36" s="254" t="s">
        <v>103</v>
      </c>
      <c r="H36" s="247">
        <v>19925</v>
      </c>
      <c r="I36" s="248">
        <f>H36*F36</f>
        <v>52801.25</v>
      </c>
      <c r="J36" s="249"/>
      <c r="K36" s="250">
        <v>2.65</v>
      </c>
      <c r="L36" s="251">
        <f t="shared" ref="L36:L37" si="20">M36-K36</f>
        <v>0</v>
      </c>
      <c r="M36" s="252">
        <v>2.65</v>
      </c>
      <c r="N36" s="252">
        <f>+K36*H36</f>
        <v>52801.25</v>
      </c>
      <c r="O36" s="251">
        <f>P36-N36</f>
        <v>0</v>
      </c>
      <c r="P36" s="248">
        <f>H36*M36</f>
        <v>52801.25</v>
      </c>
      <c r="Q36" s="399"/>
    </row>
    <row r="37" spans="1:17" s="239" customFormat="1" ht="33.75" customHeight="1" x14ac:dyDescent="0.25">
      <c r="A37" s="245"/>
      <c r="B37" s="600" t="s">
        <v>102</v>
      </c>
      <c r="C37" s="601"/>
      <c r="D37" s="601"/>
      <c r="E37" s="602"/>
      <c r="F37" s="246">
        <v>48</v>
      </c>
      <c r="G37" s="254" t="s">
        <v>1</v>
      </c>
      <c r="H37" s="247">
        <v>330</v>
      </c>
      <c r="I37" s="248">
        <f>H37*F37</f>
        <v>15840</v>
      </c>
      <c r="J37" s="249"/>
      <c r="K37" s="250">
        <v>40</v>
      </c>
      <c r="L37" s="251">
        <f t="shared" si="20"/>
        <v>0</v>
      </c>
      <c r="M37" s="252">
        <v>40</v>
      </c>
      <c r="N37" s="252">
        <f>+K37*H37</f>
        <v>13200</v>
      </c>
      <c r="O37" s="251">
        <f t="shared" ref="O37" si="21">P37-N37</f>
        <v>0</v>
      </c>
      <c r="P37" s="248">
        <f t="shared" ref="P37" si="22">H37*M37</f>
        <v>13200</v>
      </c>
      <c r="Q37" s="399"/>
    </row>
    <row r="38" spans="1:17" s="243" customFormat="1" ht="36.75" customHeight="1" x14ac:dyDescent="0.25">
      <c r="A38" s="253"/>
      <c r="B38" s="555" t="s">
        <v>110</v>
      </c>
      <c r="C38" s="556"/>
      <c r="D38" s="556"/>
      <c r="E38" s="557"/>
      <c r="F38" s="254"/>
      <c r="G38" s="269"/>
      <c r="H38" s="247"/>
      <c r="I38" s="248"/>
      <c r="J38" s="249"/>
      <c r="K38" s="250"/>
      <c r="L38" s="251"/>
      <c r="M38" s="252"/>
      <c r="N38" s="252"/>
      <c r="O38" s="251"/>
      <c r="P38" s="248"/>
      <c r="Q38" s="399"/>
    </row>
    <row r="39" spans="1:17" s="243" customFormat="1" ht="33" customHeight="1" x14ac:dyDescent="0.25">
      <c r="A39" s="253"/>
      <c r="B39" s="555"/>
      <c r="C39" s="556"/>
      <c r="D39" s="556"/>
      <c r="E39" s="557"/>
      <c r="F39" s="254"/>
      <c r="G39" s="269"/>
      <c r="H39" s="247"/>
      <c r="I39" s="248"/>
      <c r="J39" s="249"/>
      <c r="K39" s="250"/>
      <c r="L39" s="251"/>
      <c r="M39" s="252"/>
      <c r="N39" s="252"/>
      <c r="O39" s="251"/>
      <c r="P39" s="248"/>
      <c r="Q39" s="399"/>
    </row>
    <row r="40" spans="1:17" s="243" customFormat="1" ht="15.6" x14ac:dyDescent="0.25">
      <c r="A40" s="253"/>
      <c r="B40" s="555"/>
      <c r="C40" s="556"/>
      <c r="D40" s="556"/>
      <c r="E40" s="557"/>
      <c r="F40" s="254"/>
      <c r="G40" s="254"/>
      <c r="H40" s="247"/>
      <c r="I40" s="248"/>
      <c r="J40" s="249"/>
      <c r="K40" s="250"/>
      <c r="L40" s="251"/>
      <c r="M40" s="252"/>
      <c r="N40" s="252"/>
      <c r="O40" s="251"/>
      <c r="P40" s="248"/>
      <c r="Q40" s="399"/>
    </row>
    <row r="41" spans="1:17" s="243" customFormat="1" ht="16.2" thickBot="1" x14ac:dyDescent="0.3">
      <c r="A41" s="259"/>
      <c r="B41" s="558"/>
      <c r="C41" s="559"/>
      <c r="D41" s="559"/>
      <c r="E41" s="560"/>
      <c r="F41" s="260"/>
      <c r="G41" s="261"/>
      <c r="H41" s="262"/>
      <c r="I41" s="263"/>
      <c r="J41" s="264"/>
      <c r="K41" s="265"/>
      <c r="L41" s="266"/>
      <c r="M41" s="267"/>
      <c r="N41" s="267"/>
      <c r="O41" s="266"/>
      <c r="P41" s="263"/>
      <c r="Q41" s="399"/>
    </row>
    <row r="42" spans="1:17" s="239" customFormat="1" ht="119.25" customHeight="1" thickTop="1" x14ac:dyDescent="0.25">
      <c r="A42" s="245">
        <v>3</v>
      </c>
      <c r="B42" s="535" t="s">
        <v>244</v>
      </c>
      <c r="C42" s="536"/>
      <c r="D42" s="536"/>
      <c r="E42" s="537"/>
      <c r="F42" s="246"/>
      <c r="G42" s="254"/>
      <c r="H42" s="247"/>
      <c r="I42" s="248"/>
      <c r="J42" s="268">
        <f>SUM(I45:I76)</f>
        <v>990726.50049999997</v>
      </c>
      <c r="K42" s="250"/>
      <c r="L42" s="251"/>
      <c r="M42" s="252"/>
      <c r="N42" s="252"/>
      <c r="O42" s="251"/>
      <c r="P42" s="248"/>
      <c r="Q42" s="398"/>
    </row>
    <row r="43" spans="1:17" s="239" customFormat="1" ht="33" customHeight="1" x14ac:dyDescent="0.25">
      <c r="A43" s="245"/>
      <c r="B43" s="549" t="s">
        <v>112</v>
      </c>
      <c r="C43" s="550"/>
      <c r="D43" s="550"/>
      <c r="E43" s="551"/>
      <c r="F43" s="254"/>
      <c r="G43" s="269"/>
      <c r="H43" s="247"/>
      <c r="I43" s="248"/>
      <c r="J43" s="249"/>
      <c r="K43" s="250"/>
      <c r="L43" s="251"/>
      <c r="M43" s="252"/>
      <c r="N43" s="252"/>
      <c r="O43" s="251"/>
      <c r="P43" s="248"/>
      <c r="Q43" s="399"/>
    </row>
    <row r="44" spans="1:17" s="243" customFormat="1" ht="23.25" customHeight="1" x14ac:dyDescent="0.25">
      <c r="A44" s="253" t="s">
        <v>3</v>
      </c>
      <c r="B44" s="552" t="s">
        <v>113</v>
      </c>
      <c r="C44" s="553"/>
      <c r="D44" s="553"/>
      <c r="E44" s="554"/>
      <c r="F44" s="254"/>
      <c r="G44" s="269"/>
      <c r="H44" s="247"/>
      <c r="I44" s="248"/>
      <c r="J44" s="249"/>
      <c r="K44" s="250"/>
      <c r="L44" s="251"/>
      <c r="M44" s="252"/>
      <c r="N44" s="252"/>
      <c r="O44" s="251"/>
      <c r="P44" s="248"/>
      <c r="Q44" s="399"/>
    </row>
    <row r="45" spans="1:17" s="243" customFormat="1" ht="19.5" customHeight="1" x14ac:dyDescent="0.25">
      <c r="A45" s="253"/>
      <c r="B45" s="555" t="s">
        <v>114</v>
      </c>
      <c r="C45" s="556"/>
      <c r="D45" s="556"/>
      <c r="E45" s="557"/>
      <c r="F45" s="270">
        <v>4385.4799999999996</v>
      </c>
      <c r="G45" s="269" t="s">
        <v>117</v>
      </c>
      <c r="H45" s="247">
        <v>16.95</v>
      </c>
      <c r="I45" s="248">
        <f>H45*F45</f>
        <v>74333.885999999984</v>
      </c>
      <c r="J45" s="249"/>
      <c r="K45" s="250">
        <v>2285</v>
      </c>
      <c r="L45" s="251">
        <f t="shared" ref="L45:L46" si="23">M45-K45</f>
        <v>0</v>
      </c>
      <c r="M45" s="252">
        <f>200+2085</f>
        <v>2285</v>
      </c>
      <c r="N45" s="252">
        <f>+K45*H45</f>
        <v>38730.75</v>
      </c>
      <c r="O45" s="251">
        <f>P45-N45</f>
        <v>0</v>
      </c>
      <c r="P45" s="248">
        <f t="shared" ref="P45:P47" si="24">H45*M45</f>
        <v>38730.75</v>
      </c>
      <c r="Q45" s="399"/>
    </row>
    <row r="46" spans="1:17" s="243" customFormat="1" ht="19.5" customHeight="1" x14ac:dyDescent="0.25">
      <c r="A46" s="253"/>
      <c r="B46" s="555" t="s">
        <v>115</v>
      </c>
      <c r="C46" s="556"/>
      <c r="D46" s="556"/>
      <c r="E46" s="557"/>
      <c r="F46" s="270">
        <v>54.825022222222202</v>
      </c>
      <c r="G46" s="269" t="s">
        <v>5</v>
      </c>
      <c r="H46" s="247">
        <v>225</v>
      </c>
      <c r="I46" s="248">
        <f>H46*F46</f>
        <v>12335.629999999996</v>
      </c>
      <c r="J46" s="249"/>
      <c r="K46" s="250"/>
      <c r="L46" s="251">
        <f t="shared" si="23"/>
        <v>0</v>
      </c>
      <c r="M46" s="252"/>
      <c r="N46" s="252">
        <f t="shared" ref="N46:N47" si="25">+K46*H46</f>
        <v>0</v>
      </c>
      <c r="O46" s="251">
        <f t="shared" ref="O46:O47" si="26">P46-N46</f>
        <v>0</v>
      </c>
      <c r="P46" s="248">
        <f t="shared" si="24"/>
        <v>0</v>
      </c>
      <c r="Q46" s="399"/>
    </row>
    <row r="47" spans="1:17" s="243" customFormat="1" ht="36" customHeight="1" x14ac:dyDescent="0.25">
      <c r="A47" s="253"/>
      <c r="B47" s="555" t="s">
        <v>116</v>
      </c>
      <c r="C47" s="556"/>
      <c r="D47" s="556"/>
      <c r="E47" s="557"/>
      <c r="F47" s="270">
        <v>66.94</v>
      </c>
      <c r="G47" s="269" t="s">
        <v>5</v>
      </c>
      <c r="H47" s="247">
        <v>380</v>
      </c>
      <c r="I47" s="248">
        <f>H47*F47</f>
        <v>25437.200000000001</v>
      </c>
      <c r="J47" s="249"/>
      <c r="K47" s="250">
        <v>65.88</v>
      </c>
      <c r="L47" s="251">
        <f>M47-K47</f>
        <v>0</v>
      </c>
      <c r="M47" s="252">
        <v>65.88</v>
      </c>
      <c r="N47" s="252">
        <f t="shared" si="25"/>
        <v>25034.399999999998</v>
      </c>
      <c r="O47" s="251">
        <f t="shared" si="26"/>
        <v>0</v>
      </c>
      <c r="P47" s="248">
        <f t="shared" si="24"/>
        <v>25034.399999999998</v>
      </c>
      <c r="Q47" s="399"/>
    </row>
    <row r="48" spans="1:17" s="239" customFormat="1" ht="23.25" customHeight="1" x14ac:dyDescent="0.25">
      <c r="A48" s="245" t="s">
        <v>15</v>
      </c>
      <c r="B48" s="596" t="s">
        <v>118</v>
      </c>
      <c r="C48" s="597"/>
      <c r="D48" s="597"/>
      <c r="E48" s="598"/>
      <c r="F48" s="270"/>
      <c r="G48" s="269"/>
      <c r="H48" s="247"/>
      <c r="I48" s="248"/>
      <c r="J48" s="249"/>
      <c r="K48" s="250"/>
      <c r="L48" s="251"/>
      <c r="M48" s="252"/>
      <c r="N48" s="252"/>
      <c r="O48" s="251"/>
      <c r="P48" s="248"/>
      <c r="Q48" s="399"/>
    </row>
    <row r="49" spans="1:17" s="243" customFormat="1" ht="21.75" customHeight="1" x14ac:dyDescent="0.25">
      <c r="A49" s="253"/>
      <c r="B49" s="555" t="s">
        <v>114</v>
      </c>
      <c r="C49" s="556"/>
      <c r="D49" s="556"/>
      <c r="E49" s="557"/>
      <c r="F49" s="270">
        <v>3919.75</v>
      </c>
      <c r="G49" s="269" t="s">
        <v>117</v>
      </c>
      <c r="H49" s="247">
        <v>16.95</v>
      </c>
      <c r="I49" s="248">
        <f>H49*F49</f>
        <v>66439.762499999997</v>
      </c>
      <c r="J49" s="249"/>
      <c r="K49" s="250">
        <v>2030</v>
      </c>
      <c r="L49" s="251">
        <f t="shared" ref="L49:L50" si="27">M49-K49</f>
        <v>0</v>
      </c>
      <c r="M49" s="252">
        <f>200+1830</f>
        <v>2030</v>
      </c>
      <c r="N49" s="252">
        <f t="shared" ref="N49:N51" si="28">+K49*H49</f>
        <v>34408.5</v>
      </c>
      <c r="O49" s="251">
        <f t="shared" ref="O49:O51" si="29">P49-N49</f>
        <v>0</v>
      </c>
      <c r="P49" s="248">
        <f t="shared" ref="P49:P51" si="30">H49*M49</f>
        <v>34408.5</v>
      </c>
      <c r="Q49" s="399"/>
    </row>
    <row r="50" spans="1:17" s="243" customFormat="1" ht="19.5" customHeight="1" x14ac:dyDescent="0.25">
      <c r="A50" s="253"/>
      <c r="B50" s="555" t="s">
        <v>115</v>
      </c>
      <c r="C50" s="556"/>
      <c r="D50" s="556"/>
      <c r="E50" s="557"/>
      <c r="F50" s="270">
        <v>59.125022222222199</v>
      </c>
      <c r="G50" s="269" t="s">
        <v>5</v>
      </c>
      <c r="H50" s="247">
        <v>225</v>
      </c>
      <c r="I50" s="248">
        <f>H50*F50</f>
        <v>13303.129999999996</v>
      </c>
      <c r="J50" s="249"/>
      <c r="K50" s="250"/>
      <c r="L50" s="251">
        <f t="shared" si="27"/>
        <v>0</v>
      </c>
      <c r="M50" s="252"/>
      <c r="N50" s="252">
        <f t="shared" si="28"/>
        <v>0</v>
      </c>
      <c r="O50" s="251">
        <f t="shared" si="29"/>
        <v>0</v>
      </c>
      <c r="P50" s="248">
        <f t="shared" si="30"/>
        <v>0</v>
      </c>
      <c r="Q50" s="399"/>
    </row>
    <row r="51" spans="1:17" s="243" customFormat="1" ht="31.5" customHeight="1" x14ac:dyDescent="0.25">
      <c r="A51" s="253"/>
      <c r="B51" s="555" t="s">
        <v>116</v>
      </c>
      <c r="C51" s="556"/>
      <c r="D51" s="556"/>
      <c r="E51" s="557"/>
      <c r="F51" s="270">
        <v>69.739999999999995</v>
      </c>
      <c r="G51" s="269" t="s">
        <v>5</v>
      </c>
      <c r="H51" s="247">
        <v>380</v>
      </c>
      <c r="I51" s="248">
        <f>H51*F51</f>
        <v>26501.199999999997</v>
      </c>
      <c r="J51" s="249"/>
      <c r="K51" s="250">
        <v>51.19</v>
      </c>
      <c r="L51" s="251">
        <f>M51-K51</f>
        <v>0</v>
      </c>
      <c r="M51" s="252">
        <v>51.19</v>
      </c>
      <c r="N51" s="252">
        <f t="shared" si="28"/>
        <v>19452.2</v>
      </c>
      <c r="O51" s="251">
        <f t="shared" si="29"/>
        <v>0</v>
      </c>
      <c r="P51" s="248">
        <f t="shared" si="30"/>
        <v>19452.2</v>
      </c>
      <c r="Q51" s="399"/>
    </row>
    <row r="52" spans="1:17" s="239" customFormat="1" ht="27" customHeight="1" x14ac:dyDescent="0.25">
      <c r="A52" s="245" t="s">
        <v>18</v>
      </c>
      <c r="B52" s="596" t="s">
        <v>119</v>
      </c>
      <c r="C52" s="597"/>
      <c r="D52" s="597"/>
      <c r="E52" s="598"/>
      <c r="F52" s="270"/>
      <c r="G52" s="269"/>
      <c r="H52" s="247"/>
      <c r="I52" s="248"/>
      <c r="J52" s="249"/>
      <c r="K52" s="250"/>
      <c r="L52" s="251"/>
      <c r="M52" s="252"/>
      <c r="N52" s="252"/>
      <c r="O52" s="251"/>
      <c r="P52" s="248"/>
      <c r="Q52" s="399"/>
    </row>
    <row r="53" spans="1:17" s="243" customFormat="1" ht="19.5" customHeight="1" x14ac:dyDescent="0.25">
      <c r="A53" s="253"/>
      <c r="B53" s="555" t="s">
        <v>114</v>
      </c>
      <c r="C53" s="556"/>
      <c r="D53" s="556"/>
      <c r="E53" s="557"/>
      <c r="F53" s="270">
        <v>11698.2</v>
      </c>
      <c r="G53" s="269" t="s">
        <v>117</v>
      </c>
      <c r="H53" s="247">
        <v>16.95</v>
      </c>
      <c r="I53" s="248">
        <f>H53*F53</f>
        <v>198284.49</v>
      </c>
      <c r="J53" s="249"/>
      <c r="K53" s="250">
        <f>5690+1018</f>
        <v>6708</v>
      </c>
      <c r="L53" s="251">
        <f>M53-K53</f>
        <v>0</v>
      </c>
      <c r="M53" s="252">
        <v>6708</v>
      </c>
      <c r="N53" s="252">
        <f t="shared" ref="N53:N55" si="31">+K53*H53</f>
        <v>113700.59999999999</v>
      </c>
      <c r="O53" s="251">
        <f t="shared" ref="O53:O55" si="32">P53-N53</f>
        <v>0</v>
      </c>
      <c r="P53" s="248">
        <f t="shared" ref="P53:P55" si="33">H53*M53</f>
        <v>113700.59999999999</v>
      </c>
      <c r="Q53" s="399"/>
    </row>
    <row r="54" spans="1:17" s="243" customFormat="1" ht="19.5" customHeight="1" x14ac:dyDescent="0.25">
      <c r="A54" s="253"/>
      <c r="B54" s="555" t="s">
        <v>115</v>
      </c>
      <c r="C54" s="556"/>
      <c r="D54" s="556"/>
      <c r="E54" s="557"/>
      <c r="F54" s="270">
        <v>133.77000000000001</v>
      </c>
      <c r="G54" s="269" t="s">
        <v>5</v>
      </c>
      <c r="H54" s="247">
        <v>225</v>
      </c>
      <c r="I54" s="248">
        <f>H54*F54</f>
        <v>30098.250000000004</v>
      </c>
      <c r="J54" s="249"/>
      <c r="K54" s="250"/>
      <c r="L54" s="251">
        <f t="shared" ref="L54" si="34">M54-K54</f>
        <v>0</v>
      </c>
      <c r="M54" s="252"/>
      <c r="N54" s="252">
        <f t="shared" si="31"/>
        <v>0</v>
      </c>
      <c r="O54" s="251">
        <f t="shared" si="32"/>
        <v>0</v>
      </c>
      <c r="P54" s="248">
        <f t="shared" si="33"/>
        <v>0</v>
      </c>
      <c r="Q54" s="399"/>
    </row>
    <row r="55" spans="1:17" s="243" customFormat="1" ht="34.5" customHeight="1" x14ac:dyDescent="0.25">
      <c r="A55" s="253"/>
      <c r="B55" s="555" t="s">
        <v>116</v>
      </c>
      <c r="C55" s="556"/>
      <c r="D55" s="556"/>
      <c r="E55" s="557"/>
      <c r="F55" s="270">
        <v>207.87</v>
      </c>
      <c r="G55" s="269" t="s">
        <v>5</v>
      </c>
      <c r="H55" s="247">
        <v>380</v>
      </c>
      <c r="I55" s="248">
        <f>H55*F55</f>
        <v>78990.600000000006</v>
      </c>
      <c r="J55" s="249"/>
      <c r="K55" s="250">
        <v>153.57</v>
      </c>
      <c r="L55" s="251">
        <f>M55-K55</f>
        <v>0</v>
      </c>
      <c r="M55" s="252">
        <f>51.19+51.19+51.19</f>
        <v>153.57</v>
      </c>
      <c r="N55" s="252">
        <f t="shared" si="31"/>
        <v>58356.6</v>
      </c>
      <c r="O55" s="251">
        <f t="shared" si="32"/>
        <v>0</v>
      </c>
      <c r="P55" s="248">
        <f t="shared" si="33"/>
        <v>58356.6</v>
      </c>
      <c r="Q55" s="399"/>
    </row>
    <row r="56" spans="1:17" s="243" customFormat="1" ht="23.25" customHeight="1" x14ac:dyDescent="0.25">
      <c r="A56" s="253" t="s">
        <v>47</v>
      </c>
      <c r="B56" s="552" t="s">
        <v>120</v>
      </c>
      <c r="C56" s="553"/>
      <c r="D56" s="553"/>
      <c r="E56" s="554"/>
      <c r="F56" s="270"/>
      <c r="G56" s="269"/>
      <c r="H56" s="247"/>
      <c r="I56" s="248"/>
      <c r="J56" s="249"/>
      <c r="K56" s="250"/>
      <c r="L56" s="251"/>
      <c r="M56" s="252"/>
      <c r="N56" s="252"/>
      <c r="O56" s="251"/>
      <c r="P56" s="248"/>
      <c r="Q56" s="399"/>
    </row>
    <row r="57" spans="1:17" s="243" customFormat="1" ht="19.5" customHeight="1" x14ac:dyDescent="0.25">
      <c r="A57" s="253"/>
      <c r="B57" s="555" t="s">
        <v>114</v>
      </c>
      <c r="C57" s="556"/>
      <c r="D57" s="556"/>
      <c r="E57" s="557"/>
      <c r="F57" s="270">
        <v>3899.4</v>
      </c>
      <c r="G57" s="269" t="s">
        <v>117</v>
      </c>
      <c r="H57" s="247">
        <v>16.95</v>
      </c>
      <c r="I57" s="248">
        <f>H57*F57</f>
        <v>66094.83</v>
      </c>
      <c r="J57" s="249"/>
      <c r="K57" s="250">
        <f>2030+206</f>
        <v>2236</v>
      </c>
      <c r="L57" s="251">
        <f t="shared" ref="L57:L58" si="35">M57-K57</f>
        <v>0</v>
      </c>
      <c r="M57" s="252">
        <v>2236</v>
      </c>
      <c r="N57" s="252">
        <f t="shared" ref="N57:N59" si="36">+K57*H57</f>
        <v>37900.199999999997</v>
      </c>
      <c r="O57" s="251">
        <f t="shared" ref="O57:O59" si="37">P57-N57</f>
        <v>0</v>
      </c>
      <c r="P57" s="248">
        <f t="shared" ref="P57:P59" si="38">H57*M57</f>
        <v>37900.199999999997</v>
      </c>
      <c r="Q57" s="399"/>
    </row>
    <row r="58" spans="1:17" s="243" customFormat="1" ht="19.5" customHeight="1" x14ac:dyDescent="0.25">
      <c r="A58" s="253"/>
      <c r="B58" s="555" t="s">
        <v>115</v>
      </c>
      <c r="C58" s="556"/>
      <c r="D58" s="556"/>
      <c r="E58" s="557"/>
      <c r="F58" s="270">
        <v>116.7</v>
      </c>
      <c r="G58" s="269" t="s">
        <v>5</v>
      </c>
      <c r="H58" s="247">
        <v>225</v>
      </c>
      <c r="I58" s="248">
        <f>H58*F58</f>
        <v>26257.5</v>
      </c>
      <c r="J58" s="249"/>
      <c r="K58" s="250"/>
      <c r="L58" s="251">
        <f t="shared" si="35"/>
        <v>0</v>
      </c>
      <c r="M58" s="252"/>
      <c r="N58" s="252">
        <f t="shared" si="36"/>
        <v>0</v>
      </c>
      <c r="O58" s="251">
        <f t="shared" si="37"/>
        <v>0</v>
      </c>
      <c r="P58" s="248">
        <f t="shared" si="38"/>
        <v>0</v>
      </c>
      <c r="Q58" s="399"/>
    </row>
    <row r="59" spans="1:17" s="243" customFormat="1" ht="27.75" customHeight="1" x14ac:dyDescent="0.25">
      <c r="A59" s="253"/>
      <c r="B59" s="555" t="s">
        <v>116</v>
      </c>
      <c r="C59" s="556"/>
      <c r="D59" s="556"/>
      <c r="E59" s="557"/>
      <c r="F59" s="270">
        <v>69.290000000000006</v>
      </c>
      <c r="G59" s="269" t="s">
        <v>5</v>
      </c>
      <c r="H59" s="247">
        <v>380</v>
      </c>
      <c r="I59" s="248">
        <f>H59*F59</f>
        <v>26330.2</v>
      </c>
      <c r="J59" s="249"/>
      <c r="K59" s="250">
        <v>51.19</v>
      </c>
      <c r="L59" s="251">
        <f>M59-K59</f>
        <v>0</v>
      </c>
      <c r="M59" s="252">
        <v>51.19</v>
      </c>
      <c r="N59" s="252">
        <f t="shared" si="36"/>
        <v>19452.2</v>
      </c>
      <c r="O59" s="251">
        <f t="shared" si="37"/>
        <v>0</v>
      </c>
      <c r="P59" s="248">
        <f t="shared" si="38"/>
        <v>19452.2</v>
      </c>
      <c r="Q59" s="399"/>
    </row>
    <row r="60" spans="1:17" s="243" customFormat="1" ht="30" customHeight="1" x14ac:dyDescent="0.25">
      <c r="A60" s="253"/>
      <c r="B60" s="549" t="s">
        <v>121</v>
      </c>
      <c r="C60" s="550"/>
      <c r="D60" s="550"/>
      <c r="E60" s="551"/>
      <c r="F60" s="254"/>
      <c r="G60" s="254"/>
      <c r="H60" s="247"/>
      <c r="I60" s="248"/>
      <c r="J60" s="249"/>
      <c r="K60" s="250"/>
      <c r="L60" s="251"/>
      <c r="M60" s="252"/>
      <c r="N60" s="252"/>
      <c r="O60" s="251"/>
      <c r="P60" s="248"/>
      <c r="Q60" s="399"/>
    </row>
    <row r="61" spans="1:17" s="243" customFormat="1" ht="23.25" customHeight="1" x14ac:dyDescent="0.25">
      <c r="A61" s="253" t="s">
        <v>93</v>
      </c>
      <c r="B61" s="552" t="s">
        <v>122</v>
      </c>
      <c r="C61" s="553"/>
      <c r="D61" s="553"/>
      <c r="E61" s="554"/>
      <c r="F61" s="270"/>
      <c r="G61" s="269"/>
      <c r="H61" s="247"/>
      <c r="I61" s="248"/>
      <c r="J61" s="249"/>
      <c r="K61" s="250"/>
      <c r="L61" s="251"/>
      <c r="M61" s="252"/>
      <c r="N61" s="252"/>
      <c r="O61" s="251"/>
      <c r="P61" s="248"/>
      <c r="Q61" s="399"/>
    </row>
    <row r="62" spans="1:17" s="243" customFormat="1" ht="22.5" customHeight="1" x14ac:dyDescent="0.25">
      <c r="A62" s="253"/>
      <c r="B62" s="555" t="s">
        <v>114</v>
      </c>
      <c r="C62" s="556"/>
      <c r="D62" s="556"/>
      <c r="E62" s="557"/>
      <c r="F62" s="270">
        <v>3193.19</v>
      </c>
      <c r="G62" s="269" t="s">
        <v>117</v>
      </c>
      <c r="H62" s="247">
        <v>16.95</v>
      </c>
      <c r="I62" s="248">
        <f>H62*F62</f>
        <v>54124.570500000002</v>
      </c>
      <c r="J62" s="249"/>
      <c r="K62" s="250">
        <v>2235.23</v>
      </c>
      <c r="L62" s="251">
        <f t="shared" ref="L62:L63" si="39">M62-K62</f>
        <v>957.96</v>
      </c>
      <c r="M62" s="252">
        <f>F62</f>
        <v>3193.19</v>
      </c>
      <c r="N62" s="252">
        <f t="shared" ref="N62:N64" si="40">+K62*H62</f>
        <v>37887.148499999996</v>
      </c>
      <c r="O62" s="251">
        <f t="shared" ref="O62:O64" si="41">P62-N62</f>
        <v>16237.422000000006</v>
      </c>
      <c r="P62" s="440">
        <f t="shared" ref="P62:P64" si="42">H62*M62</f>
        <v>54124.570500000002</v>
      </c>
      <c r="Q62" s="524" t="s">
        <v>310</v>
      </c>
    </row>
    <row r="63" spans="1:17" s="243" customFormat="1" ht="25.5" customHeight="1" x14ac:dyDescent="0.25">
      <c r="A63" s="253"/>
      <c r="B63" s="555" t="s">
        <v>115</v>
      </c>
      <c r="C63" s="556"/>
      <c r="D63" s="556"/>
      <c r="E63" s="557"/>
      <c r="F63" s="270">
        <v>35.853022222222201</v>
      </c>
      <c r="G63" s="269" t="s">
        <v>5</v>
      </c>
      <c r="H63" s="247">
        <v>225</v>
      </c>
      <c r="I63" s="248">
        <f>H63*F63</f>
        <v>8066.9299999999948</v>
      </c>
      <c r="J63" s="249"/>
      <c r="K63" s="250">
        <v>25.1</v>
      </c>
      <c r="L63" s="251">
        <f t="shared" si="39"/>
        <v>10.753022222222199</v>
      </c>
      <c r="M63" s="446">
        <f t="shared" ref="M63:M64" si="43">F63</f>
        <v>35.853022222222201</v>
      </c>
      <c r="N63" s="252">
        <f t="shared" si="40"/>
        <v>5647.5</v>
      </c>
      <c r="O63" s="251">
        <f t="shared" si="41"/>
        <v>2419.4299999999948</v>
      </c>
      <c r="P63" s="440">
        <f t="shared" si="42"/>
        <v>8066.9299999999948</v>
      </c>
      <c r="Q63" s="524"/>
    </row>
    <row r="64" spans="1:17" s="243" customFormat="1" ht="35.25" customHeight="1" x14ac:dyDescent="0.25">
      <c r="A64" s="253"/>
      <c r="B64" s="555" t="s">
        <v>116</v>
      </c>
      <c r="C64" s="556"/>
      <c r="D64" s="556"/>
      <c r="E64" s="557"/>
      <c r="F64" s="270">
        <v>58.14</v>
      </c>
      <c r="G64" s="269" t="s">
        <v>5</v>
      </c>
      <c r="H64" s="247">
        <v>380</v>
      </c>
      <c r="I64" s="248">
        <f>H64*F64</f>
        <v>22093.200000000001</v>
      </c>
      <c r="J64" s="249"/>
      <c r="K64" s="250">
        <v>40.700000000000003</v>
      </c>
      <c r="L64" s="251">
        <f>M64-K64</f>
        <v>17.439999999999998</v>
      </c>
      <c r="M64" s="446">
        <f t="shared" si="43"/>
        <v>58.14</v>
      </c>
      <c r="N64" s="252">
        <f t="shared" si="40"/>
        <v>15466.000000000002</v>
      </c>
      <c r="O64" s="251">
        <f t="shared" si="41"/>
        <v>6627.1999999999989</v>
      </c>
      <c r="P64" s="440">
        <f t="shared" si="42"/>
        <v>22093.200000000001</v>
      </c>
      <c r="Q64" s="524"/>
    </row>
    <row r="65" spans="1:17" s="239" customFormat="1" ht="33.75" customHeight="1" x14ac:dyDescent="0.25">
      <c r="A65" s="245" t="s">
        <v>108</v>
      </c>
      <c r="B65" s="596" t="s">
        <v>123</v>
      </c>
      <c r="C65" s="597"/>
      <c r="D65" s="597"/>
      <c r="E65" s="598"/>
      <c r="F65" s="270"/>
      <c r="G65" s="269"/>
      <c r="H65" s="247"/>
      <c r="I65" s="248"/>
      <c r="J65" s="249"/>
      <c r="K65" s="250"/>
      <c r="L65" s="251"/>
      <c r="M65" s="252"/>
      <c r="N65" s="252"/>
      <c r="O65" s="417"/>
      <c r="P65" s="440"/>
      <c r="Q65" s="399"/>
    </row>
    <row r="66" spans="1:17" s="243" customFormat="1" ht="30.75" customHeight="1" x14ac:dyDescent="0.25">
      <c r="A66" s="253"/>
      <c r="B66" s="555" t="s">
        <v>114</v>
      </c>
      <c r="C66" s="556"/>
      <c r="D66" s="556"/>
      <c r="E66" s="557"/>
      <c r="F66" s="270">
        <v>3193.19</v>
      </c>
      <c r="G66" s="269" t="s">
        <v>117</v>
      </c>
      <c r="H66" s="247">
        <v>16.95</v>
      </c>
      <c r="I66" s="248">
        <f>H66*F66</f>
        <v>54124.570500000002</v>
      </c>
      <c r="J66" s="249"/>
      <c r="K66" s="250">
        <v>2235.2329999999997</v>
      </c>
      <c r="L66" s="251">
        <f t="shared" ref="L66:L67" si="44">M66-K66</f>
        <v>957.95700000000033</v>
      </c>
      <c r="M66" s="270">
        <f>F66</f>
        <v>3193.19</v>
      </c>
      <c r="N66" s="252">
        <f t="shared" ref="N66:N68" si="45">+K66*H66</f>
        <v>37887.199349999995</v>
      </c>
      <c r="O66" s="417">
        <f t="shared" ref="O66:O68" si="46">P66-N66</f>
        <v>16237.371150000006</v>
      </c>
      <c r="P66" s="440">
        <f t="shared" ref="P66:P68" si="47">H66*M66</f>
        <v>54124.570500000002</v>
      </c>
      <c r="Q66" s="399" t="s">
        <v>301</v>
      </c>
    </row>
    <row r="67" spans="1:17" s="243" customFormat="1" ht="33" customHeight="1" x14ac:dyDescent="0.25">
      <c r="A67" s="253"/>
      <c r="B67" s="555" t="s">
        <v>115</v>
      </c>
      <c r="C67" s="556"/>
      <c r="D67" s="556"/>
      <c r="E67" s="557"/>
      <c r="F67" s="270">
        <v>35.853022222222201</v>
      </c>
      <c r="G67" s="269" t="s">
        <v>5</v>
      </c>
      <c r="H67" s="247">
        <v>225</v>
      </c>
      <c r="I67" s="248">
        <f>H67*F67</f>
        <v>8066.9299999999948</v>
      </c>
      <c r="J67" s="249"/>
      <c r="K67" s="250"/>
      <c r="L67" s="251">
        <f t="shared" si="44"/>
        <v>35.853022222222201</v>
      </c>
      <c r="M67" s="270">
        <f t="shared" ref="M67:M68" si="48">F67</f>
        <v>35.853022222222201</v>
      </c>
      <c r="N67" s="252">
        <f t="shared" si="45"/>
        <v>0</v>
      </c>
      <c r="O67" s="417">
        <f t="shared" si="46"/>
        <v>8066.9299999999948</v>
      </c>
      <c r="P67" s="440">
        <f t="shared" si="47"/>
        <v>8066.9299999999948</v>
      </c>
      <c r="Q67" s="399" t="s">
        <v>301</v>
      </c>
    </row>
    <row r="68" spans="1:17" s="243" customFormat="1" ht="34.5" customHeight="1" x14ac:dyDescent="0.25">
      <c r="A68" s="253"/>
      <c r="B68" s="555" t="s">
        <v>246</v>
      </c>
      <c r="C68" s="556"/>
      <c r="D68" s="556"/>
      <c r="E68" s="557"/>
      <c r="F68" s="270">
        <v>58.14</v>
      </c>
      <c r="G68" s="269" t="s">
        <v>5</v>
      </c>
      <c r="H68" s="247">
        <v>380</v>
      </c>
      <c r="I68" s="248">
        <f>H68*F68</f>
        <v>22093.200000000001</v>
      </c>
      <c r="J68" s="249"/>
      <c r="K68" s="250"/>
      <c r="L68" s="251">
        <f>M68-K68</f>
        <v>58.14</v>
      </c>
      <c r="M68" s="270">
        <f t="shared" si="48"/>
        <v>58.14</v>
      </c>
      <c r="N68" s="252">
        <f t="shared" si="45"/>
        <v>0</v>
      </c>
      <c r="O68" s="417">
        <f t="shared" si="46"/>
        <v>22093.200000000001</v>
      </c>
      <c r="P68" s="440">
        <f t="shared" si="47"/>
        <v>22093.200000000001</v>
      </c>
      <c r="Q68" s="399" t="s">
        <v>301</v>
      </c>
    </row>
    <row r="69" spans="1:17" s="243" customFormat="1" ht="23.25" customHeight="1" x14ac:dyDescent="0.25">
      <c r="A69" s="253" t="s">
        <v>124</v>
      </c>
      <c r="B69" s="552" t="s">
        <v>125</v>
      </c>
      <c r="C69" s="553"/>
      <c r="D69" s="553"/>
      <c r="E69" s="554"/>
      <c r="F69" s="270"/>
      <c r="G69" s="269"/>
      <c r="H69" s="247"/>
      <c r="I69" s="248"/>
      <c r="J69" s="249"/>
      <c r="K69" s="250"/>
      <c r="L69" s="251"/>
      <c r="M69" s="252"/>
      <c r="N69" s="252"/>
      <c r="O69" s="417"/>
      <c r="P69" s="248"/>
      <c r="Q69" s="399"/>
    </row>
    <row r="70" spans="1:17" s="243" customFormat="1" ht="33.75" customHeight="1" x14ac:dyDescent="0.25">
      <c r="A70" s="253"/>
      <c r="B70" s="555" t="s">
        <v>114</v>
      </c>
      <c r="C70" s="556"/>
      <c r="D70" s="556"/>
      <c r="E70" s="557"/>
      <c r="F70" s="270">
        <v>3213.87</v>
      </c>
      <c r="G70" s="269" t="s">
        <v>117</v>
      </c>
      <c r="H70" s="247">
        <v>16.95</v>
      </c>
      <c r="I70" s="248">
        <f>H70*F70</f>
        <v>54475.096499999992</v>
      </c>
      <c r="J70" s="249"/>
      <c r="K70" s="250">
        <v>2249.7089999999998</v>
      </c>
      <c r="L70" s="251">
        <f t="shared" ref="L70:L71" si="49">M70-K70</f>
        <v>964.16100000000006</v>
      </c>
      <c r="M70" s="270">
        <f>F70</f>
        <v>3213.87</v>
      </c>
      <c r="N70" s="252">
        <f t="shared" ref="N70:N72" si="50">+K70*H70</f>
        <v>38132.567549999992</v>
      </c>
      <c r="O70" s="417">
        <f t="shared" ref="O70:O72" si="51">P70-N70</f>
        <v>16342.52895</v>
      </c>
      <c r="P70" s="440">
        <f t="shared" ref="P70:P72" si="52">H70*M70</f>
        <v>54475.096499999992</v>
      </c>
      <c r="Q70" s="445" t="s">
        <v>311</v>
      </c>
    </row>
    <row r="71" spans="1:17" s="243" customFormat="1" ht="31.5" customHeight="1" x14ac:dyDescent="0.25">
      <c r="A71" s="253"/>
      <c r="B71" s="555" t="s">
        <v>115</v>
      </c>
      <c r="C71" s="556"/>
      <c r="D71" s="556"/>
      <c r="E71" s="557"/>
      <c r="F71" s="270">
        <v>35.6310222222222</v>
      </c>
      <c r="G71" s="269" t="s">
        <v>5</v>
      </c>
      <c r="H71" s="247">
        <v>225</v>
      </c>
      <c r="I71" s="248">
        <f>H71*F71</f>
        <v>8016.979999999995</v>
      </c>
      <c r="J71" s="249"/>
      <c r="K71" s="250"/>
      <c r="L71" s="251">
        <f t="shared" si="49"/>
        <v>35.6310222222222</v>
      </c>
      <c r="M71" s="447">
        <f t="shared" ref="M71:M72" si="53">F71</f>
        <v>35.6310222222222</v>
      </c>
      <c r="N71" s="252">
        <f t="shared" si="50"/>
        <v>0</v>
      </c>
      <c r="O71" s="417">
        <f t="shared" si="51"/>
        <v>8016.979999999995</v>
      </c>
      <c r="P71" s="440">
        <f t="shared" si="52"/>
        <v>8016.979999999995</v>
      </c>
      <c r="Q71" s="445" t="s">
        <v>311</v>
      </c>
    </row>
    <row r="72" spans="1:17" s="243" customFormat="1" ht="34.5" customHeight="1" x14ac:dyDescent="0.25">
      <c r="A72" s="253"/>
      <c r="B72" s="555" t="s">
        <v>246</v>
      </c>
      <c r="C72" s="556"/>
      <c r="D72" s="556"/>
      <c r="E72" s="557"/>
      <c r="F72" s="270">
        <v>58.14</v>
      </c>
      <c r="G72" s="269" t="s">
        <v>5</v>
      </c>
      <c r="H72" s="247">
        <v>380</v>
      </c>
      <c r="I72" s="248">
        <f>H72*F72</f>
        <v>22093.200000000001</v>
      </c>
      <c r="J72" s="249"/>
      <c r="K72" s="250"/>
      <c r="L72" s="251">
        <f>M72-K72</f>
        <v>58.14</v>
      </c>
      <c r="M72" s="447">
        <f t="shared" si="53"/>
        <v>58.14</v>
      </c>
      <c r="N72" s="252">
        <f t="shared" si="50"/>
        <v>0</v>
      </c>
      <c r="O72" s="417">
        <f t="shared" si="51"/>
        <v>22093.200000000001</v>
      </c>
      <c r="P72" s="440">
        <f t="shared" si="52"/>
        <v>22093.200000000001</v>
      </c>
      <c r="Q72" s="445" t="s">
        <v>311</v>
      </c>
    </row>
    <row r="73" spans="1:17" s="239" customFormat="1" ht="31.5" customHeight="1" x14ac:dyDescent="0.25">
      <c r="A73" s="245" t="s">
        <v>126</v>
      </c>
      <c r="B73" s="596" t="s">
        <v>127</v>
      </c>
      <c r="C73" s="597"/>
      <c r="D73" s="597"/>
      <c r="E73" s="598"/>
      <c r="F73" s="270"/>
      <c r="G73" s="269"/>
      <c r="H73" s="247"/>
      <c r="I73" s="248"/>
      <c r="J73" s="249"/>
      <c r="K73" s="250"/>
      <c r="L73" s="251"/>
      <c r="M73" s="252"/>
      <c r="N73" s="252"/>
      <c r="O73" s="417"/>
      <c r="P73" s="248"/>
      <c r="Q73" s="399"/>
    </row>
    <row r="74" spans="1:17" s="243" customFormat="1" ht="37.5" customHeight="1" x14ac:dyDescent="0.25">
      <c r="A74" s="253"/>
      <c r="B74" s="555" t="s">
        <v>114</v>
      </c>
      <c r="C74" s="556"/>
      <c r="D74" s="556"/>
      <c r="E74" s="557"/>
      <c r="F74" s="270">
        <v>3717.11</v>
      </c>
      <c r="G74" s="269" t="s">
        <v>117</v>
      </c>
      <c r="H74" s="247">
        <v>16.95</v>
      </c>
      <c r="I74" s="248">
        <f>H74*F74</f>
        <v>63005.014499999997</v>
      </c>
      <c r="J74" s="249"/>
      <c r="K74" s="250">
        <v>3717.11</v>
      </c>
      <c r="L74" s="251">
        <f t="shared" ref="L74:L75" si="54">M74-K74</f>
        <v>0</v>
      </c>
      <c r="M74" s="252">
        <v>3717.11</v>
      </c>
      <c r="N74" s="252">
        <f t="shared" ref="N74:N76" si="55">+K74*H74</f>
        <v>63005.014499999997</v>
      </c>
      <c r="O74" s="417">
        <f t="shared" ref="O74:O76" si="56">P74-N74</f>
        <v>0</v>
      </c>
      <c r="P74" s="248">
        <f t="shared" ref="P74:P76" si="57">H74*M74</f>
        <v>63005.014499999997</v>
      </c>
      <c r="Q74" s="399"/>
    </row>
    <row r="75" spans="1:17" s="243" customFormat="1" ht="38.25" customHeight="1" x14ac:dyDescent="0.25">
      <c r="A75" s="253"/>
      <c r="B75" s="555" t="s">
        <v>115</v>
      </c>
      <c r="C75" s="556"/>
      <c r="D75" s="556"/>
      <c r="E75" s="557"/>
      <c r="F75" s="270">
        <v>35.853022222222201</v>
      </c>
      <c r="G75" s="269" t="s">
        <v>5</v>
      </c>
      <c r="H75" s="247">
        <v>225</v>
      </c>
      <c r="I75" s="248">
        <f>H75*F75</f>
        <v>8066.9299999999948</v>
      </c>
      <c r="J75" s="249"/>
      <c r="K75" s="250">
        <v>35.85</v>
      </c>
      <c r="L75" s="251">
        <f t="shared" si="54"/>
        <v>0</v>
      </c>
      <c r="M75" s="252">
        <v>35.85</v>
      </c>
      <c r="N75" s="252">
        <f t="shared" si="55"/>
        <v>8066.25</v>
      </c>
      <c r="O75" s="417">
        <f t="shared" si="56"/>
        <v>0</v>
      </c>
      <c r="P75" s="248">
        <f t="shared" si="57"/>
        <v>8066.25</v>
      </c>
      <c r="Q75" s="400"/>
    </row>
    <row r="76" spans="1:17" s="243" customFormat="1" ht="37.5" customHeight="1" x14ac:dyDescent="0.25">
      <c r="A76" s="253"/>
      <c r="B76" s="555" t="s">
        <v>246</v>
      </c>
      <c r="C76" s="556"/>
      <c r="D76" s="556"/>
      <c r="E76" s="557"/>
      <c r="F76" s="270">
        <v>58.14</v>
      </c>
      <c r="G76" s="269" t="s">
        <v>5</v>
      </c>
      <c r="H76" s="247">
        <v>380</v>
      </c>
      <c r="I76" s="248">
        <f>H76*F76</f>
        <v>22093.200000000001</v>
      </c>
      <c r="J76" s="249"/>
      <c r="K76" s="250">
        <v>0</v>
      </c>
      <c r="L76" s="251">
        <f>M76-K76</f>
        <v>58.14</v>
      </c>
      <c r="M76" s="270">
        <f>F76</f>
        <v>58.14</v>
      </c>
      <c r="N76" s="252">
        <f t="shared" si="55"/>
        <v>0</v>
      </c>
      <c r="O76" s="417">
        <f t="shared" si="56"/>
        <v>22093.200000000001</v>
      </c>
      <c r="P76" s="440">
        <f t="shared" si="57"/>
        <v>22093.200000000001</v>
      </c>
      <c r="Q76" s="450" t="s">
        <v>312</v>
      </c>
    </row>
    <row r="77" spans="1:17" s="243" customFormat="1" ht="23.25" customHeight="1" x14ac:dyDescent="0.25">
      <c r="A77" s="253" t="s">
        <v>242</v>
      </c>
      <c r="B77" s="552" t="s">
        <v>302</v>
      </c>
      <c r="C77" s="553"/>
      <c r="D77" s="553"/>
      <c r="E77" s="554"/>
      <c r="F77" s="270"/>
      <c r="G77" s="269"/>
      <c r="H77" s="247"/>
      <c r="I77" s="248"/>
      <c r="J77" s="249"/>
      <c r="K77" s="250"/>
      <c r="L77" s="251"/>
      <c r="M77" s="252"/>
      <c r="N77" s="252"/>
      <c r="O77" s="417"/>
      <c r="P77" s="248"/>
      <c r="Q77" s="399"/>
    </row>
    <row r="78" spans="1:17" s="243" customFormat="1" ht="34.5" customHeight="1" x14ac:dyDescent="0.25">
      <c r="A78" s="253"/>
      <c r="B78" s="555" t="s">
        <v>114</v>
      </c>
      <c r="C78" s="556"/>
      <c r="D78" s="556"/>
      <c r="E78" s="557"/>
      <c r="F78" s="270">
        <v>3208.57</v>
      </c>
      <c r="G78" s="269" t="s">
        <v>117</v>
      </c>
      <c r="H78" s="247">
        <v>16.95</v>
      </c>
      <c r="I78" s="248">
        <f>H78*F78</f>
        <v>54385.261500000001</v>
      </c>
      <c r="J78" s="249"/>
      <c r="K78" s="250">
        <v>3208.57</v>
      </c>
      <c r="L78" s="251">
        <f t="shared" ref="L78:L79" si="58">M78-K78</f>
        <v>0</v>
      </c>
      <c r="M78" s="270">
        <v>3208.57</v>
      </c>
      <c r="N78" s="252">
        <f t="shared" ref="N78:N80" si="59">+K78*H78</f>
        <v>54385.261500000001</v>
      </c>
      <c r="O78" s="417">
        <f t="shared" ref="O78:O80" si="60">P78-N78</f>
        <v>0</v>
      </c>
      <c r="P78" s="248">
        <f t="shared" ref="P78:P80" si="61">H78*M78</f>
        <v>54385.261500000001</v>
      </c>
      <c r="Q78" s="399"/>
    </row>
    <row r="79" spans="1:17" s="243" customFormat="1" ht="34.5" customHeight="1" x14ac:dyDescent="0.25">
      <c r="A79" s="253"/>
      <c r="B79" s="555" t="s">
        <v>115</v>
      </c>
      <c r="C79" s="556"/>
      <c r="D79" s="556"/>
      <c r="E79" s="557"/>
      <c r="F79" s="270">
        <v>35.85</v>
      </c>
      <c r="G79" s="269" t="s">
        <v>5</v>
      </c>
      <c r="H79" s="247">
        <v>225</v>
      </c>
      <c r="I79" s="248">
        <f>H79*F79</f>
        <v>8066.25</v>
      </c>
      <c r="J79" s="249"/>
      <c r="K79" s="250">
        <v>35.85</v>
      </c>
      <c r="L79" s="251">
        <f t="shared" si="58"/>
        <v>0</v>
      </c>
      <c r="M79" s="270">
        <f>F79</f>
        <v>35.85</v>
      </c>
      <c r="N79" s="252">
        <f t="shared" si="59"/>
        <v>8066.25</v>
      </c>
      <c r="O79" s="417">
        <f t="shared" si="60"/>
        <v>0</v>
      </c>
      <c r="P79" s="248">
        <f t="shared" si="61"/>
        <v>8066.25</v>
      </c>
      <c r="Q79" s="400"/>
    </row>
    <row r="80" spans="1:17" s="243" customFormat="1" ht="31.5" customHeight="1" x14ac:dyDescent="0.25">
      <c r="A80" s="253"/>
      <c r="B80" s="555" t="s">
        <v>246</v>
      </c>
      <c r="C80" s="556"/>
      <c r="D80" s="556"/>
      <c r="E80" s="557"/>
      <c r="F80" s="270">
        <v>58.14</v>
      </c>
      <c r="G80" s="269" t="s">
        <v>5</v>
      </c>
      <c r="H80" s="247">
        <v>380</v>
      </c>
      <c r="I80" s="248">
        <f>H80*F80</f>
        <v>22093.200000000001</v>
      </c>
      <c r="J80" s="249"/>
      <c r="K80" s="250">
        <v>0</v>
      </c>
      <c r="L80" s="251">
        <f>M80-K80</f>
        <v>58.14</v>
      </c>
      <c r="M80" s="270">
        <f>F80</f>
        <v>58.14</v>
      </c>
      <c r="N80" s="252">
        <f t="shared" si="59"/>
        <v>0</v>
      </c>
      <c r="O80" s="417">
        <f t="shared" si="60"/>
        <v>22093.200000000001</v>
      </c>
      <c r="P80" s="248">
        <f t="shared" si="61"/>
        <v>22093.200000000001</v>
      </c>
      <c r="Q80" s="400" t="s">
        <v>303</v>
      </c>
    </row>
    <row r="81" spans="1:17" s="239" customFormat="1" ht="27.75" customHeight="1" x14ac:dyDescent="0.25">
      <c r="A81" s="245" t="s">
        <v>242</v>
      </c>
      <c r="B81" s="596" t="s">
        <v>243</v>
      </c>
      <c r="C81" s="597"/>
      <c r="D81" s="597"/>
      <c r="E81" s="598"/>
      <c r="F81" s="270"/>
      <c r="G81" s="269"/>
      <c r="H81" s="247"/>
      <c r="I81" s="248"/>
      <c r="J81" s="249"/>
      <c r="K81" s="250"/>
      <c r="L81" s="251"/>
      <c r="M81" s="252"/>
      <c r="N81" s="252"/>
      <c r="O81" s="417"/>
      <c r="P81" s="248"/>
      <c r="Q81" s="401"/>
    </row>
    <row r="82" spans="1:17" s="243" customFormat="1" ht="19.5" customHeight="1" x14ac:dyDescent="0.25">
      <c r="A82" s="253"/>
      <c r="B82" s="555" t="s">
        <v>114</v>
      </c>
      <c r="C82" s="556"/>
      <c r="D82" s="556"/>
      <c r="E82" s="557"/>
      <c r="F82" s="270">
        <v>3207.35</v>
      </c>
      <c r="G82" s="269" t="s">
        <v>117</v>
      </c>
      <c r="H82" s="247">
        <v>16.95</v>
      </c>
      <c r="I82" s="248">
        <f>H82*F82</f>
        <v>54364.582499999997</v>
      </c>
      <c r="J82" s="249"/>
      <c r="K82" s="250">
        <v>2245.15</v>
      </c>
      <c r="L82" s="251">
        <f t="shared" ref="L82:L83" si="62">M82-K82</f>
        <v>0</v>
      </c>
      <c r="M82" s="252">
        <v>2245.15</v>
      </c>
      <c r="N82" s="252">
        <f t="shared" ref="N82:N84" si="63">+K82*H82</f>
        <v>38055.292500000003</v>
      </c>
      <c r="O82" s="251">
        <f t="shared" ref="O82:O84" si="64">P82-N82</f>
        <v>0</v>
      </c>
      <c r="P82" s="248">
        <f t="shared" ref="P82:P84" si="65">H82*M82</f>
        <v>38055.292500000003</v>
      </c>
      <c r="Q82" s="401"/>
    </row>
    <row r="83" spans="1:17" s="243" customFormat="1" ht="19.5" customHeight="1" x14ac:dyDescent="0.25">
      <c r="A83" s="253"/>
      <c r="B83" s="555" t="s">
        <v>115</v>
      </c>
      <c r="C83" s="556"/>
      <c r="D83" s="556"/>
      <c r="E83" s="557"/>
      <c r="F83" s="270">
        <v>35.85</v>
      </c>
      <c r="G83" s="269" t="s">
        <v>5</v>
      </c>
      <c r="H83" s="247">
        <v>225</v>
      </c>
      <c r="I83" s="248">
        <f>H83*F83</f>
        <v>8066.25</v>
      </c>
      <c r="J83" s="249"/>
      <c r="K83" s="250">
        <v>25.1</v>
      </c>
      <c r="L83" s="251">
        <f t="shared" si="62"/>
        <v>0</v>
      </c>
      <c r="M83" s="252">
        <v>25.1</v>
      </c>
      <c r="N83" s="252">
        <f t="shared" si="63"/>
        <v>5647.5</v>
      </c>
      <c r="O83" s="251">
        <f t="shared" si="64"/>
        <v>0</v>
      </c>
      <c r="P83" s="248">
        <f t="shared" si="65"/>
        <v>5647.5</v>
      </c>
      <c r="Q83" s="402"/>
    </row>
    <row r="84" spans="1:17" s="243" customFormat="1" ht="35.25" customHeight="1" thickBot="1" x14ac:dyDescent="0.3">
      <c r="A84" s="259"/>
      <c r="B84" s="558" t="s">
        <v>116</v>
      </c>
      <c r="C84" s="559"/>
      <c r="D84" s="559"/>
      <c r="E84" s="560"/>
      <c r="F84" s="271">
        <v>76.94</v>
      </c>
      <c r="G84" s="272" t="s">
        <v>5</v>
      </c>
      <c r="H84" s="262">
        <v>380</v>
      </c>
      <c r="I84" s="263">
        <f>H84*F84</f>
        <v>29237.200000000001</v>
      </c>
      <c r="J84" s="264"/>
      <c r="K84" s="265"/>
      <c r="L84" s="266">
        <f>M84-K84</f>
        <v>0</v>
      </c>
      <c r="M84" s="267"/>
      <c r="N84" s="267">
        <f t="shared" si="63"/>
        <v>0</v>
      </c>
      <c r="O84" s="266">
        <f t="shared" si="64"/>
        <v>0</v>
      </c>
      <c r="P84" s="441">
        <f t="shared" si="65"/>
        <v>0</v>
      </c>
      <c r="Q84" s="400" t="s">
        <v>304</v>
      </c>
    </row>
    <row r="85" spans="1:17" ht="103.5" customHeight="1" thickTop="1" x14ac:dyDescent="0.25">
      <c r="A85" s="253">
        <v>4</v>
      </c>
      <c r="B85" s="535" t="s">
        <v>240</v>
      </c>
      <c r="C85" s="536"/>
      <c r="D85" s="536"/>
      <c r="E85" s="537"/>
      <c r="F85" s="246"/>
      <c r="G85" s="254"/>
      <c r="H85" s="247"/>
      <c r="I85" s="248"/>
      <c r="J85" s="273">
        <f>SUM(I86)</f>
        <v>4600</v>
      </c>
      <c r="K85" s="250"/>
      <c r="L85" s="251"/>
      <c r="M85" s="252"/>
      <c r="N85" s="252"/>
      <c r="O85" s="251"/>
      <c r="P85" s="248"/>
      <c r="Q85" s="564"/>
    </row>
    <row r="86" spans="1:17" s="243" customFormat="1" ht="65.25" customHeight="1" thickBot="1" x14ac:dyDescent="0.3">
      <c r="A86" s="274" t="s">
        <v>3</v>
      </c>
      <c r="B86" s="599" t="s">
        <v>130</v>
      </c>
      <c r="C86" s="599"/>
      <c r="D86" s="599"/>
      <c r="E86" s="599"/>
      <c r="F86" s="275">
        <v>5</v>
      </c>
      <c r="G86" s="275" t="s">
        <v>20</v>
      </c>
      <c r="H86" s="276">
        <v>920</v>
      </c>
      <c r="I86" s="277">
        <f>H86*F86</f>
        <v>4600</v>
      </c>
      <c r="J86" s="278"/>
      <c r="K86" s="279">
        <v>5</v>
      </c>
      <c r="L86" s="280">
        <f t="shared" ref="L86" si="66">M86-K86</f>
        <v>0</v>
      </c>
      <c r="M86" s="281">
        <v>5</v>
      </c>
      <c r="N86" s="281">
        <f t="shared" ref="N86" si="67">+K86*H86</f>
        <v>4600</v>
      </c>
      <c r="O86" s="280">
        <f t="shared" ref="O86" si="68">P86-N86</f>
        <v>0</v>
      </c>
      <c r="P86" s="277">
        <f t="shared" ref="P86" si="69">H86*M86</f>
        <v>4600</v>
      </c>
      <c r="Q86" s="526"/>
    </row>
    <row r="87" spans="1:17" s="239" customFormat="1" ht="102" customHeight="1" thickTop="1" x14ac:dyDescent="0.25">
      <c r="A87" s="282">
        <v>5</v>
      </c>
      <c r="B87" s="587" t="s">
        <v>178</v>
      </c>
      <c r="C87" s="588"/>
      <c r="D87" s="588"/>
      <c r="E87" s="589"/>
      <c r="F87" s="283"/>
      <c r="G87" s="284"/>
      <c r="H87" s="285"/>
      <c r="I87" s="286"/>
      <c r="J87" s="287">
        <f>SUM(I88:I89)</f>
        <v>89500</v>
      </c>
      <c r="K87" s="288"/>
      <c r="L87" s="289"/>
      <c r="M87" s="290"/>
      <c r="N87" s="290"/>
      <c r="O87" s="289"/>
      <c r="P87" s="286"/>
      <c r="Q87" s="590"/>
    </row>
    <row r="88" spans="1:17" ht="45" customHeight="1" x14ac:dyDescent="0.25">
      <c r="A88" s="253" t="s">
        <v>3</v>
      </c>
      <c r="B88" s="552" t="s">
        <v>132</v>
      </c>
      <c r="C88" s="536"/>
      <c r="D88" s="536"/>
      <c r="E88" s="537"/>
      <c r="F88" s="246">
        <v>1</v>
      </c>
      <c r="G88" s="254" t="s">
        <v>2</v>
      </c>
      <c r="H88" s="247">
        <v>77500</v>
      </c>
      <c r="I88" s="248">
        <f>H88*F88</f>
        <v>77500</v>
      </c>
      <c r="J88" s="249"/>
      <c r="K88" s="250"/>
      <c r="L88" s="251">
        <f t="shared" ref="L88:L89" si="70">M88-K88</f>
        <v>0</v>
      </c>
      <c r="M88" s="252"/>
      <c r="N88" s="252">
        <f t="shared" ref="N88:N89" si="71">+K88*H88</f>
        <v>0</v>
      </c>
      <c r="O88" s="251">
        <f t="shared" ref="O88:O89" si="72">P88-N88</f>
        <v>0</v>
      </c>
      <c r="P88" s="248">
        <f t="shared" ref="P88:P89" si="73">H88*M88</f>
        <v>0</v>
      </c>
      <c r="Q88" s="591"/>
    </row>
    <row r="89" spans="1:17" s="239" customFormat="1" ht="39" customHeight="1" thickBot="1" x14ac:dyDescent="0.3">
      <c r="A89" s="291" t="s">
        <v>15</v>
      </c>
      <c r="B89" s="593" t="s">
        <v>133</v>
      </c>
      <c r="C89" s="594"/>
      <c r="D89" s="594"/>
      <c r="E89" s="595"/>
      <c r="F89" s="260">
        <v>1</v>
      </c>
      <c r="G89" s="261" t="s">
        <v>134</v>
      </c>
      <c r="H89" s="262">
        <v>12000</v>
      </c>
      <c r="I89" s="263">
        <f>H89*F89</f>
        <v>12000</v>
      </c>
      <c r="J89" s="264"/>
      <c r="K89" s="265">
        <v>1</v>
      </c>
      <c r="L89" s="266">
        <f t="shared" si="70"/>
        <v>0</v>
      </c>
      <c r="M89" s="267">
        <v>1</v>
      </c>
      <c r="N89" s="267">
        <f t="shared" si="71"/>
        <v>12000</v>
      </c>
      <c r="O89" s="266">
        <f t="shared" si="72"/>
        <v>0</v>
      </c>
      <c r="P89" s="263">
        <f t="shared" si="73"/>
        <v>12000</v>
      </c>
      <c r="Q89" s="592"/>
    </row>
    <row r="90" spans="1:17" s="239" customFormat="1" ht="90" customHeight="1" thickTop="1" x14ac:dyDescent="0.25">
      <c r="A90" s="245">
        <v>6</v>
      </c>
      <c r="B90" s="561" t="s">
        <v>163</v>
      </c>
      <c r="C90" s="562"/>
      <c r="D90" s="562"/>
      <c r="E90" s="563"/>
      <c r="F90" s="246"/>
      <c r="G90" s="254"/>
      <c r="H90" s="247"/>
      <c r="I90" s="248"/>
      <c r="J90" s="273">
        <f>SUM(I91)</f>
        <v>9900</v>
      </c>
      <c r="K90" s="250"/>
      <c r="L90" s="251"/>
      <c r="M90" s="252"/>
      <c r="N90" s="252"/>
      <c r="O90" s="251"/>
      <c r="P90" s="248"/>
      <c r="Q90" s="569"/>
    </row>
    <row r="91" spans="1:17" ht="85.5" customHeight="1" thickBot="1" x14ac:dyDescent="0.3">
      <c r="A91" s="259" t="s">
        <v>3</v>
      </c>
      <c r="B91" s="558" t="s">
        <v>136</v>
      </c>
      <c r="C91" s="585"/>
      <c r="D91" s="585"/>
      <c r="E91" s="586"/>
      <c r="F91" s="260">
        <v>1</v>
      </c>
      <c r="G91" s="261" t="s">
        <v>2</v>
      </c>
      <c r="H91" s="262">
        <v>9900</v>
      </c>
      <c r="I91" s="263">
        <f>H91*F91</f>
        <v>9900</v>
      </c>
      <c r="J91" s="264"/>
      <c r="K91" s="265">
        <v>1</v>
      </c>
      <c r="L91" s="266">
        <f t="shared" ref="L91" si="74">M91-K91</f>
        <v>0</v>
      </c>
      <c r="M91" s="267">
        <v>1</v>
      </c>
      <c r="N91" s="267">
        <f t="shared" ref="N91" si="75">+K91*H91</f>
        <v>9900</v>
      </c>
      <c r="O91" s="266">
        <f t="shared" ref="O91" si="76">P91-N91</f>
        <v>0</v>
      </c>
      <c r="P91" s="263">
        <f t="shared" ref="P91" si="77">H91*M91</f>
        <v>9900</v>
      </c>
      <c r="Q91" s="526"/>
    </row>
    <row r="92" spans="1:17" ht="93" customHeight="1" thickTop="1" x14ac:dyDescent="0.25">
      <c r="A92" s="253">
        <v>7</v>
      </c>
      <c r="B92" s="535" t="s">
        <v>164</v>
      </c>
      <c r="C92" s="536"/>
      <c r="D92" s="536"/>
      <c r="E92" s="537"/>
      <c r="F92" s="246"/>
      <c r="G92" s="254"/>
      <c r="H92" s="247"/>
      <c r="I92" s="248"/>
      <c r="J92" s="273">
        <f>SUM(I93)</f>
        <v>8250</v>
      </c>
      <c r="K92" s="250"/>
      <c r="L92" s="251"/>
      <c r="M92" s="252"/>
      <c r="N92" s="252"/>
      <c r="O92" s="251"/>
      <c r="P92" s="248"/>
      <c r="Q92" s="525" t="s">
        <v>313</v>
      </c>
    </row>
    <row r="93" spans="1:17" ht="68.25" customHeight="1" thickBot="1" x14ac:dyDescent="0.3">
      <c r="A93" s="259" t="s">
        <v>3</v>
      </c>
      <c r="B93" s="558" t="s">
        <v>185</v>
      </c>
      <c r="C93" s="559"/>
      <c r="D93" s="559"/>
      <c r="E93" s="560"/>
      <c r="F93" s="260">
        <v>1</v>
      </c>
      <c r="G93" s="261" t="s">
        <v>2</v>
      </c>
      <c r="H93" s="262">
        <v>8250</v>
      </c>
      <c r="I93" s="263">
        <f>H93*F93</f>
        <v>8250</v>
      </c>
      <c r="J93" s="264"/>
      <c r="K93" s="265"/>
      <c r="L93" s="266">
        <f t="shared" ref="L93" si="78">M93-K93</f>
        <v>0.7</v>
      </c>
      <c r="M93" s="267">
        <v>0.7</v>
      </c>
      <c r="N93" s="267">
        <f t="shared" ref="N93" si="79">+K93*H93</f>
        <v>0</v>
      </c>
      <c r="O93" s="266">
        <f t="shared" ref="O93" si="80">P93-N93</f>
        <v>5775</v>
      </c>
      <c r="P93" s="449">
        <f t="shared" ref="P93" si="81">H93*M93</f>
        <v>5775</v>
      </c>
      <c r="Q93" s="526"/>
    </row>
    <row r="94" spans="1:17" ht="66.75" customHeight="1" thickTop="1" x14ac:dyDescent="0.25">
      <c r="A94" s="253">
        <v>8</v>
      </c>
      <c r="B94" s="535" t="s">
        <v>241</v>
      </c>
      <c r="C94" s="536"/>
      <c r="D94" s="536"/>
      <c r="E94" s="537"/>
      <c r="F94" s="246"/>
      <c r="G94" s="254"/>
      <c r="H94" s="247"/>
      <c r="I94" s="248"/>
      <c r="J94" s="273">
        <f>SUM(I95:I98)</f>
        <v>35750</v>
      </c>
      <c r="K94" s="250"/>
      <c r="L94" s="251"/>
      <c r="M94" s="252"/>
      <c r="N94" s="252"/>
      <c r="O94" s="251"/>
      <c r="P94" s="248"/>
      <c r="Q94" s="569"/>
    </row>
    <row r="95" spans="1:17" ht="155.25" customHeight="1" x14ac:dyDescent="0.25">
      <c r="A95" s="253"/>
      <c r="B95" s="535" t="s">
        <v>253</v>
      </c>
      <c r="C95" s="536"/>
      <c r="D95" s="536"/>
      <c r="E95" s="537"/>
      <c r="F95" s="246"/>
      <c r="G95" s="254"/>
      <c r="H95" s="247"/>
      <c r="I95" s="248"/>
      <c r="J95" s="249"/>
      <c r="K95" s="250"/>
      <c r="L95" s="251"/>
      <c r="M95" s="252"/>
      <c r="N95" s="252"/>
      <c r="O95" s="251"/>
      <c r="P95" s="248"/>
      <c r="Q95" s="565"/>
    </row>
    <row r="96" spans="1:17" ht="15.6" x14ac:dyDescent="0.25">
      <c r="A96" s="253"/>
      <c r="B96" s="555" t="s">
        <v>142</v>
      </c>
      <c r="C96" s="556"/>
      <c r="D96" s="556"/>
      <c r="E96" s="557"/>
      <c r="F96" s="246">
        <v>1</v>
      </c>
      <c r="G96" s="254" t="s">
        <v>134</v>
      </c>
      <c r="H96" s="247">
        <v>16500</v>
      </c>
      <c r="I96" s="248">
        <f>H96*F96</f>
        <v>16500</v>
      </c>
      <c r="J96" s="249"/>
      <c r="K96" s="250">
        <v>1</v>
      </c>
      <c r="L96" s="251">
        <f t="shared" ref="L96:L98" si="82">M96-K96</f>
        <v>0</v>
      </c>
      <c r="M96" s="252">
        <v>1</v>
      </c>
      <c r="N96" s="252">
        <f t="shared" ref="N96:N98" si="83">+K96*H96</f>
        <v>16500</v>
      </c>
      <c r="O96" s="251">
        <f t="shared" ref="O96:O98" si="84">P96-N96</f>
        <v>0</v>
      </c>
      <c r="P96" s="248">
        <f t="shared" ref="P96:P98" si="85">H96*M96</f>
        <v>16500</v>
      </c>
      <c r="Q96" s="565"/>
    </row>
    <row r="97" spans="1:18" ht="15.6" x14ac:dyDescent="0.25">
      <c r="A97" s="253"/>
      <c r="B97" s="555" t="s">
        <v>143</v>
      </c>
      <c r="C97" s="556"/>
      <c r="D97" s="556"/>
      <c r="E97" s="557"/>
      <c r="F97" s="246">
        <v>1</v>
      </c>
      <c r="G97" s="254" t="s">
        <v>134</v>
      </c>
      <c r="H97" s="247">
        <v>14500</v>
      </c>
      <c r="I97" s="248">
        <f>H97*F97</f>
        <v>14500</v>
      </c>
      <c r="J97" s="249"/>
      <c r="K97" s="250">
        <v>1</v>
      </c>
      <c r="L97" s="251">
        <f t="shared" si="82"/>
        <v>0</v>
      </c>
      <c r="M97" s="252">
        <v>1</v>
      </c>
      <c r="N97" s="252">
        <f t="shared" si="83"/>
        <v>14500</v>
      </c>
      <c r="O97" s="251">
        <f t="shared" si="84"/>
        <v>0</v>
      </c>
      <c r="P97" s="248">
        <f t="shared" si="85"/>
        <v>14500</v>
      </c>
      <c r="Q97" s="565"/>
    </row>
    <row r="98" spans="1:18" ht="15.6" x14ac:dyDescent="0.25">
      <c r="A98" s="253"/>
      <c r="B98" s="555" t="s">
        <v>144</v>
      </c>
      <c r="C98" s="556"/>
      <c r="D98" s="556"/>
      <c r="E98" s="557"/>
      <c r="F98" s="246">
        <v>1</v>
      </c>
      <c r="G98" s="254" t="s">
        <v>134</v>
      </c>
      <c r="H98" s="247">
        <v>4750</v>
      </c>
      <c r="I98" s="248">
        <f>H98*F98</f>
        <v>4750</v>
      </c>
      <c r="J98" s="249"/>
      <c r="K98" s="250">
        <v>1</v>
      </c>
      <c r="L98" s="251">
        <f t="shared" si="82"/>
        <v>0</v>
      </c>
      <c r="M98" s="252">
        <v>1</v>
      </c>
      <c r="N98" s="252">
        <f t="shared" si="83"/>
        <v>4750</v>
      </c>
      <c r="O98" s="251">
        <f t="shared" si="84"/>
        <v>0</v>
      </c>
      <c r="P98" s="248">
        <f t="shared" si="85"/>
        <v>4750</v>
      </c>
      <c r="Q98" s="565"/>
    </row>
    <row r="99" spans="1:18" ht="16.2" thickBot="1" x14ac:dyDescent="0.3">
      <c r="A99" s="259"/>
      <c r="B99" s="292"/>
      <c r="C99" s="293"/>
      <c r="D99" s="293"/>
      <c r="E99" s="294"/>
      <c r="F99" s="260"/>
      <c r="G99" s="261"/>
      <c r="H99" s="262"/>
      <c r="I99" s="263"/>
      <c r="J99" s="264"/>
      <c r="K99" s="265"/>
      <c r="L99" s="266"/>
      <c r="M99" s="267"/>
      <c r="N99" s="267"/>
      <c r="O99" s="266"/>
      <c r="P99" s="263"/>
      <c r="Q99" s="526"/>
    </row>
    <row r="100" spans="1:18" s="239" customFormat="1" ht="108.75" customHeight="1" thickTop="1" x14ac:dyDescent="0.25">
      <c r="A100" s="245">
        <v>9</v>
      </c>
      <c r="B100" s="561" t="s">
        <v>245</v>
      </c>
      <c r="C100" s="562"/>
      <c r="D100" s="562"/>
      <c r="E100" s="563"/>
      <c r="F100" s="246"/>
      <c r="G100" s="254"/>
      <c r="H100" s="247"/>
      <c r="I100" s="248"/>
      <c r="J100" s="273">
        <f>SUM(I101:I104)</f>
        <v>539782.97250000003</v>
      </c>
      <c r="K100" s="250"/>
      <c r="L100" s="251"/>
      <c r="M100" s="252"/>
      <c r="N100" s="252"/>
      <c r="O100" s="251"/>
      <c r="P100" s="248"/>
      <c r="Q100" s="398"/>
    </row>
    <row r="101" spans="1:18" ht="33.450000000000003" customHeight="1" x14ac:dyDescent="0.25">
      <c r="A101" s="253" t="s">
        <v>3</v>
      </c>
      <c r="B101" s="555" t="s">
        <v>114</v>
      </c>
      <c r="C101" s="556"/>
      <c r="D101" s="556"/>
      <c r="E101" s="557"/>
      <c r="F101" s="295">
        <v>25276.19</v>
      </c>
      <c r="G101" s="246" t="s">
        <v>117</v>
      </c>
      <c r="H101" s="247">
        <v>17.75</v>
      </c>
      <c r="I101" s="248">
        <f>H101*F101</f>
        <v>448652.3725</v>
      </c>
      <c r="J101" s="249"/>
      <c r="K101" s="250">
        <v>25276.19</v>
      </c>
      <c r="L101" s="251">
        <f t="shared" ref="L101:L104" si="86">M101-K101</f>
        <v>0</v>
      </c>
      <c r="M101" s="252">
        <v>25276.19</v>
      </c>
      <c r="N101" s="252">
        <f>+K101*H101*0.95</f>
        <v>426219.75387499999</v>
      </c>
      <c r="O101" s="251">
        <f t="shared" ref="O101:O104" si="87">P101-N101</f>
        <v>22432.618625000003</v>
      </c>
      <c r="P101" s="440">
        <f>H101*M101</f>
        <v>448652.3725</v>
      </c>
      <c r="Q101" s="398" t="s">
        <v>305</v>
      </c>
      <c r="R101" s="391"/>
    </row>
    <row r="102" spans="1:18" ht="18.75" customHeight="1" x14ac:dyDescent="0.25">
      <c r="A102" s="253" t="s">
        <v>15</v>
      </c>
      <c r="B102" s="555" t="s">
        <v>115</v>
      </c>
      <c r="C102" s="556"/>
      <c r="D102" s="556"/>
      <c r="E102" s="557"/>
      <c r="F102" s="246">
        <v>30</v>
      </c>
      <c r="G102" s="246" t="s">
        <v>5</v>
      </c>
      <c r="H102" s="247">
        <v>245</v>
      </c>
      <c r="I102" s="248">
        <f>H102*F102</f>
        <v>7350</v>
      </c>
      <c r="J102" s="249"/>
      <c r="K102" s="250">
        <v>30</v>
      </c>
      <c r="L102" s="251">
        <f t="shared" si="86"/>
        <v>0</v>
      </c>
      <c r="M102" s="252">
        <v>30</v>
      </c>
      <c r="N102" s="252">
        <f t="shared" ref="N102:N104" si="88">+K102*H102</f>
        <v>7350</v>
      </c>
      <c r="O102" s="251">
        <f t="shared" si="87"/>
        <v>0</v>
      </c>
      <c r="P102" s="248">
        <f t="shared" ref="P102:P104" si="89">H102*M102</f>
        <v>7350</v>
      </c>
      <c r="Q102" s="399"/>
    </row>
    <row r="103" spans="1:18" ht="34.200000000000003" customHeight="1" x14ac:dyDescent="0.25">
      <c r="A103" s="253" t="s">
        <v>18</v>
      </c>
      <c r="B103" s="555" t="s">
        <v>116</v>
      </c>
      <c r="C103" s="556"/>
      <c r="D103" s="556"/>
      <c r="E103" s="557"/>
      <c r="F103" s="246">
        <v>178.37</v>
      </c>
      <c r="G103" s="246" t="s">
        <v>5</v>
      </c>
      <c r="H103" s="247">
        <v>380</v>
      </c>
      <c r="I103" s="248">
        <f>H103*F103</f>
        <v>67780.600000000006</v>
      </c>
      <c r="J103" s="249"/>
      <c r="K103" s="250">
        <v>178.37</v>
      </c>
      <c r="L103" s="251">
        <f t="shared" si="86"/>
        <v>0</v>
      </c>
      <c r="M103" s="252">
        <v>178.37</v>
      </c>
      <c r="N103" s="252">
        <f t="shared" si="88"/>
        <v>67780.600000000006</v>
      </c>
      <c r="O103" s="251">
        <f t="shared" si="87"/>
        <v>0</v>
      </c>
      <c r="P103" s="248">
        <f t="shared" si="89"/>
        <v>67780.600000000006</v>
      </c>
      <c r="Q103" s="399"/>
    </row>
    <row r="104" spans="1:18" ht="160.5" customHeight="1" thickBot="1" x14ac:dyDescent="0.3">
      <c r="A104" s="259" t="s">
        <v>47</v>
      </c>
      <c r="B104" s="582" t="s">
        <v>145</v>
      </c>
      <c r="C104" s="583"/>
      <c r="D104" s="583"/>
      <c r="E104" s="584"/>
      <c r="F104" s="260">
        <v>1</v>
      </c>
      <c r="G104" s="261" t="s">
        <v>134</v>
      </c>
      <c r="H104" s="262">
        <v>16000</v>
      </c>
      <c r="I104" s="263">
        <f>H104*F104</f>
        <v>16000</v>
      </c>
      <c r="J104" s="264"/>
      <c r="K104" s="265">
        <v>1</v>
      </c>
      <c r="L104" s="266">
        <f t="shared" si="86"/>
        <v>0</v>
      </c>
      <c r="M104" s="267">
        <v>1</v>
      </c>
      <c r="N104" s="267">
        <f t="shared" si="88"/>
        <v>16000</v>
      </c>
      <c r="O104" s="266">
        <f t="shared" si="87"/>
        <v>0</v>
      </c>
      <c r="P104" s="263">
        <f t="shared" si="89"/>
        <v>16000</v>
      </c>
      <c r="Q104" s="405"/>
    </row>
    <row r="105" spans="1:18" s="239" customFormat="1" ht="107.25" customHeight="1" thickTop="1" x14ac:dyDescent="0.25">
      <c r="A105" s="245">
        <v>10</v>
      </c>
      <c r="B105" s="561" t="s">
        <v>151</v>
      </c>
      <c r="C105" s="562"/>
      <c r="D105" s="562"/>
      <c r="E105" s="563"/>
      <c r="F105" s="246"/>
      <c r="G105" s="254"/>
      <c r="H105" s="247"/>
      <c r="I105" s="248"/>
      <c r="J105" s="273">
        <f>SUM(I106)</f>
        <v>107099.5</v>
      </c>
      <c r="K105" s="250"/>
      <c r="L105" s="251"/>
      <c r="M105" s="252"/>
      <c r="N105" s="252"/>
      <c r="O105" s="251"/>
      <c r="P105" s="248"/>
      <c r="Q105" s="564"/>
    </row>
    <row r="106" spans="1:18" ht="85.5" customHeight="1" thickBot="1" x14ac:dyDescent="0.3">
      <c r="A106" s="296" t="s">
        <v>3</v>
      </c>
      <c r="B106" s="579" t="s">
        <v>179</v>
      </c>
      <c r="C106" s="580"/>
      <c r="D106" s="580"/>
      <c r="E106" s="581"/>
      <c r="F106" s="297">
        <v>1</v>
      </c>
      <c r="G106" s="298" t="s">
        <v>2</v>
      </c>
      <c r="H106" s="262">
        <v>107099.5</v>
      </c>
      <c r="I106" s="299">
        <f>H106*F106</f>
        <v>107099.5</v>
      </c>
      <c r="J106" s="300"/>
      <c r="K106" s="301">
        <v>1</v>
      </c>
      <c r="L106" s="266">
        <f t="shared" ref="L106:L108" si="90">M106-K106</f>
        <v>0</v>
      </c>
      <c r="M106" s="302">
        <v>1</v>
      </c>
      <c r="N106" s="267">
        <f>+K106*H106</f>
        <v>107099.5</v>
      </c>
      <c r="O106" s="266">
        <f t="shared" ref="O106:O108" si="91">P106-N106</f>
        <v>0</v>
      </c>
      <c r="P106" s="263">
        <f t="shared" ref="P106" si="92">H106*M106</f>
        <v>107099.5</v>
      </c>
      <c r="Q106" s="565"/>
    </row>
    <row r="107" spans="1:18" s="239" customFormat="1" ht="78.75" customHeight="1" thickTop="1" x14ac:dyDescent="0.25">
      <c r="A107" s="245">
        <v>11</v>
      </c>
      <c r="B107" s="561" t="s">
        <v>152</v>
      </c>
      <c r="C107" s="562"/>
      <c r="D107" s="562"/>
      <c r="E107" s="563"/>
      <c r="F107" s="246"/>
      <c r="G107" s="254"/>
      <c r="H107" s="247"/>
      <c r="I107" s="248"/>
      <c r="J107" s="273">
        <f>SUM(I108)</f>
        <v>4500</v>
      </c>
      <c r="K107" s="250"/>
      <c r="L107" s="251"/>
      <c r="M107" s="252"/>
      <c r="N107" s="252"/>
      <c r="O107" s="251"/>
      <c r="P107" s="248"/>
      <c r="Q107" s="564" t="s">
        <v>304</v>
      </c>
    </row>
    <row r="108" spans="1:18" ht="86.25" customHeight="1" thickBot="1" x14ac:dyDescent="0.3">
      <c r="A108" s="259"/>
      <c r="B108" s="558" t="s">
        <v>148</v>
      </c>
      <c r="C108" s="559"/>
      <c r="D108" s="559"/>
      <c r="E108" s="560"/>
      <c r="F108" s="260">
        <v>2</v>
      </c>
      <c r="G108" s="261" t="s">
        <v>1</v>
      </c>
      <c r="H108" s="262">
        <v>2250</v>
      </c>
      <c r="I108" s="263">
        <f>H108*F108</f>
        <v>4500</v>
      </c>
      <c r="J108" s="264"/>
      <c r="K108" s="265"/>
      <c r="L108" s="266">
        <f t="shared" si="90"/>
        <v>0</v>
      </c>
      <c r="M108" s="267"/>
      <c r="N108" s="267">
        <f t="shared" ref="N108" si="93">+K108*H108</f>
        <v>0</v>
      </c>
      <c r="O108" s="266">
        <f t="shared" si="91"/>
        <v>0</v>
      </c>
      <c r="P108" s="421">
        <f t="shared" ref="P108" si="94">H108*M108</f>
        <v>0</v>
      </c>
      <c r="Q108" s="526"/>
    </row>
    <row r="109" spans="1:18" s="239" customFormat="1" ht="110.25" customHeight="1" thickTop="1" x14ac:dyDescent="0.25">
      <c r="A109" s="245">
        <v>12</v>
      </c>
      <c r="B109" s="561" t="s">
        <v>155</v>
      </c>
      <c r="C109" s="562"/>
      <c r="D109" s="562"/>
      <c r="E109" s="563"/>
      <c r="F109" s="246"/>
      <c r="G109" s="254"/>
      <c r="H109" s="247"/>
      <c r="I109" s="248"/>
      <c r="J109" s="273">
        <f>SUM(I110:I111)</f>
        <v>823000</v>
      </c>
      <c r="K109" s="250"/>
      <c r="L109" s="251"/>
      <c r="M109" s="252"/>
      <c r="N109" s="252"/>
      <c r="O109" s="251"/>
      <c r="P109" s="248"/>
      <c r="Q109" s="569"/>
    </row>
    <row r="110" spans="1:18" s="243" customFormat="1" ht="135" customHeight="1" x14ac:dyDescent="0.25">
      <c r="A110" s="253" t="s">
        <v>3</v>
      </c>
      <c r="B110" s="555" t="s">
        <v>157</v>
      </c>
      <c r="C110" s="556"/>
      <c r="D110" s="556"/>
      <c r="E110" s="557"/>
      <c r="F110" s="303">
        <v>280</v>
      </c>
      <c r="G110" s="254" t="s">
        <v>5</v>
      </c>
      <c r="H110" s="247">
        <v>2875</v>
      </c>
      <c r="I110" s="248">
        <f>H110*F110</f>
        <v>805000</v>
      </c>
      <c r="J110" s="249"/>
      <c r="K110" s="250"/>
      <c r="L110" s="251">
        <f t="shared" ref="L110" si="95">M110-K110</f>
        <v>0</v>
      </c>
      <c r="M110" s="252"/>
      <c r="N110" s="252">
        <f t="shared" ref="N110" si="96">+K110*H110</f>
        <v>0</v>
      </c>
      <c r="O110" s="251">
        <f t="shared" ref="O110" si="97">P110-N110</f>
        <v>0</v>
      </c>
      <c r="P110" s="248">
        <f t="shared" ref="P110" si="98">H110*M110</f>
        <v>0</v>
      </c>
      <c r="Q110" s="565"/>
    </row>
    <row r="111" spans="1:18" s="243" customFormat="1" ht="21" customHeight="1" thickBot="1" x14ac:dyDescent="0.3">
      <c r="A111" s="304" t="s">
        <v>15</v>
      </c>
      <c r="B111" s="558" t="s">
        <v>156</v>
      </c>
      <c r="C111" s="559"/>
      <c r="D111" s="559"/>
      <c r="E111" s="560"/>
      <c r="F111" s="305">
        <v>1</v>
      </c>
      <c r="G111" s="272" t="s">
        <v>134</v>
      </c>
      <c r="H111" s="262">
        <v>18000</v>
      </c>
      <c r="I111" s="263">
        <f>H111*F111</f>
        <v>18000</v>
      </c>
      <c r="J111" s="306"/>
      <c r="K111" s="265">
        <v>1</v>
      </c>
      <c r="L111" s="266">
        <f t="shared" ref="L111" si="99">M111-K111</f>
        <v>0</v>
      </c>
      <c r="M111" s="267">
        <v>1</v>
      </c>
      <c r="N111" s="267">
        <f t="shared" ref="N111" si="100">+K111*H111</f>
        <v>18000</v>
      </c>
      <c r="O111" s="266">
        <f t="shared" ref="O111" si="101">P111-N111</f>
        <v>0</v>
      </c>
      <c r="P111" s="263">
        <f t="shared" ref="P111" si="102">H111*M111</f>
        <v>18000</v>
      </c>
      <c r="Q111" s="526"/>
    </row>
    <row r="112" spans="1:18" s="239" customFormat="1" ht="93.75" customHeight="1" thickTop="1" x14ac:dyDescent="0.25">
      <c r="A112" s="245">
        <v>13</v>
      </c>
      <c r="B112" s="561" t="s">
        <v>158</v>
      </c>
      <c r="C112" s="562"/>
      <c r="D112" s="562"/>
      <c r="E112" s="563"/>
      <c r="F112" s="246"/>
      <c r="G112" s="254"/>
      <c r="H112" s="247"/>
      <c r="I112" s="248"/>
      <c r="J112" s="273">
        <f>SUM(I113)</f>
        <v>289250</v>
      </c>
      <c r="K112" s="250"/>
      <c r="L112" s="251"/>
      <c r="M112" s="252"/>
      <c r="N112" s="252"/>
      <c r="O112" s="251"/>
      <c r="P112" s="248"/>
      <c r="Q112" s="564"/>
    </row>
    <row r="113" spans="1:17" s="243" customFormat="1" ht="100.5" customHeight="1" x14ac:dyDescent="0.25">
      <c r="A113" s="253" t="s">
        <v>3</v>
      </c>
      <c r="B113" s="555" t="s">
        <v>159</v>
      </c>
      <c r="C113" s="556"/>
      <c r="D113" s="556"/>
      <c r="E113" s="557"/>
      <c r="F113" s="307">
        <v>130</v>
      </c>
      <c r="G113" s="254" t="s">
        <v>5</v>
      </c>
      <c r="H113" s="247">
        <v>2225</v>
      </c>
      <c r="I113" s="248">
        <f>H113*F113</f>
        <v>289250</v>
      </c>
      <c r="J113" s="249"/>
      <c r="K113" s="250"/>
      <c r="L113" s="251">
        <f t="shared" ref="L113" si="103">M113-K113</f>
        <v>0</v>
      </c>
      <c r="M113" s="252"/>
      <c r="N113" s="252">
        <f t="shared" ref="N113" si="104">+K113*H113</f>
        <v>0</v>
      </c>
      <c r="O113" s="251">
        <f t="shared" ref="O113" si="105">P113-N113</f>
        <v>0</v>
      </c>
      <c r="P113" s="248">
        <f t="shared" ref="P113" si="106">H113*M113</f>
        <v>0</v>
      </c>
      <c r="Q113" s="565"/>
    </row>
    <row r="114" spans="1:17" ht="12" customHeight="1" thickBot="1" x14ac:dyDescent="0.3">
      <c r="A114" s="291"/>
      <c r="B114" s="308"/>
      <c r="C114" s="309"/>
      <c r="D114" s="309"/>
      <c r="E114" s="310"/>
      <c r="F114" s="260"/>
      <c r="G114" s="261"/>
      <c r="H114" s="262"/>
      <c r="I114" s="263"/>
      <c r="J114" s="264"/>
      <c r="K114" s="265"/>
      <c r="L114" s="266"/>
      <c r="M114" s="267"/>
      <c r="N114" s="267"/>
      <c r="O114" s="266"/>
      <c r="P114" s="263"/>
      <c r="Q114" s="565"/>
    </row>
    <row r="115" spans="1:17" s="243" customFormat="1" ht="143.25" customHeight="1" thickTop="1" x14ac:dyDescent="0.25">
      <c r="A115" s="253">
        <v>14</v>
      </c>
      <c r="B115" s="535" t="s">
        <v>184</v>
      </c>
      <c r="C115" s="536"/>
      <c r="D115" s="536"/>
      <c r="E115" s="537"/>
      <c r="F115" s="372"/>
      <c r="G115" s="373"/>
      <c r="H115" s="374"/>
      <c r="I115" s="375"/>
      <c r="J115" s="376">
        <f>SUM(I120:I138)</f>
        <v>852470</v>
      </c>
      <c r="K115" s="377"/>
      <c r="L115" s="378"/>
      <c r="M115" s="379"/>
      <c r="N115" s="379"/>
      <c r="O115" s="378"/>
      <c r="P115" s="375"/>
      <c r="Q115" s="403"/>
    </row>
    <row r="116" spans="1:17" ht="12" customHeight="1" x14ac:dyDescent="0.25">
      <c r="A116" s="311"/>
      <c r="B116" s="312"/>
      <c r="C116" s="313"/>
      <c r="D116" s="313"/>
      <c r="E116" s="314"/>
      <c r="F116" s="246"/>
      <c r="G116" s="254"/>
      <c r="H116" s="247"/>
      <c r="I116" s="248"/>
      <c r="J116" s="249"/>
      <c r="K116" s="250"/>
      <c r="L116" s="251"/>
      <c r="M116" s="252"/>
      <c r="N116" s="252"/>
      <c r="O116" s="251"/>
      <c r="P116" s="248"/>
      <c r="Q116" s="403"/>
    </row>
    <row r="117" spans="1:17" s="326" customFormat="1" ht="18" customHeight="1" x14ac:dyDescent="0.3">
      <c r="A117" s="315"/>
      <c r="B117" s="570" t="s">
        <v>14</v>
      </c>
      <c r="C117" s="571"/>
      <c r="D117" s="571"/>
      <c r="E117" s="572"/>
      <c r="F117" s="316"/>
      <c r="G117" s="317"/>
      <c r="H117" s="318"/>
      <c r="I117" s="319"/>
      <c r="J117" s="320"/>
      <c r="K117" s="321"/>
      <c r="L117" s="322"/>
      <c r="M117" s="323"/>
      <c r="N117" s="323"/>
      <c r="O117" s="324"/>
      <c r="P117" s="325"/>
      <c r="Q117" s="404"/>
    </row>
    <row r="118" spans="1:17" s="327" customFormat="1" ht="16.2" x14ac:dyDescent="0.25">
      <c r="A118" s="315"/>
      <c r="B118" s="573" t="s">
        <v>16</v>
      </c>
      <c r="C118" s="574"/>
      <c r="D118" s="574"/>
      <c r="E118" s="575"/>
      <c r="F118" s="316"/>
      <c r="G118" s="317"/>
      <c r="H118" s="318"/>
      <c r="I118" s="319"/>
      <c r="J118" s="320"/>
      <c r="K118" s="321"/>
      <c r="L118" s="322"/>
      <c r="M118" s="323"/>
      <c r="N118" s="323"/>
      <c r="O118" s="324"/>
      <c r="P118" s="325"/>
      <c r="Q118" s="404"/>
    </row>
    <row r="119" spans="1:17" s="327" customFormat="1" ht="16.2" x14ac:dyDescent="0.25">
      <c r="A119" s="315"/>
      <c r="B119" s="328"/>
      <c r="C119" s="576"/>
      <c r="D119" s="576"/>
      <c r="E119" s="577"/>
      <c r="F119" s="316"/>
      <c r="G119" s="329"/>
      <c r="H119" s="318"/>
      <c r="I119" s="319"/>
      <c r="J119" s="320"/>
      <c r="K119" s="321"/>
      <c r="L119" s="322"/>
      <c r="M119" s="323"/>
      <c r="N119" s="323"/>
      <c r="O119" s="324"/>
      <c r="P119" s="325"/>
      <c r="Q119" s="404"/>
    </row>
    <row r="120" spans="1:17" s="333" customFormat="1" ht="55.5" customHeight="1" x14ac:dyDescent="0.25">
      <c r="A120" s="330">
        <v>1</v>
      </c>
      <c r="B120" s="547" t="s">
        <v>254</v>
      </c>
      <c r="C120" s="528"/>
      <c r="D120" s="528"/>
      <c r="E120" s="529"/>
      <c r="F120" s="331">
        <v>12</v>
      </c>
      <c r="G120" s="329" t="s">
        <v>1</v>
      </c>
      <c r="H120" s="318">
        <v>11200</v>
      </c>
      <c r="I120" s="319">
        <f t="shared" ref="I120:I138" si="107">H120*F120</f>
        <v>134400</v>
      </c>
      <c r="J120" s="332"/>
      <c r="K120" s="321">
        <v>12</v>
      </c>
      <c r="L120" s="322">
        <f>M120-K120</f>
        <v>0</v>
      </c>
      <c r="M120" s="323">
        <v>12</v>
      </c>
      <c r="N120" s="323">
        <f>+K120*H120</f>
        <v>134400</v>
      </c>
      <c r="O120" s="324">
        <f>P120-N120</f>
        <v>0</v>
      </c>
      <c r="P120" s="325">
        <f>H120*M120</f>
        <v>134400</v>
      </c>
      <c r="Q120" s="404"/>
    </row>
    <row r="121" spans="1:17" s="333" customFormat="1" ht="94.5" customHeight="1" x14ac:dyDescent="0.25">
      <c r="A121" s="330">
        <v>2</v>
      </c>
      <c r="B121" s="547" t="s">
        <v>255</v>
      </c>
      <c r="C121" s="528"/>
      <c r="D121" s="528"/>
      <c r="E121" s="529"/>
      <c r="F121" s="316">
        <v>38</v>
      </c>
      <c r="G121" s="329" t="s">
        <v>1</v>
      </c>
      <c r="H121" s="318">
        <v>11550</v>
      </c>
      <c r="I121" s="319">
        <f t="shared" si="107"/>
        <v>438900</v>
      </c>
      <c r="J121" s="332"/>
      <c r="K121" s="321">
        <v>19</v>
      </c>
      <c r="L121" s="322">
        <f>M121-K121</f>
        <v>0</v>
      </c>
      <c r="M121" s="323">
        <v>19</v>
      </c>
      <c r="N121" s="323">
        <f>+K121*H121*0.9</f>
        <v>197505</v>
      </c>
      <c r="O121" s="324">
        <f>P121-N121</f>
        <v>0</v>
      </c>
      <c r="P121" s="422">
        <f>H121*M121*90%</f>
        <v>197505</v>
      </c>
      <c r="Q121" s="445" t="s">
        <v>314</v>
      </c>
    </row>
    <row r="122" spans="1:17" s="333" customFormat="1" ht="55.5" customHeight="1" x14ac:dyDescent="0.25">
      <c r="A122" s="330">
        <v>3</v>
      </c>
      <c r="B122" s="547" t="s">
        <v>256</v>
      </c>
      <c r="C122" s="528"/>
      <c r="D122" s="528"/>
      <c r="E122" s="529"/>
      <c r="F122" s="316">
        <v>1</v>
      </c>
      <c r="G122" s="329" t="s">
        <v>2</v>
      </c>
      <c r="H122" s="318">
        <v>20850</v>
      </c>
      <c r="I122" s="319">
        <f t="shared" si="107"/>
        <v>20850</v>
      </c>
      <c r="J122" s="332"/>
      <c r="K122" s="321"/>
      <c r="L122" s="322">
        <f>M122-K122</f>
        <v>0</v>
      </c>
      <c r="M122" s="323"/>
      <c r="N122" s="323">
        <f>+K122*H122</f>
        <v>0</v>
      </c>
      <c r="O122" s="324">
        <f>P122-N122</f>
        <v>0</v>
      </c>
      <c r="P122" s="325">
        <f>H122*M122</f>
        <v>0</v>
      </c>
      <c r="Q122" s="404"/>
    </row>
    <row r="123" spans="1:17" s="333" customFormat="1" ht="55.5" customHeight="1" x14ac:dyDescent="0.25">
      <c r="A123" s="330">
        <v>4</v>
      </c>
      <c r="B123" s="547" t="s">
        <v>257</v>
      </c>
      <c r="C123" s="528"/>
      <c r="D123" s="528"/>
      <c r="E123" s="529"/>
      <c r="F123" s="316">
        <v>1</v>
      </c>
      <c r="G123" s="329" t="s">
        <v>2</v>
      </c>
      <c r="H123" s="318">
        <v>13100</v>
      </c>
      <c r="I123" s="319">
        <f t="shared" si="107"/>
        <v>13100</v>
      </c>
      <c r="J123" s="332"/>
      <c r="K123" s="321"/>
      <c r="L123" s="322">
        <f t="shared" ref="L123:L138" si="108">M123-K123</f>
        <v>0</v>
      </c>
      <c r="M123" s="323"/>
      <c r="N123" s="323">
        <f t="shared" ref="N123:N138" si="109">+K123*H123</f>
        <v>0</v>
      </c>
      <c r="O123" s="324">
        <f t="shared" ref="O123:O138" si="110">P123-N123</f>
        <v>0</v>
      </c>
      <c r="P123" s="325">
        <f t="shared" ref="P123:P138" si="111">H123*M123</f>
        <v>0</v>
      </c>
      <c r="Q123" s="404"/>
    </row>
    <row r="124" spans="1:17" s="333" customFormat="1" ht="55.5" customHeight="1" x14ac:dyDescent="0.25">
      <c r="A124" s="330">
        <v>5</v>
      </c>
      <c r="B124" s="547" t="s">
        <v>258</v>
      </c>
      <c r="C124" s="528"/>
      <c r="D124" s="528"/>
      <c r="E124" s="529"/>
      <c r="F124" s="316">
        <v>1</v>
      </c>
      <c r="G124" s="329" t="s">
        <v>2</v>
      </c>
      <c r="H124" s="318">
        <v>10450</v>
      </c>
      <c r="I124" s="319">
        <f t="shared" si="107"/>
        <v>10450</v>
      </c>
      <c r="J124" s="332"/>
      <c r="K124" s="321"/>
      <c r="L124" s="322">
        <f t="shared" si="108"/>
        <v>0</v>
      </c>
      <c r="M124" s="323"/>
      <c r="N124" s="323">
        <f t="shared" si="109"/>
        <v>0</v>
      </c>
      <c r="O124" s="324">
        <f t="shared" si="110"/>
        <v>0</v>
      </c>
      <c r="P124" s="325">
        <f t="shared" si="111"/>
        <v>0</v>
      </c>
      <c r="Q124" s="404"/>
    </row>
    <row r="125" spans="1:17" s="333" customFormat="1" ht="55.5" customHeight="1" x14ac:dyDescent="0.25">
      <c r="A125" s="330">
        <v>6</v>
      </c>
      <c r="B125" s="547" t="s">
        <v>259</v>
      </c>
      <c r="C125" s="528"/>
      <c r="D125" s="528"/>
      <c r="E125" s="529"/>
      <c r="F125" s="316">
        <v>1</v>
      </c>
      <c r="G125" s="329" t="s">
        <v>2</v>
      </c>
      <c r="H125" s="318">
        <v>5670</v>
      </c>
      <c r="I125" s="319">
        <f t="shared" si="107"/>
        <v>5670</v>
      </c>
      <c r="J125" s="332"/>
      <c r="K125" s="321"/>
      <c r="L125" s="322">
        <f t="shared" si="108"/>
        <v>0</v>
      </c>
      <c r="M125" s="323"/>
      <c r="N125" s="323">
        <f t="shared" si="109"/>
        <v>0</v>
      </c>
      <c r="O125" s="324">
        <f t="shared" si="110"/>
        <v>0</v>
      </c>
      <c r="P125" s="325">
        <f t="shared" si="111"/>
        <v>0</v>
      </c>
      <c r="Q125" s="404"/>
    </row>
    <row r="126" spans="1:17" s="333" customFormat="1" ht="55.5" customHeight="1" x14ac:dyDescent="0.25">
      <c r="A126" s="330">
        <v>7</v>
      </c>
      <c r="B126" s="547" t="s">
        <v>260</v>
      </c>
      <c r="C126" s="528"/>
      <c r="D126" s="528"/>
      <c r="E126" s="529"/>
      <c r="F126" s="316">
        <v>1</v>
      </c>
      <c r="G126" s="329" t="s">
        <v>2</v>
      </c>
      <c r="H126" s="318">
        <v>13800</v>
      </c>
      <c r="I126" s="319">
        <f t="shared" si="107"/>
        <v>13800</v>
      </c>
      <c r="J126" s="332"/>
      <c r="K126" s="321"/>
      <c r="L126" s="322">
        <f t="shared" si="108"/>
        <v>0</v>
      </c>
      <c r="M126" s="323"/>
      <c r="N126" s="323">
        <f t="shared" si="109"/>
        <v>0</v>
      </c>
      <c r="O126" s="324">
        <f t="shared" si="110"/>
        <v>0</v>
      </c>
      <c r="P126" s="325">
        <f t="shared" si="111"/>
        <v>0</v>
      </c>
      <c r="Q126" s="404"/>
    </row>
    <row r="127" spans="1:17" s="333" customFormat="1" ht="55.5" customHeight="1" x14ac:dyDescent="0.25">
      <c r="A127" s="330">
        <v>8</v>
      </c>
      <c r="B127" s="547" t="s">
        <v>261</v>
      </c>
      <c r="C127" s="528"/>
      <c r="D127" s="528"/>
      <c r="E127" s="529"/>
      <c r="F127" s="316">
        <v>2</v>
      </c>
      <c r="G127" s="329" t="s">
        <v>1</v>
      </c>
      <c r="H127" s="318">
        <v>16300</v>
      </c>
      <c r="I127" s="319">
        <f t="shared" si="107"/>
        <v>32600</v>
      </c>
      <c r="J127" s="332"/>
      <c r="K127" s="321"/>
      <c r="L127" s="322">
        <f t="shared" si="108"/>
        <v>0</v>
      </c>
      <c r="M127" s="323"/>
      <c r="N127" s="323">
        <f t="shared" si="109"/>
        <v>0</v>
      </c>
      <c r="O127" s="324">
        <f t="shared" si="110"/>
        <v>0</v>
      </c>
      <c r="P127" s="325">
        <f t="shared" si="111"/>
        <v>0</v>
      </c>
      <c r="Q127" s="404"/>
    </row>
    <row r="128" spans="1:17" s="333" customFormat="1" ht="55.5" customHeight="1" x14ac:dyDescent="0.25">
      <c r="A128" s="330">
        <v>9</v>
      </c>
      <c r="B128" s="547" t="s">
        <v>262</v>
      </c>
      <c r="C128" s="528"/>
      <c r="D128" s="528"/>
      <c r="E128" s="529"/>
      <c r="F128" s="316">
        <v>1</v>
      </c>
      <c r="G128" s="329" t="s">
        <v>2</v>
      </c>
      <c r="H128" s="318">
        <v>42000</v>
      </c>
      <c r="I128" s="319">
        <f t="shared" si="107"/>
        <v>42000</v>
      </c>
      <c r="J128" s="332"/>
      <c r="K128" s="321"/>
      <c r="L128" s="322">
        <f t="shared" si="108"/>
        <v>0</v>
      </c>
      <c r="M128" s="323"/>
      <c r="N128" s="323">
        <f t="shared" si="109"/>
        <v>0</v>
      </c>
      <c r="O128" s="324">
        <f t="shared" si="110"/>
        <v>0</v>
      </c>
      <c r="P128" s="325">
        <f t="shared" si="111"/>
        <v>0</v>
      </c>
      <c r="Q128" s="404"/>
    </row>
    <row r="129" spans="1:17" s="333" customFormat="1" ht="55.5" customHeight="1" x14ac:dyDescent="0.25">
      <c r="A129" s="330">
        <v>10</v>
      </c>
      <c r="B129" s="547" t="s">
        <v>263</v>
      </c>
      <c r="C129" s="528"/>
      <c r="D129" s="528"/>
      <c r="E129" s="529"/>
      <c r="F129" s="316">
        <v>1</v>
      </c>
      <c r="G129" s="329" t="s">
        <v>2</v>
      </c>
      <c r="H129" s="318">
        <v>12250</v>
      </c>
      <c r="I129" s="319">
        <f t="shared" si="107"/>
        <v>12250</v>
      </c>
      <c r="J129" s="332"/>
      <c r="K129" s="321"/>
      <c r="L129" s="322">
        <f t="shared" si="108"/>
        <v>0</v>
      </c>
      <c r="M129" s="323"/>
      <c r="N129" s="323">
        <f t="shared" si="109"/>
        <v>0</v>
      </c>
      <c r="O129" s="324">
        <f t="shared" si="110"/>
        <v>0</v>
      </c>
      <c r="P129" s="325">
        <f t="shared" si="111"/>
        <v>0</v>
      </c>
      <c r="Q129" s="404"/>
    </row>
    <row r="130" spans="1:17" s="333" customFormat="1" ht="55.5" customHeight="1" x14ac:dyDescent="0.25">
      <c r="A130" s="330">
        <v>11</v>
      </c>
      <c r="B130" s="546" t="s">
        <v>264</v>
      </c>
      <c r="C130" s="546"/>
      <c r="D130" s="546"/>
      <c r="E130" s="546"/>
      <c r="F130" s="329">
        <v>1</v>
      </c>
      <c r="G130" s="329" t="s">
        <v>2</v>
      </c>
      <c r="H130" s="318">
        <v>9800</v>
      </c>
      <c r="I130" s="319">
        <f t="shared" si="107"/>
        <v>9800</v>
      </c>
      <c r="J130" s="332"/>
      <c r="K130" s="321"/>
      <c r="L130" s="322">
        <f t="shared" si="108"/>
        <v>0</v>
      </c>
      <c r="M130" s="323"/>
      <c r="N130" s="323">
        <f t="shared" si="109"/>
        <v>0</v>
      </c>
      <c r="O130" s="324">
        <f t="shared" si="110"/>
        <v>0</v>
      </c>
      <c r="P130" s="325">
        <f t="shared" si="111"/>
        <v>0</v>
      </c>
      <c r="Q130" s="404"/>
    </row>
    <row r="131" spans="1:17" s="333" customFormat="1" ht="55.5" customHeight="1" x14ac:dyDescent="0.25">
      <c r="A131" s="330">
        <v>12</v>
      </c>
      <c r="B131" s="547" t="s">
        <v>265</v>
      </c>
      <c r="C131" s="528"/>
      <c r="D131" s="528"/>
      <c r="E131" s="529"/>
      <c r="F131" s="329">
        <v>1</v>
      </c>
      <c r="G131" s="334" t="s">
        <v>2</v>
      </c>
      <c r="H131" s="318">
        <v>19250</v>
      </c>
      <c r="I131" s="319">
        <f t="shared" si="107"/>
        <v>19250</v>
      </c>
      <c r="J131" s="332"/>
      <c r="K131" s="321"/>
      <c r="L131" s="322">
        <f t="shared" si="108"/>
        <v>0</v>
      </c>
      <c r="M131" s="323"/>
      <c r="N131" s="323">
        <f t="shared" si="109"/>
        <v>0</v>
      </c>
      <c r="O131" s="324">
        <f t="shared" si="110"/>
        <v>0</v>
      </c>
      <c r="P131" s="325">
        <f t="shared" si="111"/>
        <v>0</v>
      </c>
      <c r="Q131" s="404"/>
    </row>
    <row r="132" spans="1:17" s="333" customFormat="1" ht="55.5" customHeight="1" x14ac:dyDescent="0.25">
      <c r="A132" s="330">
        <v>13</v>
      </c>
      <c r="B132" s="547" t="s">
        <v>266</v>
      </c>
      <c r="C132" s="528"/>
      <c r="D132" s="528"/>
      <c r="E132" s="529"/>
      <c r="F132" s="329">
        <v>1</v>
      </c>
      <c r="G132" s="334" t="s">
        <v>2</v>
      </c>
      <c r="H132" s="318">
        <v>9800</v>
      </c>
      <c r="I132" s="319">
        <f t="shared" si="107"/>
        <v>9800</v>
      </c>
      <c r="J132" s="332"/>
      <c r="K132" s="321"/>
      <c r="L132" s="322">
        <f t="shared" si="108"/>
        <v>0</v>
      </c>
      <c r="M132" s="323"/>
      <c r="N132" s="323">
        <f t="shared" si="109"/>
        <v>0</v>
      </c>
      <c r="O132" s="324">
        <f t="shared" si="110"/>
        <v>0</v>
      </c>
      <c r="P132" s="325">
        <f t="shared" si="111"/>
        <v>0</v>
      </c>
      <c r="Q132" s="404"/>
    </row>
    <row r="133" spans="1:17" s="333" customFormat="1" ht="55.5" customHeight="1" x14ac:dyDescent="0.25">
      <c r="A133" s="330">
        <v>14</v>
      </c>
      <c r="B133" s="547" t="s">
        <v>267</v>
      </c>
      <c r="C133" s="528"/>
      <c r="D133" s="528"/>
      <c r="E133" s="529"/>
      <c r="F133" s="329">
        <v>1</v>
      </c>
      <c r="G133" s="334" t="s">
        <v>2</v>
      </c>
      <c r="H133" s="318">
        <v>19250</v>
      </c>
      <c r="I133" s="319">
        <f t="shared" si="107"/>
        <v>19250</v>
      </c>
      <c r="J133" s="332"/>
      <c r="K133" s="321"/>
      <c r="L133" s="322">
        <f t="shared" si="108"/>
        <v>0</v>
      </c>
      <c r="M133" s="323"/>
      <c r="N133" s="323">
        <f t="shared" si="109"/>
        <v>0</v>
      </c>
      <c r="O133" s="324">
        <f t="shared" si="110"/>
        <v>0</v>
      </c>
      <c r="P133" s="325">
        <f t="shared" si="111"/>
        <v>0</v>
      </c>
      <c r="Q133" s="404"/>
    </row>
    <row r="134" spans="1:17" s="333" customFormat="1" ht="55.5" customHeight="1" x14ac:dyDescent="0.25">
      <c r="A134" s="330">
        <v>15</v>
      </c>
      <c r="B134" s="547" t="s">
        <v>268</v>
      </c>
      <c r="C134" s="528"/>
      <c r="D134" s="528"/>
      <c r="E134" s="529"/>
      <c r="F134" s="329">
        <v>1</v>
      </c>
      <c r="G134" s="334" t="s">
        <v>2</v>
      </c>
      <c r="H134" s="318">
        <v>9800</v>
      </c>
      <c r="I134" s="319">
        <f t="shared" si="107"/>
        <v>9800</v>
      </c>
      <c r="J134" s="332"/>
      <c r="K134" s="321"/>
      <c r="L134" s="322">
        <f t="shared" si="108"/>
        <v>0</v>
      </c>
      <c r="M134" s="323"/>
      <c r="N134" s="323">
        <f t="shared" si="109"/>
        <v>0</v>
      </c>
      <c r="O134" s="324">
        <f t="shared" si="110"/>
        <v>0</v>
      </c>
      <c r="P134" s="325">
        <f t="shared" si="111"/>
        <v>0</v>
      </c>
      <c r="Q134" s="404"/>
    </row>
    <row r="135" spans="1:17" s="333" customFormat="1" ht="55.5" customHeight="1" x14ac:dyDescent="0.25">
      <c r="A135" s="330">
        <v>16</v>
      </c>
      <c r="B135" s="547" t="s">
        <v>269</v>
      </c>
      <c r="C135" s="528"/>
      <c r="D135" s="528"/>
      <c r="E135" s="529"/>
      <c r="F135" s="329">
        <v>1</v>
      </c>
      <c r="G135" s="334" t="s">
        <v>2</v>
      </c>
      <c r="H135" s="318">
        <v>19250</v>
      </c>
      <c r="I135" s="319">
        <f t="shared" si="107"/>
        <v>19250</v>
      </c>
      <c r="J135" s="332"/>
      <c r="K135" s="321"/>
      <c r="L135" s="322">
        <f t="shared" si="108"/>
        <v>0</v>
      </c>
      <c r="M135" s="323"/>
      <c r="N135" s="323">
        <f t="shared" si="109"/>
        <v>0</v>
      </c>
      <c r="O135" s="324">
        <f t="shared" si="110"/>
        <v>0</v>
      </c>
      <c r="P135" s="325">
        <f t="shared" si="111"/>
        <v>0</v>
      </c>
      <c r="Q135" s="404"/>
    </row>
    <row r="136" spans="1:17" s="333" customFormat="1" ht="55.5" customHeight="1" x14ac:dyDescent="0.25">
      <c r="A136" s="330">
        <v>17</v>
      </c>
      <c r="B136" s="547" t="s">
        <v>270</v>
      </c>
      <c r="C136" s="528"/>
      <c r="D136" s="528"/>
      <c r="E136" s="529"/>
      <c r="F136" s="329">
        <v>1</v>
      </c>
      <c r="G136" s="334" t="s">
        <v>2</v>
      </c>
      <c r="H136" s="318">
        <v>12250</v>
      </c>
      <c r="I136" s="319">
        <f t="shared" si="107"/>
        <v>12250</v>
      </c>
      <c r="J136" s="332"/>
      <c r="K136" s="321"/>
      <c r="L136" s="322">
        <f t="shared" si="108"/>
        <v>0</v>
      </c>
      <c r="M136" s="323"/>
      <c r="N136" s="323">
        <f t="shared" si="109"/>
        <v>0</v>
      </c>
      <c r="O136" s="324">
        <f t="shared" si="110"/>
        <v>0</v>
      </c>
      <c r="P136" s="325">
        <f t="shared" si="111"/>
        <v>0</v>
      </c>
      <c r="Q136" s="404"/>
    </row>
    <row r="137" spans="1:17" s="333" customFormat="1" ht="55.5" customHeight="1" x14ac:dyDescent="0.25">
      <c r="A137" s="330">
        <v>18</v>
      </c>
      <c r="B137" s="547" t="s">
        <v>271</v>
      </c>
      <c r="C137" s="528"/>
      <c r="D137" s="528"/>
      <c r="E137" s="529"/>
      <c r="F137" s="329">
        <v>1</v>
      </c>
      <c r="G137" s="334" t="s">
        <v>2</v>
      </c>
      <c r="H137" s="318">
        <v>9800</v>
      </c>
      <c r="I137" s="319">
        <f t="shared" si="107"/>
        <v>9800</v>
      </c>
      <c r="J137" s="332"/>
      <c r="K137" s="321"/>
      <c r="L137" s="322">
        <f t="shared" si="108"/>
        <v>0</v>
      </c>
      <c r="M137" s="323"/>
      <c r="N137" s="323">
        <f t="shared" si="109"/>
        <v>0</v>
      </c>
      <c r="O137" s="324">
        <f t="shared" si="110"/>
        <v>0</v>
      </c>
      <c r="P137" s="325">
        <f t="shared" si="111"/>
        <v>0</v>
      </c>
      <c r="Q137" s="404"/>
    </row>
    <row r="138" spans="1:17" s="333" customFormat="1" ht="55.5" customHeight="1" thickBot="1" x14ac:dyDescent="0.3">
      <c r="A138" s="335">
        <v>19</v>
      </c>
      <c r="B138" s="548" t="s">
        <v>272</v>
      </c>
      <c r="C138" s="538"/>
      <c r="D138" s="538"/>
      <c r="E138" s="539"/>
      <c r="F138" s="336">
        <v>1</v>
      </c>
      <c r="G138" s="337" t="s">
        <v>2</v>
      </c>
      <c r="H138" s="338">
        <v>19250</v>
      </c>
      <c r="I138" s="339">
        <f t="shared" si="107"/>
        <v>19250</v>
      </c>
      <c r="J138" s="340"/>
      <c r="K138" s="341"/>
      <c r="L138" s="342">
        <f t="shared" si="108"/>
        <v>0</v>
      </c>
      <c r="M138" s="343"/>
      <c r="N138" s="343">
        <f t="shared" si="109"/>
        <v>0</v>
      </c>
      <c r="O138" s="344">
        <f t="shared" si="110"/>
        <v>0</v>
      </c>
      <c r="P138" s="345">
        <f t="shared" si="111"/>
        <v>0</v>
      </c>
      <c r="Q138" s="406"/>
    </row>
    <row r="139" spans="1:17" s="239" customFormat="1" ht="55.5" customHeight="1" thickTop="1" x14ac:dyDescent="0.25">
      <c r="A139" s="245">
        <v>15</v>
      </c>
      <c r="B139" s="561" t="s">
        <v>186</v>
      </c>
      <c r="C139" s="562"/>
      <c r="D139" s="562"/>
      <c r="E139" s="563"/>
      <c r="F139" s="246"/>
      <c r="G139" s="254"/>
      <c r="H139" s="247"/>
      <c r="I139" s="248"/>
      <c r="J139" s="273">
        <f>SUM(I141:I142)</f>
        <v>250950</v>
      </c>
      <c r="K139" s="250"/>
      <c r="L139" s="251"/>
      <c r="M139" s="252"/>
      <c r="N139" s="252"/>
      <c r="O139" s="251"/>
      <c r="P139" s="248"/>
      <c r="Q139" s="403"/>
    </row>
    <row r="140" spans="1:17" ht="45" customHeight="1" x14ac:dyDescent="0.25">
      <c r="A140" s="311"/>
      <c r="B140" s="543" t="s">
        <v>187</v>
      </c>
      <c r="C140" s="544"/>
      <c r="D140" s="544"/>
      <c r="E140" s="545"/>
      <c r="F140" s="246"/>
      <c r="G140" s="254"/>
      <c r="H140" s="247"/>
      <c r="I140" s="248"/>
      <c r="J140" s="249"/>
      <c r="K140" s="250"/>
      <c r="L140" s="251"/>
      <c r="M140" s="252"/>
      <c r="N140" s="252"/>
      <c r="O140" s="251"/>
      <c r="P140" s="248"/>
      <c r="Q140" s="403"/>
    </row>
    <row r="141" spans="1:17" s="326" customFormat="1" ht="27.75" customHeight="1" x14ac:dyDescent="0.3">
      <c r="A141" s="315"/>
      <c r="B141" s="578" t="s">
        <v>188</v>
      </c>
      <c r="C141" s="576"/>
      <c r="D141" s="576"/>
      <c r="E141" s="577"/>
      <c r="F141" s="316">
        <v>105</v>
      </c>
      <c r="G141" s="329" t="s">
        <v>20</v>
      </c>
      <c r="H141" s="318">
        <v>1195</v>
      </c>
      <c r="I141" s="319">
        <f>F141*H141</f>
        <v>125475</v>
      </c>
      <c r="J141" s="320"/>
      <c r="K141" s="321">
        <v>105</v>
      </c>
      <c r="L141" s="322">
        <f t="shared" ref="L141:L142" si="112">M141-K141</f>
        <v>0</v>
      </c>
      <c r="M141" s="323">
        <v>105</v>
      </c>
      <c r="N141" s="323">
        <f t="shared" ref="N141:N142" si="113">+K141*H141</f>
        <v>125475</v>
      </c>
      <c r="O141" s="324">
        <f t="shared" ref="O141:O142" si="114">P141-N141</f>
        <v>0</v>
      </c>
      <c r="P141" s="325">
        <f t="shared" ref="P141:P142" si="115">H141*M141</f>
        <v>125475</v>
      </c>
      <c r="Q141" s="404"/>
    </row>
    <row r="142" spans="1:17" s="327" customFormat="1" ht="22.5" customHeight="1" thickBot="1" x14ac:dyDescent="0.3">
      <c r="A142" s="346"/>
      <c r="B142" s="540" t="s">
        <v>189</v>
      </c>
      <c r="C142" s="541"/>
      <c r="D142" s="541"/>
      <c r="E142" s="542"/>
      <c r="F142" s="347">
        <v>105</v>
      </c>
      <c r="G142" s="336" t="s">
        <v>20</v>
      </c>
      <c r="H142" s="338">
        <v>1195</v>
      </c>
      <c r="I142" s="339">
        <f>F142*H142</f>
        <v>125475</v>
      </c>
      <c r="J142" s="348"/>
      <c r="K142" s="341">
        <v>105</v>
      </c>
      <c r="L142" s="342">
        <f t="shared" si="112"/>
        <v>0</v>
      </c>
      <c r="M142" s="343">
        <v>105</v>
      </c>
      <c r="N142" s="343">
        <f t="shared" si="113"/>
        <v>125475</v>
      </c>
      <c r="O142" s="344">
        <f t="shared" si="114"/>
        <v>0</v>
      </c>
      <c r="P142" s="345">
        <f t="shared" si="115"/>
        <v>125475</v>
      </c>
      <c r="Q142" s="406"/>
    </row>
    <row r="143" spans="1:17" ht="67.5" customHeight="1" thickTop="1" x14ac:dyDescent="0.25">
      <c r="A143" s="253">
        <v>16</v>
      </c>
      <c r="B143" s="535" t="s">
        <v>211</v>
      </c>
      <c r="C143" s="536"/>
      <c r="D143" s="536"/>
      <c r="E143" s="537"/>
      <c r="F143" s="246"/>
      <c r="G143" s="254"/>
      <c r="H143" s="247"/>
      <c r="I143" s="248"/>
      <c r="J143" s="273">
        <f>SUM(I146:I148)</f>
        <v>75212.12999999999</v>
      </c>
      <c r="K143" s="250"/>
      <c r="L143" s="251"/>
      <c r="M143" s="252"/>
      <c r="N143" s="252"/>
      <c r="O143" s="251"/>
      <c r="P143" s="248"/>
      <c r="Q143" s="404"/>
    </row>
    <row r="144" spans="1:17" s="243" customFormat="1" ht="27.75" customHeight="1" x14ac:dyDescent="0.25">
      <c r="A144" s="253"/>
      <c r="B144" s="549" t="s">
        <v>121</v>
      </c>
      <c r="C144" s="550"/>
      <c r="D144" s="550"/>
      <c r="E144" s="551"/>
      <c r="F144" s="254"/>
      <c r="G144" s="254"/>
      <c r="H144" s="247"/>
      <c r="I144" s="248"/>
      <c r="J144" s="249"/>
      <c r="K144" s="250"/>
      <c r="L144" s="251"/>
      <c r="M144" s="252"/>
      <c r="N144" s="252"/>
      <c r="O144" s="251"/>
      <c r="P144" s="248"/>
      <c r="Q144" s="404"/>
    </row>
    <row r="145" spans="1:17" s="243" customFormat="1" ht="23.25" customHeight="1" x14ac:dyDescent="0.25">
      <c r="A145" s="253">
        <v>1</v>
      </c>
      <c r="B145" s="552" t="s">
        <v>209</v>
      </c>
      <c r="C145" s="553"/>
      <c r="D145" s="553"/>
      <c r="E145" s="554"/>
      <c r="F145" s="270"/>
      <c r="G145" s="269"/>
      <c r="H145" s="247"/>
      <c r="I145" s="248"/>
      <c r="J145" s="249"/>
      <c r="K145" s="250"/>
      <c r="L145" s="251"/>
      <c r="M145" s="252"/>
      <c r="N145" s="252"/>
      <c r="O145" s="251"/>
      <c r="P145" s="248"/>
      <c r="Q145" s="404"/>
    </row>
    <row r="146" spans="1:17" s="243" customFormat="1" ht="19.5" customHeight="1" x14ac:dyDescent="0.25">
      <c r="A146" s="253"/>
      <c r="B146" s="555" t="s">
        <v>114</v>
      </c>
      <c r="C146" s="556"/>
      <c r="D146" s="556"/>
      <c r="E146" s="557"/>
      <c r="F146" s="270">
        <v>2236.4601769911501</v>
      </c>
      <c r="G146" s="269" t="s">
        <v>117</v>
      </c>
      <c r="H146" s="247">
        <v>16.95</v>
      </c>
      <c r="I146" s="248">
        <f>H146*F146</f>
        <v>37907.999999999993</v>
      </c>
      <c r="J146" s="249"/>
      <c r="K146" s="250"/>
      <c r="L146" s="251">
        <f t="shared" ref="L146:L147" si="116">M146-K146</f>
        <v>0</v>
      </c>
      <c r="M146" s="252"/>
      <c r="N146" s="252">
        <f t="shared" ref="N146:N148" si="117">+K146*H146</f>
        <v>0</v>
      </c>
      <c r="O146" s="251">
        <f t="shared" ref="O146:O148" si="118">P146-N146</f>
        <v>0</v>
      </c>
      <c r="P146" s="248">
        <f t="shared" ref="P146:P148" si="119">H146*M146</f>
        <v>0</v>
      </c>
      <c r="Q146" s="404"/>
    </row>
    <row r="147" spans="1:17" s="243" customFormat="1" ht="19.5" customHeight="1" x14ac:dyDescent="0.25">
      <c r="A147" s="253"/>
      <c r="B147" s="555" t="s">
        <v>115</v>
      </c>
      <c r="C147" s="556"/>
      <c r="D147" s="556"/>
      <c r="E147" s="557"/>
      <c r="F147" s="270">
        <v>35.853022222222201</v>
      </c>
      <c r="G147" s="269" t="s">
        <v>5</v>
      </c>
      <c r="H147" s="247">
        <v>225</v>
      </c>
      <c r="I147" s="248">
        <f>H147*F147</f>
        <v>8066.9299999999948</v>
      </c>
      <c r="J147" s="249"/>
      <c r="K147" s="250"/>
      <c r="L147" s="251">
        <f t="shared" si="116"/>
        <v>0</v>
      </c>
      <c r="M147" s="252"/>
      <c r="N147" s="252">
        <f t="shared" si="117"/>
        <v>0</v>
      </c>
      <c r="O147" s="251">
        <f t="shared" si="118"/>
        <v>0</v>
      </c>
      <c r="P147" s="248">
        <f t="shared" si="119"/>
        <v>0</v>
      </c>
      <c r="Q147" s="404"/>
    </row>
    <row r="148" spans="1:17" s="243" customFormat="1" ht="34.5" customHeight="1" thickBot="1" x14ac:dyDescent="0.3">
      <c r="A148" s="259"/>
      <c r="B148" s="558" t="s">
        <v>116</v>
      </c>
      <c r="C148" s="559"/>
      <c r="D148" s="559"/>
      <c r="E148" s="560"/>
      <c r="F148" s="271">
        <v>76.94</v>
      </c>
      <c r="G148" s="272" t="s">
        <v>5</v>
      </c>
      <c r="H148" s="262">
        <v>380</v>
      </c>
      <c r="I148" s="263">
        <f>H148*F148</f>
        <v>29237.200000000001</v>
      </c>
      <c r="J148" s="264"/>
      <c r="K148" s="265"/>
      <c r="L148" s="266">
        <f>M148-K148</f>
        <v>0</v>
      </c>
      <c r="M148" s="267"/>
      <c r="N148" s="267">
        <f t="shared" si="117"/>
        <v>0</v>
      </c>
      <c r="O148" s="266">
        <f t="shared" si="118"/>
        <v>0</v>
      </c>
      <c r="P148" s="263">
        <f t="shared" si="119"/>
        <v>0</v>
      </c>
      <c r="Q148" s="404"/>
    </row>
    <row r="149" spans="1:17" ht="78" customHeight="1" thickTop="1" x14ac:dyDescent="0.25">
      <c r="A149" s="253">
        <v>17</v>
      </c>
      <c r="B149" s="535" t="s">
        <v>212</v>
      </c>
      <c r="C149" s="536"/>
      <c r="D149" s="536"/>
      <c r="E149" s="537"/>
      <c r="F149" s="246"/>
      <c r="G149" s="254"/>
      <c r="H149" s="247"/>
      <c r="I149" s="248"/>
      <c r="J149" s="273">
        <f>SUM(I152:I154)</f>
        <v>68068.12999999999</v>
      </c>
      <c r="K149" s="250"/>
      <c r="L149" s="251"/>
      <c r="M149" s="252"/>
      <c r="N149" s="252"/>
      <c r="O149" s="251"/>
      <c r="P149" s="248"/>
      <c r="Q149" s="404"/>
    </row>
    <row r="150" spans="1:17" s="243" customFormat="1" ht="27.75" customHeight="1" x14ac:dyDescent="0.25">
      <c r="A150" s="253"/>
      <c r="B150" s="549" t="s">
        <v>121</v>
      </c>
      <c r="C150" s="550"/>
      <c r="D150" s="550"/>
      <c r="E150" s="551"/>
      <c r="F150" s="254"/>
      <c r="G150" s="254"/>
      <c r="H150" s="247"/>
      <c r="I150" s="248"/>
      <c r="J150" s="249"/>
      <c r="K150" s="250"/>
      <c r="L150" s="251"/>
      <c r="M150" s="252"/>
      <c r="N150" s="252"/>
      <c r="O150" s="251"/>
      <c r="P150" s="248"/>
      <c r="Q150" s="404"/>
    </row>
    <row r="151" spans="1:17" s="243" customFormat="1" ht="23.25" customHeight="1" x14ac:dyDescent="0.25">
      <c r="A151" s="253">
        <v>1</v>
      </c>
      <c r="B151" s="552" t="s">
        <v>210</v>
      </c>
      <c r="C151" s="553"/>
      <c r="D151" s="553"/>
      <c r="E151" s="554"/>
      <c r="F151" s="270"/>
      <c r="G151" s="269"/>
      <c r="H151" s="247"/>
      <c r="I151" s="248"/>
      <c r="J151" s="249"/>
      <c r="K151" s="250"/>
      <c r="L151" s="251"/>
      <c r="M151" s="252"/>
      <c r="N151" s="252"/>
      <c r="O151" s="251"/>
      <c r="P151" s="248"/>
      <c r="Q151" s="404"/>
    </row>
    <row r="152" spans="1:17" s="243" customFormat="1" ht="19.5" customHeight="1" x14ac:dyDescent="0.25">
      <c r="A152" s="253"/>
      <c r="B152" s="555" t="s">
        <v>114</v>
      </c>
      <c r="C152" s="556"/>
      <c r="D152" s="556"/>
      <c r="E152" s="557"/>
      <c r="F152" s="270">
        <v>2236.4601769911501</v>
      </c>
      <c r="G152" s="269" t="s">
        <v>117</v>
      </c>
      <c r="H152" s="247">
        <v>16.95</v>
      </c>
      <c r="I152" s="248">
        <f>H152*F152</f>
        <v>37907.999999999993</v>
      </c>
      <c r="J152" s="249"/>
      <c r="K152" s="250"/>
      <c r="L152" s="251">
        <f t="shared" ref="L152:L153" si="120">M152-K152</f>
        <v>0</v>
      </c>
      <c r="M152" s="252"/>
      <c r="N152" s="252">
        <f t="shared" ref="N152:N154" si="121">+K152*H152</f>
        <v>0</v>
      </c>
      <c r="O152" s="251">
        <f t="shared" ref="O152:O154" si="122">P152-N152</f>
        <v>0</v>
      </c>
      <c r="P152" s="248">
        <f t="shared" ref="P152:P154" si="123">H152*M152</f>
        <v>0</v>
      </c>
      <c r="Q152" s="404"/>
    </row>
    <row r="153" spans="1:17" s="243" customFormat="1" ht="19.5" customHeight="1" x14ac:dyDescent="0.25">
      <c r="A153" s="253"/>
      <c r="B153" s="555" t="s">
        <v>115</v>
      </c>
      <c r="C153" s="556"/>
      <c r="D153" s="556"/>
      <c r="E153" s="557"/>
      <c r="F153" s="270">
        <v>35.853022222222201</v>
      </c>
      <c r="G153" s="269" t="s">
        <v>5</v>
      </c>
      <c r="H153" s="247">
        <v>225</v>
      </c>
      <c r="I153" s="248">
        <f>H153*F153</f>
        <v>8066.9299999999948</v>
      </c>
      <c r="J153" s="249"/>
      <c r="K153" s="250"/>
      <c r="L153" s="251">
        <f t="shared" si="120"/>
        <v>0</v>
      </c>
      <c r="M153" s="252"/>
      <c r="N153" s="252">
        <f t="shared" si="121"/>
        <v>0</v>
      </c>
      <c r="O153" s="251">
        <f t="shared" si="122"/>
        <v>0</v>
      </c>
      <c r="P153" s="248">
        <f t="shared" si="123"/>
        <v>0</v>
      </c>
      <c r="Q153" s="404"/>
    </row>
    <row r="154" spans="1:17" s="243" customFormat="1" ht="37.5" customHeight="1" thickBot="1" x14ac:dyDescent="0.3">
      <c r="A154" s="259"/>
      <c r="B154" s="558" t="s">
        <v>116</v>
      </c>
      <c r="C154" s="559"/>
      <c r="D154" s="559"/>
      <c r="E154" s="560"/>
      <c r="F154" s="271">
        <v>58.14</v>
      </c>
      <c r="G154" s="272" t="s">
        <v>5</v>
      </c>
      <c r="H154" s="262">
        <v>380</v>
      </c>
      <c r="I154" s="263">
        <f>H154*F154</f>
        <v>22093.200000000001</v>
      </c>
      <c r="J154" s="264"/>
      <c r="K154" s="265"/>
      <c r="L154" s="266">
        <f>M154-K154</f>
        <v>0</v>
      </c>
      <c r="M154" s="267"/>
      <c r="N154" s="267">
        <f t="shared" si="121"/>
        <v>0</v>
      </c>
      <c r="O154" s="266">
        <f t="shared" si="122"/>
        <v>0</v>
      </c>
      <c r="P154" s="263">
        <f t="shared" si="123"/>
        <v>0</v>
      </c>
      <c r="Q154" s="406"/>
    </row>
    <row r="155" spans="1:17" ht="57.75" customHeight="1" thickTop="1" x14ac:dyDescent="0.25">
      <c r="A155" s="253">
        <v>18</v>
      </c>
      <c r="B155" s="535" t="s">
        <v>217</v>
      </c>
      <c r="C155" s="536"/>
      <c r="D155" s="536"/>
      <c r="E155" s="537"/>
      <c r="F155" s="246"/>
      <c r="G155" s="254"/>
      <c r="H155" s="247"/>
      <c r="I155" s="248"/>
      <c r="J155" s="273">
        <f>SUM(I156:I159)</f>
        <v>159079.21000000002</v>
      </c>
      <c r="K155" s="250"/>
      <c r="L155" s="251"/>
      <c r="M155" s="252"/>
      <c r="N155" s="252"/>
      <c r="O155" s="251"/>
      <c r="P155" s="248"/>
      <c r="Q155" s="404"/>
    </row>
    <row r="156" spans="1:17" s="243" customFormat="1" ht="27.75" customHeight="1" x14ac:dyDescent="0.25">
      <c r="A156" s="349">
        <v>1</v>
      </c>
      <c r="B156" s="555" t="s">
        <v>213</v>
      </c>
      <c r="C156" s="556"/>
      <c r="D156" s="556"/>
      <c r="E156" s="557"/>
      <c r="F156" s="350">
        <v>103</v>
      </c>
      <c r="G156" s="254" t="s">
        <v>1</v>
      </c>
      <c r="H156" s="247">
        <v>1006.59</v>
      </c>
      <c r="I156" s="248">
        <f>H156*F156</f>
        <v>103678.77</v>
      </c>
      <c r="J156" s="249"/>
      <c r="K156" s="250">
        <v>50</v>
      </c>
      <c r="L156" s="251">
        <f>M156-K156</f>
        <v>0</v>
      </c>
      <c r="M156" s="252">
        <v>50</v>
      </c>
      <c r="N156" s="252">
        <f>+K156*H156</f>
        <v>50329.5</v>
      </c>
      <c r="O156" s="251">
        <f t="shared" ref="O156:O159" si="124">P156-N156</f>
        <v>0</v>
      </c>
      <c r="P156" s="248">
        <f>H156*M156</f>
        <v>50329.5</v>
      </c>
      <c r="Q156" s="404"/>
    </row>
    <row r="157" spans="1:17" s="243" customFormat="1" ht="27.75" customHeight="1" x14ac:dyDescent="0.25">
      <c r="A157" s="349">
        <v>2</v>
      </c>
      <c r="B157" s="555" t="s">
        <v>214</v>
      </c>
      <c r="C157" s="556"/>
      <c r="D157" s="556"/>
      <c r="E157" s="557"/>
      <c r="F157" s="350">
        <v>103</v>
      </c>
      <c r="G157" s="254" t="s">
        <v>1</v>
      </c>
      <c r="H157" s="247">
        <v>384.52</v>
      </c>
      <c r="I157" s="248">
        <f>H157*F157</f>
        <v>39605.56</v>
      </c>
      <c r="J157" s="249"/>
      <c r="K157" s="250">
        <v>103</v>
      </c>
      <c r="L157" s="251">
        <f>M157-K157</f>
        <v>0</v>
      </c>
      <c r="M157" s="252">
        <v>103</v>
      </c>
      <c r="N157" s="252">
        <f>+K157*H157</f>
        <v>39605.56</v>
      </c>
      <c r="O157" s="251">
        <f t="shared" si="124"/>
        <v>0</v>
      </c>
      <c r="P157" s="248">
        <f>H157*M157</f>
        <v>39605.56</v>
      </c>
      <c r="Q157" s="404"/>
    </row>
    <row r="158" spans="1:17" s="243" customFormat="1" ht="27.75" customHeight="1" x14ac:dyDescent="0.25">
      <c r="A158" s="349">
        <v>3</v>
      </c>
      <c r="B158" s="555" t="s">
        <v>215</v>
      </c>
      <c r="C158" s="556"/>
      <c r="D158" s="556"/>
      <c r="E158" s="557"/>
      <c r="F158" s="350">
        <v>1</v>
      </c>
      <c r="G158" s="295" t="s">
        <v>134</v>
      </c>
      <c r="H158" s="247">
        <v>5794.88</v>
      </c>
      <c r="I158" s="248">
        <f>H158*F158</f>
        <v>5794.88</v>
      </c>
      <c r="J158" s="249"/>
      <c r="K158" s="250"/>
      <c r="L158" s="251">
        <f>M158-K158</f>
        <v>0</v>
      </c>
      <c r="M158" s="252"/>
      <c r="N158" s="252">
        <f>+K158*H158</f>
        <v>0</v>
      </c>
      <c r="O158" s="251">
        <f t="shared" si="124"/>
        <v>0</v>
      </c>
      <c r="P158" s="248">
        <f>H158*M158</f>
        <v>0</v>
      </c>
      <c r="Q158" s="404"/>
    </row>
    <row r="159" spans="1:17" s="243" customFormat="1" ht="27.75" customHeight="1" thickBot="1" x14ac:dyDescent="0.3">
      <c r="A159" s="351">
        <v>4</v>
      </c>
      <c r="B159" s="558" t="s">
        <v>216</v>
      </c>
      <c r="C159" s="559"/>
      <c r="D159" s="559"/>
      <c r="E159" s="560"/>
      <c r="F159" s="352">
        <v>1</v>
      </c>
      <c r="G159" s="353" t="s">
        <v>134</v>
      </c>
      <c r="H159" s="262">
        <v>10000</v>
      </c>
      <c r="I159" s="263">
        <f>H159*F159</f>
        <v>10000</v>
      </c>
      <c r="J159" s="264"/>
      <c r="K159" s="265">
        <v>1</v>
      </c>
      <c r="L159" s="266">
        <f>M159-K159</f>
        <v>0</v>
      </c>
      <c r="M159" s="267">
        <v>1</v>
      </c>
      <c r="N159" s="267">
        <f>+K159*H159</f>
        <v>10000</v>
      </c>
      <c r="O159" s="266">
        <f t="shared" si="124"/>
        <v>0</v>
      </c>
      <c r="P159" s="263">
        <f>H159*M159</f>
        <v>10000</v>
      </c>
      <c r="Q159" s="406"/>
    </row>
    <row r="160" spans="1:17" s="239" customFormat="1" ht="108" customHeight="1" thickTop="1" x14ac:dyDescent="0.25">
      <c r="A160" s="253">
        <v>19</v>
      </c>
      <c r="B160" s="535" t="s">
        <v>228</v>
      </c>
      <c r="C160" s="536"/>
      <c r="D160" s="536"/>
      <c r="E160" s="537"/>
      <c r="F160" s="246"/>
      <c r="G160" s="254"/>
      <c r="H160" s="247"/>
      <c r="I160" s="248"/>
      <c r="J160" s="273">
        <f>SUM(I161)</f>
        <v>15750</v>
      </c>
      <c r="K160" s="250"/>
      <c r="L160" s="251"/>
      <c r="M160" s="252"/>
      <c r="N160" s="252"/>
      <c r="O160" s="251"/>
      <c r="P160" s="248"/>
      <c r="Q160" s="404"/>
    </row>
    <row r="161" spans="1:17" s="243" customFormat="1" ht="27.75" customHeight="1" x14ac:dyDescent="0.25">
      <c r="A161" s="349"/>
      <c r="B161" s="555" t="s">
        <v>218</v>
      </c>
      <c r="C161" s="556"/>
      <c r="D161" s="556"/>
      <c r="E161" s="557"/>
      <c r="F161" s="350">
        <v>1</v>
      </c>
      <c r="G161" s="254" t="s">
        <v>134</v>
      </c>
      <c r="H161" s="247">
        <v>15750</v>
      </c>
      <c r="I161" s="248">
        <f>H161*F161</f>
        <v>15750</v>
      </c>
      <c r="J161" s="249"/>
      <c r="K161" s="250">
        <v>1</v>
      </c>
      <c r="L161" s="251">
        <f t="shared" ref="L161" si="125">M161-K161</f>
        <v>0</v>
      </c>
      <c r="M161" s="252">
        <v>1</v>
      </c>
      <c r="N161" s="252">
        <f t="shared" ref="N161" si="126">+K161*H161</f>
        <v>15750</v>
      </c>
      <c r="O161" s="251">
        <f t="shared" ref="O161" si="127">P161-N161</f>
        <v>0</v>
      </c>
      <c r="P161" s="248">
        <f t="shared" ref="P161" si="128">H161*M161</f>
        <v>15750</v>
      </c>
      <c r="Q161" s="404"/>
    </row>
    <row r="162" spans="1:17" s="243" customFormat="1" ht="27.75" customHeight="1" x14ac:dyDescent="0.25">
      <c r="A162" s="349"/>
      <c r="B162" s="555" t="s">
        <v>219</v>
      </c>
      <c r="C162" s="556"/>
      <c r="D162" s="556"/>
      <c r="E162" s="557"/>
      <c r="F162" s="350"/>
      <c r="G162" s="254"/>
      <c r="H162" s="247"/>
      <c r="I162" s="248"/>
      <c r="J162" s="249"/>
      <c r="K162" s="250"/>
      <c r="L162" s="251"/>
      <c r="M162" s="252"/>
      <c r="N162" s="252"/>
      <c r="O162" s="251"/>
      <c r="P162" s="248"/>
      <c r="Q162" s="404"/>
    </row>
    <row r="163" spans="1:17" s="243" customFormat="1" ht="12" customHeight="1" thickBot="1" x14ac:dyDescent="0.3">
      <c r="A163" s="351"/>
      <c r="B163" s="558"/>
      <c r="C163" s="559"/>
      <c r="D163" s="559"/>
      <c r="E163" s="560"/>
      <c r="F163" s="352"/>
      <c r="G163" s="353"/>
      <c r="H163" s="262"/>
      <c r="I163" s="263"/>
      <c r="J163" s="264"/>
      <c r="K163" s="265"/>
      <c r="L163" s="266"/>
      <c r="M163" s="267"/>
      <c r="N163" s="267"/>
      <c r="O163" s="266"/>
      <c r="P163" s="263"/>
      <c r="Q163" s="406"/>
    </row>
    <row r="164" spans="1:17" s="239" customFormat="1" ht="150.75" customHeight="1" thickTop="1" x14ac:dyDescent="0.25">
      <c r="A164" s="253">
        <v>20</v>
      </c>
      <c r="B164" s="535" t="s">
        <v>220</v>
      </c>
      <c r="C164" s="536"/>
      <c r="D164" s="536"/>
      <c r="E164" s="537"/>
      <c r="F164" s="246"/>
      <c r="G164" s="254"/>
      <c r="H164" s="247"/>
      <c r="I164" s="248"/>
      <c r="J164" s="273">
        <f>SUM(I165:I170)</f>
        <v>574781.32000000007</v>
      </c>
      <c r="K164" s="250"/>
      <c r="L164" s="251"/>
      <c r="M164" s="252"/>
      <c r="N164" s="252"/>
      <c r="O164" s="251"/>
      <c r="P164" s="248"/>
      <c r="Q164" s="404"/>
    </row>
    <row r="165" spans="1:17" s="243" customFormat="1" ht="50.25" customHeight="1" x14ac:dyDescent="0.25">
      <c r="A165" s="349">
        <v>1</v>
      </c>
      <c r="B165" s="555" t="s">
        <v>278</v>
      </c>
      <c r="C165" s="556"/>
      <c r="D165" s="556"/>
      <c r="E165" s="557"/>
      <c r="F165" s="350">
        <v>50</v>
      </c>
      <c r="G165" s="254" t="s">
        <v>20</v>
      </c>
      <c r="H165" s="247">
        <v>1569</v>
      </c>
      <c r="I165" s="248">
        <f>H165*F165</f>
        <v>78450</v>
      </c>
      <c r="J165" s="354"/>
      <c r="K165" s="250">
        <v>50</v>
      </c>
      <c r="L165" s="251">
        <f t="shared" ref="L165:L169" si="129">M165-K165</f>
        <v>0</v>
      </c>
      <c r="M165" s="252">
        <v>50</v>
      </c>
      <c r="N165" s="252">
        <f t="shared" ref="N165:N168" si="130">+K165*H165</f>
        <v>78450</v>
      </c>
      <c r="O165" s="251">
        <f t="shared" ref="O165:O170" si="131">P165-N165</f>
        <v>0</v>
      </c>
      <c r="P165" s="248">
        <f t="shared" ref="P165:P168" si="132">H165*M165</f>
        <v>78450</v>
      </c>
      <c r="Q165" s="404"/>
    </row>
    <row r="166" spans="1:17" s="243" customFormat="1" ht="64.8" x14ac:dyDescent="0.25">
      <c r="A166" s="349">
        <v>2</v>
      </c>
      <c r="B166" s="555" t="s">
        <v>279</v>
      </c>
      <c r="C166" s="556"/>
      <c r="D166" s="556"/>
      <c r="E166" s="557"/>
      <c r="F166" s="295">
        <v>71.34</v>
      </c>
      <c r="G166" s="254" t="s">
        <v>20</v>
      </c>
      <c r="H166" s="247">
        <v>1569</v>
      </c>
      <c r="I166" s="248">
        <f>H166*F166</f>
        <v>111932.46</v>
      </c>
      <c r="J166" s="354"/>
      <c r="K166" s="250"/>
      <c r="L166" s="251">
        <f t="shared" si="129"/>
        <v>35.67</v>
      </c>
      <c r="M166" s="252">
        <f>F166*0.5</f>
        <v>35.67</v>
      </c>
      <c r="N166" s="252">
        <f t="shared" si="130"/>
        <v>0</v>
      </c>
      <c r="O166" s="251">
        <f t="shared" si="131"/>
        <v>55966.23</v>
      </c>
      <c r="P166" s="448">
        <f t="shared" si="132"/>
        <v>55966.23</v>
      </c>
      <c r="Q166" s="442" t="s">
        <v>315</v>
      </c>
    </row>
    <row r="167" spans="1:17" s="243" customFormat="1" ht="36" customHeight="1" x14ac:dyDescent="0.25">
      <c r="A167" s="349">
        <v>3</v>
      </c>
      <c r="B167" s="555" t="s">
        <v>280</v>
      </c>
      <c r="C167" s="556"/>
      <c r="D167" s="556"/>
      <c r="E167" s="557"/>
      <c r="F167" s="295">
        <v>87.94</v>
      </c>
      <c r="G167" s="254" t="s">
        <v>20</v>
      </c>
      <c r="H167" s="247">
        <v>2092</v>
      </c>
      <c r="I167" s="248">
        <f t="shared" ref="I167:I170" si="133">H167*F167</f>
        <v>183970.47999999998</v>
      </c>
      <c r="J167" s="354"/>
      <c r="K167" s="250">
        <v>87.94</v>
      </c>
      <c r="L167" s="251">
        <f t="shared" si="129"/>
        <v>0</v>
      </c>
      <c r="M167" s="252">
        <v>87.94</v>
      </c>
      <c r="N167" s="252">
        <f t="shared" si="130"/>
        <v>183970.47999999998</v>
      </c>
      <c r="O167" s="251">
        <f t="shared" si="131"/>
        <v>0</v>
      </c>
      <c r="P167" s="248">
        <f t="shared" si="132"/>
        <v>183970.47999999998</v>
      </c>
      <c r="Q167" s="404"/>
    </row>
    <row r="168" spans="1:17" s="243" customFormat="1" ht="56.25" customHeight="1" x14ac:dyDescent="0.25">
      <c r="A168" s="349">
        <v>4</v>
      </c>
      <c r="B168" s="555" t="s">
        <v>281</v>
      </c>
      <c r="C168" s="556"/>
      <c r="D168" s="556"/>
      <c r="E168" s="557"/>
      <c r="F168" s="295">
        <v>25.62</v>
      </c>
      <c r="G168" s="254" t="s">
        <v>20</v>
      </c>
      <c r="H168" s="247">
        <v>1699</v>
      </c>
      <c r="I168" s="248">
        <f t="shared" si="133"/>
        <v>43528.380000000005</v>
      </c>
      <c r="J168" s="354"/>
      <c r="K168" s="250">
        <v>25.62</v>
      </c>
      <c r="L168" s="251">
        <f t="shared" si="129"/>
        <v>0</v>
      </c>
      <c r="M168" s="252">
        <v>25.62</v>
      </c>
      <c r="N168" s="252">
        <f t="shared" si="130"/>
        <v>43528.380000000005</v>
      </c>
      <c r="O168" s="251">
        <f t="shared" si="131"/>
        <v>0</v>
      </c>
      <c r="P168" s="248">
        <f t="shared" si="132"/>
        <v>43528.380000000005</v>
      </c>
      <c r="Q168" s="404"/>
    </row>
    <row r="169" spans="1:17" s="243" customFormat="1" ht="41.25" customHeight="1" x14ac:dyDescent="0.25">
      <c r="A169" s="349">
        <v>5</v>
      </c>
      <c r="B169" s="555" t="s">
        <v>282</v>
      </c>
      <c r="C169" s="556"/>
      <c r="D169" s="556"/>
      <c r="E169" s="557"/>
      <c r="F169" s="350">
        <v>50</v>
      </c>
      <c r="G169" s="254" t="s">
        <v>20</v>
      </c>
      <c r="H169" s="247">
        <v>1569</v>
      </c>
      <c r="I169" s="248">
        <f t="shared" si="133"/>
        <v>78450</v>
      </c>
      <c r="J169" s="354"/>
      <c r="K169" s="250">
        <v>50</v>
      </c>
      <c r="L169" s="251">
        <f t="shared" si="129"/>
        <v>0</v>
      </c>
      <c r="M169" s="252">
        <v>50</v>
      </c>
      <c r="N169" s="252">
        <f>+K169*H169*0.7</f>
        <v>54915</v>
      </c>
      <c r="O169" s="251">
        <f t="shared" si="131"/>
        <v>23535</v>
      </c>
      <c r="P169" s="440">
        <f>H169*M169</f>
        <v>78450</v>
      </c>
      <c r="Q169" s="404" t="s">
        <v>306</v>
      </c>
    </row>
    <row r="170" spans="1:17" s="243" customFormat="1" ht="42" customHeight="1" thickBot="1" x14ac:dyDescent="0.3">
      <c r="A170" s="351">
        <v>6</v>
      </c>
      <c r="B170" s="582" t="s">
        <v>283</v>
      </c>
      <c r="C170" s="583"/>
      <c r="D170" s="583"/>
      <c r="E170" s="584"/>
      <c r="F170" s="352">
        <v>50</v>
      </c>
      <c r="G170" s="261" t="s">
        <v>20</v>
      </c>
      <c r="H170" s="262">
        <v>1569</v>
      </c>
      <c r="I170" s="263">
        <f t="shared" si="133"/>
        <v>78450</v>
      </c>
      <c r="J170" s="306"/>
      <c r="K170" s="265">
        <v>50</v>
      </c>
      <c r="L170" s="266">
        <f>M170-K170</f>
        <v>0</v>
      </c>
      <c r="M170" s="267">
        <v>50</v>
      </c>
      <c r="N170" s="267">
        <f>+K170*H170*0.7</f>
        <v>54915</v>
      </c>
      <c r="O170" s="266">
        <f t="shared" si="131"/>
        <v>0</v>
      </c>
      <c r="P170" s="421">
        <f>H170*M170*0.7</f>
        <v>54915</v>
      </c>
      <c r="Q170" s="404" t="s">
        <v>285</v>
      </c>
    </row>
    <row r="171" spans="1:17" s="239" customFormat="1" ht="138" customHeight="1" thickTop="1" x14ac:dyDescent="0.25">
      <c r="A171" s="253">
        <v>21</v>
      </c>
      <c r="B171" s="535" t="s">
        <v>221</v>
      </c>
      <c r="C171" s="536"/>
      <c r="D171" s="536"/>
      <c r="E171" s="537"/>
      <c r="F171" s="246"/>
      <c r="G171" s="254"/>
      <c r="H171" s="247"/>
      <c r="I171" s="248"/>
      <c r="J171" s="273">
        <f>SUM(I172)</f>
        <v>205320.53</v>
      </c>
      <c r="K171" s="250"/>
      <c r="L171" s="251"/>
      <c r="M171" s="252"/>
      <c r="N171" s="252"/>
      <c r="O171" s="251"/>
      <c r="P171" s="248"/>
      <c r="Q171" s="404"/>
    </row>
    <row r="172" spans="1:17" s="243" customFormat="1" ht="50.25" customHeight="1" thickBot="1" x14ac:dyDescent="0.3">
      <c r="A172" s="351">
        <v>1</v>
      </c>
      <c r="B172" s="558" t="s">
        <v>222</v>
      </c>
      <c r="C172" s="559"/>
      <c r="D172" s="559"/>
      <c r="E172" s="560"/>
      <c r="F172" s="352">
        <v>1</v>
      </c>
      <c r="G172" s="261" t="s">
        <v>2</v>
      </c>
      <c r="H172" s="262">
        <v>205320.53</v>
      </c>
      <c r="I172" s="263">
        <f>H172*F172</f>
        <v>205320.53</v>
      </c>
      <c r="J172" s="306"/>
      <c r="K172" s="265">
        <v>1</v>
      </c>
      <c r="L172" s="266">
        <f>M172-K172</f>
        <v>0</v>
      </c>
      <c r="M172" s="267">
        <v>1</v>
      </c>
      <c r="N172" s="267">
        <f t="shared" ref="N172" si="134">+K172*H172</f>
        <v>205320.53</v>
      </c>
      <c r="O172" s="266">
        <f t="shared" ref="O172" si="135">P172-N172</f>
        <v>0</v>
      </c>
      <c r="P172" s="263">
        <f>H172*M172</f>
        <v>205320.53</v>
      </c>
      <c r="Q172" s="404"/>
    </row>
    <row r="173" spans="1:17" s="239" customFormat="1" ht="133.5" customHeight="1" thickTop="1" x14ac:dyDescent="0.25">
      <c r="A173" s="253">
        <v>22</v>
      </c>
      <c r="B173" s="535" t="s">
        <v>223</v>
      </c>
      <c r="C173" s="536"/>
      <c r="D173" s="536"/>
      <c r="E173" s="537"/>
      <c r="F173" s="246"/>
      <c r="G173" s="254"/>
      <c r="H173" s="247"/>
      <c r="I173" s="248"/>
      <c r="J173" s="273">
        <f>SUM(I174)</f>
        <v>48640</v>
      </c>
      <c r="K173" s="250"/>
      <c r="L173" s="251"/>
      <c r="M173" s="252"/>
      <c r="N173" s="252"/>
      <c r="O173" s="251"/>
      <c r="P173" s="248"/>
      <c r="Q173" s="404"/>
    </row>
    <row r="174" spans="1:17" s="327" customFormat="1" ht="47.25" customHeight="1" thickBot="1" x14ac:dyDescent="0.3">
      <c r="A174" s="355"/>
      <c r="B174" s="628" t="s">
        <v>224</v>
      </c>
      <c r="C174" s="541"/>
      <c r="D174" s="541"/>
      <c r="E174" s="542"/>
      <c r="F174" s="347">
        <v>128</v>
      </c>
      <c r="G174" s="336" t="s">
        <v>273</v>
      </c>
      <c r="H174" s="338">
        <v>380</v>
      </c>
      <c r="I174" s="339">
        <f>H174*F174</f>
        <v>48640</v>
      </c>
      <c r="J174" s="348"/>
      <c r="K174" s="341">
        <v>128</v>
      </c>
      <c r="L174" s="266">
        <f>M174-K174</f>
        <v>0</v>
      </c>
      <c r="M174" s="267">
        <v>128</v>
      </c>
      <c r="N174" s="267">
        <f t="shared" ref="N174" si="136">+K174*H174</f>
        <v>48640</v>
      </c>
      <c r="O174" s="266">
        <f t="shared" ref="O174" si="137">P174-N174</f>
        <v>0</v>
      </c>
      <c r="P174" s="263">
        <f t="shared" ref="P174" si="138">H174*M174</f>
        <v>48640</v>
      </c>
      <c r="Q174" s="406"/>
    </row>
    <row r="175" spans="1:17" s="239" customFormat="1" ht="78.75" customHeight="1" thickTop="1" x14ac:dyDescent="0.25">
      <c r="A175" s="253">
        <v>23</v>
      </c>
      <c r="B175" s="535" t="s">
        <v>225</v>
      </c>
      <c r="C175" s="536"/>
      <c r="D175" s="536"/>
      <c r="E175" s="537"/>
      <c r="F175" s="246"/>
      <c r="G175" s="254"/>
      <c r="H175" s="247"/>
      <c r="I175" s="248"/>
      <c r="J175" s="273">
        <f>SUM(I176)</f>
        <v>59177.196000000004</v>
      </c>
      <c r="K175" s="250"/>
      <c r="L175" s="251"/>
      <c r="M175" s="252"/>
      <c r="N175" s="252"/>
      <c r="O175" s="251"/>
      <c r="P175" s="248"/>
      <c r="Q175" s="404"/>
    </row>
    <row r="176" spans="1:17" s="327" customFormat="1" ht="84" customHeight="1" thickBot="1" x14ac:dyDescent="0.3">
      <c r="A176" s="355"/>
      <c r="B176" s="628" t="s">
        <v>226</v>
      </c>
      <c r="C176" s="541"/>
      <c r="D176" s="541"/>
      <c r="E176" s="542"/>
      <c r="F176" s="356">
        <v>3491.28</v>
      </c>
      <c r="G176" s="336" t="s">
        <v>227</v>
      </c>
      <c r="H176" s="338">
        <v>16.95</v>
      </c>
      <c r="I176" s="339">
        <f>H176*F176</f>
        <v>59177.196000000004</v>
      </c>
      <c r="J176" s="348"/>
      <c r="K176" s="341">
        <v>3491.28</v>
      </c>
      <c r="L176" s="266">
        <f>M176-K176</f>
        <v>0</v>
      </c>
      <c r="M176" s="267">
        <v>3491.28</v>
      </c>
      <c r="N176" s="267">
        <f>+K176*H176*0.9</f>
        <v>53259.476400000007</v>
      </c>
      <c r="O176" s="266">
        <f t="shared" ref="O176" si="139">P176-N176</f>
        <v>0</v>
      </c>
      <c r="P176" s="421">
        <f>H176*M176*90%</f>
        <v>53259.476400000007</v>
      </c>
      <c r="Q176" s="404" t="s">
        <v>307</v>
      </c>
    </row>
    <row r="177" spans="1:17" s="239" customFormat="1" ht="47.25" customHeight="1" thickTop="1" x14ac:dyDescent="0.25">
      <c r="A177" s="253">
        <v>24</v>
      </c>
      <c r="B177" s="535" t="s">
        <v>229</v>
      </c>
      <c r="C177" s="536"/>
      <c r="D177" s="536"/>
      <c r="E177" s="537"/>
      <c r="F177" s="246"/>
      <c r="G177" s="254"/>
      <c r="H177" s="247"/>
      <c r="I177" s="248"/>
      <c r="J177" s="273">
        <f>SUM(I179:I187)</f>
        <v>49250</v>
      </c>
      <c r="K177" s="250"/>
      <c r="L177" s="251"/>
      <c r="M177" s="252"/>
      <c r="N177" s="252"/>
      <c r="O177" s="251"/>
      <c r="P177" s="248"/>
      <c r="Q177" s="404"/>
    </row>
    <row r="178" spans="1:17" s="327" customFormat="1" ht="93.75" customHeight="1" x14ac:dyDescent="0.25">
      <c r="A178" s="357">
        <v>1</v>
      </c>
      <c r="B178" s="630" t="s">
        <v>230</v>
      </c>
      <c r="C178" s="631"/>
      <c r="D178" s="631"/>
      <c r="E178" s="632"/>
      <c r="F178" s="358"/>
      <c r="G178" s="329"/>
      <c r="H178" s="318"/>
      <c r="I178" s="319"/>
      <c r="J178" s="320"/>
      <c r="K178" s="321"/>
      <c r="L178" s="322"/>
      <c r="M178" s="323"/>
      <c r="N178" s="323"/>
      <c r="O178" s="324"/>
      <c r="P178" s="325"/>
      <c r="Q178" s="404"/>
    </row>
    <row r="179" spans="1:17" s="327" customFormat="1" ht="25.5" customHeight="1" x14ac:dyDescent="0.25">
      <c r="A179" s="357"/>
      <c r="B179" s="630" t="s">
        <v>231</v>
      </c>
      <c r="C179" s="631"/>
      <c r="D179" s="631"/>
      <c r="E179" s="632"/>
      <c r="F179" s="358">
        <v>18</v>
      </c>
      <c r="G179" s="329" t="s">
        <v>20</v>
      </c>
      <c r="H179" s="318">
        <v>1250</v>
      </c>
      <c r="I179" s="319">
        <f>H179*F179</f>
        <v>22500</v>
      </c>
      <c r="J179" s="320"/>
      <c r="K179" s="321">
        <v>12.6</v>
      </c>
      <c r="L179" s="251">
        <f t="shared" ref="L179:L186" si="140">M179-K179</f>
        <v>0</v>
      </c>
      <c r="M179" s="252">
        <v>12.6</v>
      </c>
      <c r="N179" s="252">
        <f t="shared" ref="N179:N186" si="141">+K179*H179</f>
        <v>15750</v>
      </c>
      <c r="O179" s="251">
        <f t="shared" ref="O179:O186" si="142">P179-N179</f>
        <v>0</v>
      </c>
      <c r="P179" s="420">
        <f t="shared" ref="P179:P186" si="143">H179*M179</f>
        <v>15750</v>
      </c>
      <c r="Q179" s="404"/>
    </row>
    <row r="180" spans="1:17" s="327" customFormat="1" ht="25.5" customHeight="1" x14ac:dyDescent="0.25">
      <c r="A180" s="357"/>
      <c r="B180" s="630" t="s">
        <v>232</v>
      </c>
      <c r="C180" s="631"/>
      <c r="D180" s="631"/>
      <c r="E180" s="632"/>
      <c r="F180" s="358">
        <v>3</v>
      </c>
      <c r="G180" s="329" t="s">
        <v>20</v>
      </c>
      <c r="H180" s="318">
        <v>1250</v>
      </c>
      <c r="I180" s="319">
        <f t="shared" ref="I180:I186" si="144">H180*F180</f>
        <v>3750</v>
      </c>
      <c r="J180" s="320"/>
      <c r="K180" s="321">
        <v>2.1</v>
      </c>
      <c r="L180" s="251">
        <f t="shared" si="140"/>
        <v>0</v>
      </c>
      <c r="M180" s="252">
        <v>2.1</v>
      </c>
      <c r="N180" s="252">
        <f t="shared" si="141"/>
        <v>2625</v>
      </c>
      <c r="O180" s="251">
        <f t="shared" si="142"/>
        <v>0</v>
      </c>
      <c r="P180" s="420">
        <f t="shared" si="143"/>
        <v>2625</v>
      </c>
      <c r="Q180" s="404"/>
    </row>
    <row r="181" spans="1:17" s="327" customFormat="1" ht="25.5" customHeight="1" x14ac:dyDescent="0.25">
      <c r="A181" s="357"/>
      <c r="B181" s="630" t="s">
        <v>233</v>
      </c>
      <c r="C181" s="631"/>
      <c r="D181" s="631"/>
      <c r="E181" s="632"/>
      <c r="F181" s="358">
        <v>3</v>
      </c>
      <c r="G181" s="329" t="s">
        <v>20</v>
      </c>
      <c r="H181" s="318">
        <v>1250</v>
      </c>
      <c r="I181" s="319">
        <f t="shared" si="144"/>
        <v>3750</v>
      </c>
      <c r="J181" s="320"/>
      <c r="K181" s="321">
        <v>2.1</v>
      </c>
      <c r="L181" s="251">
        <f t="shared" si="140"/>
        <v>0</v>
      </c>
      <c r="M181" s="252">
        <v>2.1</v>
      </c>
      <c r="N181" s="252">
        <f t="shared" si="141"/>
        <v>2625</v>
      </c>
      <c r="O181" s="251">
        <f t="shared" si="142"/>
        <v>0</v>
      </c>
      <c r="P181" s="420">
        <f t="shared" si="143"/>
        <v>2625</v>
      </c>
      <c r="Q181" s="404"/>
    </row>
    <row r="182" spans="1:17" s="327" customFormat="1" ht="25.5" customHeight="1" x14ac:dyDescent="0.25">
      <c r="A182" s="357"/>
      <c r="B182" s="630" t="s">
        <v>234</v>
      </c>
      <c r="C182" s="631"/>
      <c r="D182" s="631"/>
      <c r="E182" s="632"/>
      <c r="F182" s="358">
        <v>4</v>
      </c>
      <c r="G182" s="329" t="s">
        <v>20</v>
      </c>
      <c r="H182" s="318">
        <v>1250</v>
      </c>
      <c r="I182" s="319">
        <f t="shared" si="144"/>
        <v>5000</v>
      </c>
      <c r="J182" s="320"/>
      <c r="K182" s="321">
        <v>2.8</v>
      </c>
      <c r="L182" s="251">
        <f t="shared" si="140"/>
        <v>0</v>
      </c>
      <c r="M182" s="252">
        <v>2.8</v>
      </c>
      <c r="N182" s="252">
        <f t="shared" si="141"/>
        <v>3500</v>
      </c>
      <c r="O182" s="251">
        <f t="shared" si="142"/>
        <v>0</v>
      </c>
      <c r="P182" s="420">
        <f t="shared" si="143"/>
        <v>3500</v>
      </c>
      <c r="Q182" s="404"/>
    </row>
    <row r="183" spans="1:17" s="327" customFormat="1" ht="25.5" customHeight="1" x14ac:dyDescent="0.25">
      <c r="A183" s="357"/>
      <c r="B183" s="630" t="s">
        <v>235</v>
      </c>
      <c r="C183" s="631"/>
      <c r="D183" s="631"/>
      <c r="E183" s="632"/>
      <c r="F183" s="358">
        <v>3</v>
      </c>
      <c r="G183" s="329" t="s">
        <v>20</v>
      </c>
      <c r="H183" s="318">
        <v>1250</v>
      </c>
      <c r="I183" s="319">
        <f t="shared" si="144"/>
        <v>3750</v>
      </c>
      <c r="J183" s="320"/>
      <c r="K183" s="321">
        <v>2.1</v>
      </c>
      <c r="L183" s="251">
        <f t="shared" si="140"/>
        <v>0</v>
      </c>
      <c r="M183" s="252">
        <v>2.1</v>
      </c>
      <c r="N183" s="252">
        <f t="shared" si="141"/>
        <v>2625</v>
      </c>
      <c r="O183" s="251">
        <f t="shared" si="142"/>
        <v>0</v>
      </c>
      <c r="P183" s="420">
        <f t="shared" si="143"/>
        <v>2625</v>
      </c>
      <c r="Q183" s="404"/>
    </row>
    <row r="184" spans="1:17" s="327" customFormat="1" ht="78.75" customHeight="1" x14ac:dyDescent="0.25">
      <c r="A184" s="357">
        <v>2</v>
      </c>
      <c r="B184" s="630" t="s">
        <v>236</v>
      </c>
      <c r="C184" s="631"/>
      <c r="D184" s="631"/>
      <c r="E184" s="632"/>
      <c r="F184" s="358"/>
      <c r="G184" s="329"/>
      <c r="H184" s="318"/>
      <c r="I184" s="319"/>
      <c r="J184" s="320"/>
      <c r="K184" s="321"/>
      <c r="L184" s="251">
        <f t="shared" si="140"/>
        <v>0</v>
      </c>
      <c r="M184" s="252"/>
      <c r="N184" s="252">
        <f t="shared" si="141"/>
        <v>0</v>
      </c>
      <c r="O184" s="251">
        <f t="shared" si="142"/>
        <v>0</v>
      </c>
      <c r="P184" s="248">
        <f t="shared" si="143"/>
        <v>0</v>
      </c>
      <c r="Q184" s="404"/>
    </row>
    <row r="185" spans="1:17" s="327" customFormat="1" ht="38.25" customHeight="1" x14ac:dyDescent="0.25">
      <c r="A185" s="357"/>
      <c r="B185" s="578" t="s">
        <v>237</v>
      </c>
      <c r="C185" s="576"/>
      <c r="D185" s="576"/>
      <c r="E185" s="577"/>
      <c r="F185" s="316">
        <v>1</v>
      </c>
      <c r="G185" s="329" t="s">
        <v>2</v>
      </c>
      <c r="H185" s="318">
        <v>5250</v>
      </c>
      <c r="I185" s="319">
        <f>H185*F185</f>
        <v>5250</v>
      </c>
      <c r="J185" s="320"/>
      <c r="K185" s="321"/>
      <c r="L185" s="251">
        <f t="shared" si="140"/>
        <v>0</v>
      </c>
      <c r="M185" s="252"/>
      <c r="N185" s="252">
        <f t="shared" si="141"/>
        <v>0</v>
      </c>
      <c r="O185" s="251">
        <f t="shared" si="142"/>
        <v>0</v>
      </c>
      <c r="P185" s="248">
        <f t="shared" si="143"/>
        <v>0</v>
      </c>
      <c r="Q185" s="404"/>
    </row>
    <row r="186" spans="1:17" s="327" customFormat="1" ht="33" customHeight="1" x14ac:dyDescent="0.25">
      <c r="A186" s="357"/>
      <c r="B186" s="578" t="s">
        <v>238</v>
      </c>
      <c r="C186" s="576"/>
      <c r="D186" s="576"/>
      <c r="E186" s="577"/>
      <c r="F186" s="316">
        <v>1</v>
      </c>
      <c r="G186" s="329" t="s">
        <v>2</v>
      </c>
      <c r="H186" s="318">
        <v>5250</v>
      </c>
      <c r="I186" s="319">
        <f t="shared" si="144"/>
        <v>5250</v>
      </c>
      <c r="J186" s="320"/>
      <c r="K186" s="321"/>
      <c r="L186" s="251">
        <f t="shared" si="140"/>
        <v>0</v>
      </c>
      <c r="M186" s="252"/>
      <c r="N186" s="252">
        <f t="shared" si="141"/>
        <v>0</v>
      </c>
      <c r="O186" s="251">
        <f t="shared" si="142"/>
        <v>0</v>
      </c>
      <c r="P186" s="248">
        <f t="shared" si="143"/>
        <v>0</v>
      </c>
      <c r="Q186" s="404"/>
    </row>
    <row r="187" spans="1:17" s="327" customFormat="1" ht="22.5" customHeight="1" thickBot="1" x14ac:dyDescent="0.3">
      <c r="A187" s="355"/>
      <c r="B187" s="380"/>
      <c r="C187" s="381"/>
      <c r="D187" s="381"/>
      <c r="E187" s="382"/>
      <c r="F187" s="347"/>
      <c r="G187" s="336"/>
      <c r="H187" s="338"/>
      <c r="I187" s="339"/>
      <c r="J187" s="348"/>
      <c r="K187" s="341"/>
      <c r="L187" s="342"/>
      <c r="M187" s="343"/>
      <c r="N187" s="343"/>
      <c r="O187" s="344"/>
      <c r="P187" s="345"/>
      <c r="Q187" s="406"/>
    </row>
    <row r="188" spans="1:17" s="239" customFormat="1" ht="111.75" customHeight="1" thickTop="1" x14ac:dyDescent="0.25">
      <c r="A188" s="253">
        <v>25</v>
      </c>
      <c r="B188" s="535" t="s">
        <v>274</v>
      </c>
      <c r="C188" s="536"/>
      <c r="D188" s="536"/>
      <c r="E188" s="537"/>
      <c r="F188" s="246"/>
      <c r="G188" s="254"/>
      <c r="H188" s="247"/>
      <c r="I188" s="248"/>
      <c r="J188" s="273">
        <f>SUM(I189)</f>
        <v>0</v>
      </c>
      <c r="K188" s="250"/>
      <c r="L188" s="251"/>
      <c r="M188" s="252"/>
      <c r="N188" s="252"/>
      <c r="O188" s="251"/>
      <c r="P188" s="248"/>
      <c r="Q188" s="404"/>
    </row>
    <row r="189" spans="1:17" s="333" customFormat="1" ht="58.5" customHeight="1" x14ac:dyDescent="0.3">
      <c r="A189" s="383"/>
      <c r="B189" s="527" t="s">
        <v>275</v>
      </c>
      <c r="C189" s="528"/>
      <c r="D189" s="528"/>
      <c r="E189" s="529"/>
      <c r="F189" s="388"/>
      <c r="G189" s="384"/>
      <c r="H189" s="385"/>
      <c r="I189" s="386"/>
      <c r="J189" s="332"/>
      <c r="K189" s="387"/>
      <c r="L189" s="378"/>
      <c r="M189" s="379"/>
      <c r="N189" s="379"/>
      <c r="O189" s="378"/>
      <c r="P189" s="375"/>
      <c r="Q189" s="404"/>
    </row>
    <row r="190" spans="1:17" s="333" customFormat="1" ht="43.5" customHeight="1" x14ac:dyDescent="0.25">
      <c r="A190" s="383"/>
      <c r="B190" s="527" t="s">
        <v>276</v>
      </c>
      <c r="C190" s="530"/>
      <c r="D190" s="530"/>
      <c r="E190" s="531"/>
      <c r="F190" s="389">
        <v>1</v>
      </c>
      <c r="G190" s="390" t="s">
        <v>134</v>
      </c>
      <c r="H190" s="385">
        <f>231000*30%</f>
        <v>69300</v>
      </c>
      <c r="I190" s="386">
        <f>H190</f>
        <v>69300</v>
      </c>
      <c r="J190" s="332"/>
      <c r="K190" s="387">
        <v>1</v>
      </c>
      <c r="L190" s="378">
        <f t="shared" ref="L190:L191" si="145">M190-K190</f>
        <v>0</v>
      </c>
      <c r="M190" s="379">
        <v>1</v>
      </c>
      <c r="N190" s="379">
        <f t="shared" ref="N190:N191" si="146">+K190*H190</f>
        <v>69300</v>
      </c>
      <c r="O190" s="378">
        <f t="shared" ref="O190:O191" si="147">P190-N190</f>
        <v>0</v>
      </c>
      <c r="P190" s="375">
        <f t="shared" ref="P190:P191" si="148">H190*M190</f>
        <v>69300</v>
      </c>
      <c r="Q190" s="404"/>
    </row>
    <row r="191" spans="1:17" s="333" customFormat="1" ht="35.25" customHeight="1" x14ac:dyDescent="0.25">
      <c r="A191" s="383"/>
      <c r="B191" s="527" t="s">
        <v>277</v>
      </c>
      <c r="C191" s="530"/>
      <c r="D191" s="530"/>
      <c r="E191" s="531"/>
      <c r="F191" s="389">
        <v>1</v>
      </c>
      <c r="G191" s="390" t="s">
        <v>134</v>
      </c>
      <c r="H191" s="385">
        <v>18000</v>
      </c>
      <c r="I191" s="386">
        <f>H191</f>
        <v>18000</v>
      </c>
      <c r="J191" s="332"/>
      <c r="K191" s="387">
        <v>1</v>
      </c>
      <c r="L191" s="378">
        <f t="shared" si="145"/>
        <v>0</v>
      </c>
      <c r="M191" s="379">
        <v>1</v>
      </c>
      <c r="N191" s="379">
        <f t="shared" si="146"/>
        <v>18000</v>
      </c>
      <c r="O191" s="378">
        <f t="shared" si="147"/>
        <v>0</v>
      </c>
      <c r="P191" s="375">
        <f t="shared" si="148"/>
        <v>18000</v>
      </c>
      <c r="Q191" s="404"/>
    </row>
    <row r="192" spans="1:17" ht="12" hidden="1" customHeight="1" x14ac:dyDescent="0.25">
      <c r="A192" s="311"/>
      <c r="B192" s="359"/>
      <c r="E192" s="360"/>
      <c r="F192" s="246"/>
      <c r="G192" s="361"/>
      <c r="H192" s="247"/>
      <c r="I192" s="248"/>
      <c r="J192" s="249"/>
      <c r="K192" s="250"/>
      <c r="L192" s="251"/>
      <c r="M192" s="252"/>
      <c r="N192" s="252"/>
      <c r="O192" s="251"/>
      <c r="P192" s="248"/>
      <c r="Q192" s="403"/>
    </row>
    <row r="193" spans="1:17" s="239" customFormat="1" ht="128.25" customHeight="1" x14ac:dyDescent="0.25">
      <c r="A193" s="253">
        <v>26</v>
      </c>
      <c r="B193" s="535" t="s">
        <v>286</v>
      </c>
      <c r="C193" s="536"/>
      <c r="D193" s="536"/>
      <c r="E193" s="537"/>
      <c r="F193" s="246"/>
      <c r="G193" s="254"/>
      <c r="H193" s="247"/>
      <c r="I193" s="248"/>
      <c r="J193" s="273"/>
      <c r="K193" s="250"/>
      <c r="L193" s="251"/>
      <c r="M193" s="423"/>
      <c r="N193" s="252"/>
      <c r="O193" s="251"/>
      <c r="P193" s="248"/>
      <c r="Q193" s="327"/>
    </row>
    <row r="194" spans="1:17" s="333" customFormat="1" ht="190.5" customHeight="1" thickBot="1" x14ac:dyDescent="0.3">
      <c r="A194" s="424"/>
      <c r="B194" s="532" t="s">
        <v>287</v>
      </c>
      <c r="C194" s="538"/>
      <c r="D194" s="538"/>
      <c r="E194" s="539"/>
      <c r="F194" s="425">
        <v>9</v>
      </c>
      <c r="G194" s="426" t="s">
        <v>20</v>
      </c>
      <c r="H194" s="427">
        <v>1569</v>
      </c>
      <c r="I194" s="428">
        <f>F194*H194</f>
        <v>14121</v>
      </c>
      <c r="J194" s="340"/>
      <c r="K194" s="429">
        <v>0</v>
      </c>
      <c r="L194" s="430">
        <f t="shared" ref="L194" si="149">M194-K194</f>
        <v>4.5</v>
      </c>
      <c r="M194" s="431">
        <f>F194*0.5</f>
        <v>4.5</v>
      </c>
      <c r="N194" s="432">
        <f t="shared" ref="N194" si="150">+K194*H194</f>
        <v>0</v>
      </c>
      <c r="O194" s="430">
        <f t="shared" ref="O194" si="151">P194-N194</f>
        <v>7060.5</v>
      </c>
      <c r="P194" s="444">
        <f t="shared" ref="P194" si="152">H194*M194</f>
        <v>7060.5</v>
      </c>
      <c r="Q194" s="443" t="s">
        <v>316</v>
      </c>
    </row>
    <row r="195" spans="1:17" s="239" customFormat="1" ht="128.25" customHeight="1" thickTop="1" x14ac:dyDescent="0.25">
      <c r="A195" s="253">
        <v>27</v>
      </c>
      <c r="B195" s="535" t="s">
        <v>288</v>
      </c>
      <c r="C195" s="536"/>
      <c r="D195" s="536"/>
      <c r="E195" s="537"/>
      <c r="F195" s="246"/>
      <c r="G195" s="254"/>
      <c r="H195" s="247"/>
      <c r="I195" s="248"/>
      <c r="J195" s="273"/>
      <c r="K195" s="250"/>
      <c r="L195" s="251"/>
      <c r="M195" s="423"/>
      <c r="N195" s="252"/>
      <c r="O195" s="251"/>
      <c r="P195" s="248"/>
      <c r="Q195" s="327"/>
    </row>
    <row r="196" spans="1:17" s="333" customFormat="1" ht="190.5" customHeight="1" thickBot="1" x14ac:dyDescent="0.3">
      <c r="A196" s="424"/>
      <c r="B196" s="532" t="s">
        <v>289</v>
      </c>
      <c r="C196" s="538"/>
      <c r="D196" s="538"/>
      <c r="E196" s="539"/>
      <c r="F196" s="425">
        <v>2</v>
      </c>
      <c r="G196" s="426" t="s">
        <v>20</v>
      </c>
      <c r="H196" s="427">
        <v>1569</v>
      </c>
      <c r="I196" s="428">
        <f>F196*H196</f>
        <v>3138</v>
      </c>
      <c r="J196" s="340"/>
      <c r="K196" s="429">
        <v>0</v>
      </c>
      <c r="L196" s="430">
        <f t="shared" ref="L196" si="153">M196-K196</f>
        <v>1</v>
      </c>
      <c r="M196" s="431">
        <f>F196*0.5</f>
        <v>1</v>
      </c>
      <c r="N196" s="432">
        <f t="shared" ref="N196" si="154">+K196*H196</f>
        <v>0</v>
      </c>
      <c r="O196" s="430">
        <f t="shared" ref="O196" si="155">P196-N196</f>
        <v>1569</v>
      </c>
      <c r="P196" s="444">
        <f t="shared" ref="P196" si="156">H196*M196</f>
        <v>1569</v>
      </c>
      <c r="Q196" s="443" t="s">
        <v>316</v>
      </c>
    </row>
    <row r="197" spans="1:17" s="239" customFormat="1" ht="105" customHeight="1" thickTop="1" x14ac:dyDescent="0.25">
      <c r="A197" s="253">
        <v>28</v>
      </c>
      <c r="B197" s="535" t="s">
        <v>290</v>
      </c>
      <c r="C197" s="536"/>
      <c r="D197" s="536"/>
      <c r="E197" s="537"/>
      <c r="F197" s="246"/>
      <c r="G197" s="254"/>
      <c r="H197" s="247"/>
      <c r="I197" s="248"/>
      <c r="J197" s="273"/>
      <c r="K197" s="250"/>
      <c r="L197" s="251"/>
      <c r="M197" s="423"/>
      <c r="N197" s="252"/>
      <c r="O197" s="251"/>
      <c r="P197" s="248"/>
      <c r="Q197" s="327"/>
    </row>
    <row r="198" spans="1:17" s="333" customFormat="1" ht="159.75" customHeight="1" thickBot="1" x14ac:dyDescent="0.3">
      <c r="A198" s="424"/>
      <c r="B198" s="532" t="s">
        <v>291</v>
      </c>
      <c r="C198" s="538"/>
      <c r="D198" s="538"/>
      <c r="E198" s="539"/>
      <c r="F198" s="425">
        <v>1</v>
      </c>
      <c r="G198" s="426" t="s">
        <v>134</v>
      </c>
      <c r="H198" s="427">
        <v>32750</v>
      </c>
      <c r="I198" s="428">
        <f>F198*H198</f>
        <v>32750</v>
      </c>
      <c r="J198" s="340"/>
      <c r="K198" s="429">
        <v>0</v>
      </c>
      <c r="L198" s="430">
        <f t="shared" ref="L198" si="157">M198-K198</f>
        <v>0</v>
      </c>
      <c r="M198" s="431"/>
      <c r="N198" s="432">
        <f t="shared" ref="N198" si="158">+K198*H198</f>
        <v>0</v>
      </c>
      <c r="O198" s="430">
        <f t="shared" ref="O198" si="159">P198-N198</f>
        <v>0</v>
      </c>
      <c r="P198" s="433">
        <f t="shared" ref="P198" si="160">H198*M198</f>
        <v>0</v>
      </c>
    </row>
    <row r="199" spans="1:17" s="239" customFormat="1" ht="75" customHeight="1" thickTop="1" x14ac:dyDescent="0.25">
      <c r="A199" s="253">
        <v>29</v>
      </c>
      <c r="B199" s="535" t="s">
        <v>292</v>
      </c>
      <c r="C199" s="536"/>
      <c r="D199" s="536"/>
      <c r="E199" s="537"/>
      <c r="F199" s="246"/>
      <c r="G199" s="254"/>
      <c r="H199" s="247"/>
      <c r="I199" s="248"/>
      <c r="J199" s="273"/>
      <c r="K199" s="250"/>
      <c r="L199" s="251"/>
      <c r="M199" s="423"/>
      <c r="N199" s="252"/>
      <c r="O199" s="251"/>
      <c r="P199" s="248"/>
      <c r="Q199" s="327"/>
    </row>
    <row r="200" spans="1:17" s="333" customFormat="1" ht="159.75" customHeight="1" thickBot="1" x14ac:dyDescent="0.3">
      <c r="A200" s="424"/>
      <c r="B200" s="532" t="s">
        <v>293</v>
      </c>
      <c r="C200" s="538"/>
      <c r="D200" s="538"/>
      <c r="E200" s="539"/>
      <c r="F200" s="425">
        <v>60</v>
      </c>
      <c r="G200" s="426" t="s">
        <v>1</v>
      </c>
      <c r="H200" s="427">
        <v>350</v>
      </c>
      <c r="I200" s="428">
        <f>F200*H200</f>
        <v>21000</v>
      </c>
      <c r="J200" s="340"/>
      <c r="K200" s="429">
        <v>0</v>
      </c>
      <c r="L200" s="430">
        <f t="shared" ref="L200" si="161">M200-K200</f>
        <v>0</v>
      </c>
      <c r="M200" s="431"/>
      <c r="N200" s="432">
        <f t="shared" ref="N200" si="162">+K200*H200</f>
        <v>0</v>
      </c>
      <c r="O200" s="430">
        <f t="shared" ref="O200" si="163">P200-N200</f>
        <v>0</v>
      </c>
      <c r="P200" s="433">
        <f t="shared" ref="P200" si="164">H200*M200</f>
        <v>0</v>
      </c>
    </row>
    <row r="201" spans="1:17" s="239" customFormat="1" ht="87.75" customHeight="1" thickTop="1" x14ac:dyDescent="0.25">
      <c r="A201" s="253">
        <v>30</v>
      </c>
      <c r="B201" s="535" t="s">
        <v>294</v>
      </c>
      <c r="C201" s="536"/>
      <c r="D201" s="536"/>
      <c r="E201" s="537"/>
      <c r="F201" s="246"/>
      <c r="G201" s="254"/>
      <c r="H201" s="247"/>
      <c r="I201" s="248"/>
      <c r="J201" s="273">
        <f>SUM(I202)</f>
        <v>0</v>
      </c>
      <c r="K201" s="250"/>
      <c r="L201" s="251"/>
      <c r="M201" s="423"/>
      <c r="N201" s="252"/>
      <c r="O201" s="251"/>
      <c r="P201" s="248"/>
      <c r="Q201" s="327"/>
    </row>
    <row r="202" spans="1:17" s="333" customFormat="1" ht="44.25" customHeight="1" x14ac:dyDescent="0.3">
      <c r="A202" s="383"/>
      <c r="B202" s="527" t="s">
        <v>295</v>
      </c>
      <c r="C202" s="528"/>
      <c r="D202" s="528"/>
      <c r="E202" s="529"/>
      <c r="F202" s="388"/>
      <c r="G202" s="384"/>
      <c r="H202" s="385"/>
      <c r="I202" s="386"/>
      <c r="J202" s="332"/>
      <c r="K202" s="387"/>
      <c r="L202" s="378"/>
      <c r="M202" s="434"/>
      <c r="N202" s="379"/>
      <c r="O202" s="378"/>
      <c r="P202" s="375"/>
    </row>
    <row r="203" spans="1:17" s="333" customFormat="1" ht="43.5" customHeight="1" x14ac:dyDescent="0.25">
      <c r="A203" s="383"/>
      <c r="B203" s="527" t="s">
        <v>296</v>
      </c>
      <c r="C203" s="530"/>
      <c r="D203" s="530"/>
      <c r="E203" s="531"/>
      <c r="F203" s="389">
        <v>1</v>
      </c>
      <c r="G203" s="390" t="s">
        <v>134</v>
      </c>
      <c r="H203" s="385">
        <f>77500*30%</f>
        <v>23250</v>
      </c>
      <c r="I203" s="386">
        <f>F203*H203</f>
        <v>23250</v>
      </c>
      <c r="J203" s="332"/>
      <c r="K203" s="387"/>
      <c r="L203" s="378">
        <f t="shared" ref="L203:L204" si="165">M203-K203</f>
        <v>0</v>
      </c>
      <c r="M203" s="434"/>
      <c r="N203" s="379">
        <f t="shared" ref="N203:N204" si="166">+K203*H203</f>
        <v>0</v>
      </c>
      <c r="O203" s="378">
        <f t="shared" ref="O203:O204" si="167">P203-N203</f>
        <v>0</v>
      </c>
      <c r="P203" s="439">
        <f t="shared" ref="P203:P204" si="168">H203*M203</f>
        <v>0</v>
      </c>
    </row>
    <row r="204" spans="1:17" s="333" customFormat="1" ht="45.75" customHeight="1" thickBot="1" x14ac:dyDescent="0.3">
      <c r="A204" s="424"/>
      <c r="B204" s="532" t="s">
        <v>297</v>
      </c>
      <c r="C204" s="533"/>
      <c r="D204" s="533"/>
      <c r="E204" s="534"/>
      <c r="F204" s="435">
        <v>1</v>
      </c>
      <c r="G204" s="436" t="s">
        <v>134</v>
      </c>
      <c r="H204" s="427">
        <v>12000</v>
      </c>
      <c r="I204" s="428">
        <f>F204*H204</f>
        <v>12000</v>
      </c>
      <c r="J204" s="340"/>
      <c r="K204" s="429"/>
      <c r="L204" s="430">
        <f t="shared" si="165"/>
        <v>0</v>
      </c>
      <c r="M204" s="431"/>
      <c r="N204" s="432">
        <f t="shared" si="166"/>
        <v>0</v>
      </c>
      <c r="O204" s="430">
        <f t="shared" si="167"/>
        <v>0</v>
      </c>
      <c r="P204" s="438">
        <f t="shared" si="168"/>
        <v>0</v>
      </c>
    </row>
    <row r="205" spans="1:17" s="239" customFormat="1" ht="87.75" customHeight="1" thickTop="1" x14ac:dyDescent="0.25">
      <c r="A205" s="253">
        <v>31</v>
      </c>
      <c r="B205" s="535" t="s">
        <v>298</v>
      </c>
      <c r="C205" s="536"/>
      <c r="D205" s="536"/>
      <c r="E205" s="537"/>
      <c r="F205" s="246"/>
      <c r="G205" s="254"/>
      <c r="H205" s="247"/>
      <c r="I205" s="248"/>
      <c r="J205" s="273">
        <f>SUM(I206)</f>
        <v>0</v>
      </c>
      <c r="K205" s="250"/>
      <c r="L205" s="251"/>
      <c r="M205" s="423"/>
      <c r="N205" s="252"/>
      <c r="O205" s="251"/>
      <c r="P205" s="248"/>
      <c r="Q205" s="327"/>
    </row>
    <row r="206" spans="1:17" s="333" customFormat="1" ht="44.25" customHeight="1" x14ac:dyDescent="0.3">
      <c r="A206" s="383"/>
      <c r="B206" s="527" t="s">
        <v>299</v>
      </c>
      <c r="C206" s="528"/>
      <c r="D206" s="528"/>
      <c r="E206" s="529"/>
      <c r="F206" s="388"/>
      <c r="G206" s="384"/>
      <c r="H206" s="385"/>
      <c r="I206" s="386"/>
      <c r="J206" s="332"/>
      <c r="K206" s="387"/>
      <c r="L206" s="378"/>
      <c r="M206" s="434"/>
      <c r="N206" s="379"/>
      <c r="O206" s="378"/>
      <c r="P206" s="375"/>
    </row>
    <row r="207" spans="1:17" s="333" customFormat="1" ht="43.5" customHeight="1" x14ac:dyDescent="0.25">
      <c r="A207" s="383"/>
      <c r="B207" s="527" t="s">
        <v>300</v>
      </c>
      <c r="C207" s="530"/>
      <c r="D207" s="530"/>
      <c r="E207" s="531"/>
      <c r="F207" s="389">
        <v>1</v>
      </c>
      <c r="G207" s="390" t="s">
        <v>134</v>
      </c>
      <c r="H207" s="385">
        <f>289250*30%</f>
        <v>86775</v>
      </c>
      <c r="I207" s="386">
        <f>F207*H207</f>
        <v>86775</v>
      </c>
      <c r="J207" s="332"/>
      <c r="K207" s="387"/>
      <c r="L207" s="378">
        <f t="shared" ref="L207:L208" si="169">M207-K207</f>
        <v>0</v>
      </c>
      <c r="M207" s="434"/>
      <c r="N207" s="379">
        <f t="shared" ref="N207:N208" si="170">+K207*H207</f>
        <v>0</v>
      </c>
      <c r="O207" s="378">
        <f t="shared" ref="O207:O208" si="171">P207-N207</f>
        <v>0</v>
      </c>
      <c r="P207" s="439">
        <f t="shared" ref="P207:P208" si="172">H207*M207</f>
        <v>0</v>
      </c>
    </row>
    <row r="208" spans="1:17" s="333" customFormat="1" ht="45.75" customHeight="1" thickBot="1" x14ac:dyDescent="0.3">
      <c r="A208" s="424"/>
      <c r="B208" s="532"/>
      <c r="C208" s="533"/>
      <c r="D208" s="533"/>
      <c r="E208" s="534"/>
      <c r="F208" s="435"/>
      <c r="G208" s="436"/>
      <c r="H208" s="427"/>
      <c r="I208" s="428"/>
      <c r="J208" s="340"/>
      <c r="K208" s="429"/>
      <c r="L208" s="430">
        <f t="shared" si="169"/>
        <v>0</v>
      </c>
      <c r="M208" s="431"/>
      <c r="N208" s="432">
        <f t="shared" si="170"/>
        <v>0</v>
      </c>
      <c r="O208" s="430">
        <f t="shared" si="171"/>
        <v>0</v>
      </c>
      <c r="P208" s="433">
        <f t="shared" si="172"/>
        <v>0</v>
      </c>
    </row>
    <row r="209" spans="1:17" s="239" customFormat="1" ht="21" customHeight="1" thickTop="1" thickBot="1" x14ac:dyDescent="0.3">
      <c r="A209" s="362"/>
      <c r="B209" s="566" t="s">
        <v>86</v>
      </c>
      <c r="C209" s="567"/>
      <c r="D209" s="567"/>
      <c r="E209" s="568"/>
      <c r="F209" s="363"/>
      <c r="G209" s="363"/>
      <c r="H209" s="364"/>
      <c r="I209" s="369">
        <f>SUM(I12:I207)</f>
        <v>6619935.4829999991</v>
      </c>
      <c r="J209" s="365">
        <f>SUM(J12:J192)</f>
        <v>6163388.739000001</v>
      </c>
      <c r="K209" s="366"/>
      <c r="L209" s="367"/>
      <c r="M209" s="368"/>
      <c r="N209" s="369">
        <f>SUM(N12:N207)</f>
        <v>3505723.4641749994</v>
      </c>
      <c r="O209" s="437">
        <f>SUM(O12:O207)</f>
        <v>334409.010725</v>
      </c>
      <c r="P209" s="369">
        <f>SUM(P12:P207)</f>
        <v>3840132.4748999993</v>
      </c>
      <c r="Q209" s="407"/>
    </row>
    <row r="210" spans="1:17" ht="15.6" thickTop="1" x14ac:dyDescent="0.25"/>
  </sheetData>
  <mergeCells count="214">
    <mergeCell ref="Q9:Q10"/>
    <mergeCell ref="B178:E178"/>
    <mergeCell ref="B179:E179"/>
    <mergeCell ref="B180:E180"/>
    <mergeCell ref="B181:E181"/>
    <mergeCell ref="B182:E182"/>
    <mergeCell ref="B183:E183"/>
    <mergeCell ref="B184:E184"/>
    <mergeCell ref="B185:E185"/>
    <mergeCell ref="B161:E161"/>
    <mergeCell ref="B162:E162"/>
    <mergeCell ref="B163:E163"/>
    <mergeCell ref="B164:E164"/>
    <mergeCell ref="B165:E165"/>
    <mergeCell ref="B166:E166"/>
    <mergeCell ref="B167:E167"/>
    <mergeCell ref="B168:E168"/>
    <mergeCell ref="B152:E152"/>
    <mergeCell ref="B153:E153"/>
    <mergeCell ref="B154:E154"/>
    <mergeCell ref="B155:E155"/>
    <mergeCell ref="B156:E156"/>
    <mergeCell ref="B157:E157"/>
    <mergeCell ref="B158:E158"/>
    <mergeCell ref="B186:E186"/>
    <mergeCell ref="B169:E169"/>
    <mergeCell ref="B170:E170"/>
    <mergeCell ref="B171:E171"/>
    <mergeCell ref="B172:E172"/>
    <mergeCell ref="B173:E173"/>
    <mergeCell ref="B174:E174"/>
    <mergeCell ref="B175:E175"/>
    <mergeCell ref="B176:E176"/>
    <mergeCell ref="B177:E177"/>
    <mergeCell ref="B159:E159"/>
    <mergeCell ref="B160:E160"/>
    <mergeCell ref="A6:I6"/>
    <mergeCell ref="A8:I8"/>
    <mergeCell ref="A9:A10"/>
    <mergeCell ref="B9:E10"/>
    <mergeCell ref="F9:F10"/>
    <mergeCell ref="G9:G10"/>
    <mergeCell ref="H9:H10"/>
    <mergeCell ref="I9:I10"/>
    <mergeCell ref="B16:E16"/>
    <mergeCell ref="B17:E17"/>
    <mergeCell ref="B18:E18"/>
    <mergeCell ref="B19:E19"/>
    <mergeCell ref="B20:E20"/>
    <mergeCell ref="B21:E21"/>
    <mergeCell ref="B22:E22"/>
    <mergeCell ref="B23:E23"/>
    <mergeCell ref="B24:E24"/>
    <mergeCell ref="B25:E25"/>
    <mergeCell ref="B26:E26"/>
    <mergeCell ref="B33:E33"/>
    <mergeCell ref="B34:E34"/>
    <mergeCell ref="B35:E35"/>
    <mergeCell ref="N6:P6"/>
    <mergeCell ref="N8:P8"/>
    <mergeCell ref="K9:M9"/>
    <mergeCell ref="N9:P9"/>
    <mergeCell ref="B11:E11"/>
    <mergeCell ref="B12:E12"/>
    <mergeCell ref="B13:E13"/>
    <mergeCell ref="C14:E14"/>
    <mergeCell ref="B15:E15"/>
    <mergeCell ref="B36:E36"/>
    <mergeCell ref="B37:E37"/>
    <mergeCell ref="B38:E41"/>
    <mergeCell ref="B27:E27"/>
    <mergeCell ref="B28:E28"/>
    <mergeCell ref="B29:E29"/>
    <mergeCell ref="B30:E30"/>
    <mergeCell ref="B31:E31"/>
    <mergeCell ref="B32:E32"/>
    <mergeCell ref="B42:E42"/>
    <mergeCell ref="B43:E43"/>
    <mergeCell ref="B44:E44"/>
    <mergeCell ref="B45:E45"/>
    <mergeCell ref="B46:E46"/>
    <mergeCell ref="B47:E47"/>
    <mergeCell ref="B48:E48"/>
    <mergeCell ref="B49:E49"/>
    <mergeCell ref="B50:E50"/>
    <mergeCell ref="B57:E57"/>
    <mergeCell ref="B58:E58"/>
    <mergeCell ref="B59:E59"/>
    <mergeCell ref="B60:E60"/>
    <mergeCell ref="B61:E61"/>
    <mergeCell ref="B62:E62"/>
    <mergeCell ref="B51:E51"/>
    <mergeCell ref="B52:E52"/>
    <mergeCell ref="B53:E53"/>
    <mergeCell ref="B54:E54"/>
    <mergeCell ref="B55:E55"/>
    <mergeCell ref="B56:E56"/>
    <mergeCell ref="B69:E69"/>
    <mergeCell ref="B70:E70"/>
    <mergeCell ref="B71:E71"/>
    <mergeCell ref="B72:E72"/>
    <mergeCell ref="B73:E73"/>
    <mergeCell ref="B74:E74"/>
    <mergeCell ref="B63:E63"/>
    <mergeCell ref="B64:E64"/>
    <mergeCell ref="B65:E65"/>
    <mergeCell ref="B66:E66"/>
    <mergeCell ref="B67:E67"/>
    <mergeCell ref="B68:E68"/>
    <mergeCell ref="B75:E75"/>
    <mergeCell ref="B76:E76"/>
    <mergeCell ref="B79:E79"/>
    <mergeCell ref="B80:E80"/>
    <mergeCell ref="B87:E87"/>
    <mergeCell ref="Q87:Q89"/>
    <mergeCell ref="B88:E88"/>
    <mergeCell ref="B89:E89"/>
    <mergeCell ref="B77:E77"/>
    <mergeCell ref="B78:E78"/>
    <mergeCell ref="B81:E81"/>
    <mergeCell ref="B82:E82"/>
    <mergeCell ref="B83:E83"/>
    <mergeCell ref="B84:E84"/>
    <mergeCell ref="B85:E85"/>
    <mergeCell ref="Q85:Q86"/>
    <mergeCell ref="B86:E86"/>
    <mergeCell ref="B94:E94"/>
    <mergeCell ref="Q94:Q99"/>
    <mergeCell ref="B95:E95"/>
    <mergeCell ref="B96:E96"/>
    <mergeCell ref="B97:E97"/>
    <mergeCell ref="B98:E98"/>
    <mergeCell ref="B90:E90"/>
    <mergeCell ref="Q90:Q91"/>
    <mergeCell ref="B91:E91"/>
    <mergeCell ref="B92:E92"/>
    <mergeCell ref="B93:E93"/>
    <mergeCell ref="B105:E105"/>
    <mergeCell ref="Q105:Q106"/>
    <mergeCell ref="B106:E106"/>
    <mergeCell ref="B107:E107"/>
    <mergeCell ref="Q107:Q108"/>
    <mergeCell ref="B108:E108"/>
    <mergeCell ref="B100:E100"/>
    <mergeCell ref="B101:E101"/>
    <mergeCell ref="B102:E102"/>
    <mergeCell ref="B103:E103"/>
    <mergeCell ref="B104:E104"/>
    <mergeCell ref="B112:E112"/>
    <mergeCell ref="Q112:Q114"/>
    <mergeCell ref="B113:E113"/>
    <mergeCell ref="B209:E209"/>
    <mergeCell ref="B109:E109"/>
    <mergeCell ref="Q109:Q111"/>
    <mergeCell ref="B110:E110"/>
    <mergeCell ref="B111:E111"/>
    <mergeCell ref="B117:E117"/>
    <mergeCell ref="B118:E118"/>
    <mergeCell ref="C119:E119"/>
    <mergeCell ref="B120:E120"/>
    <mergeCell ref="B121:E121"/>
    <mergeCell ref="B122:E122"/>
    <mergeCell ref="B123:E123"/>
    <mergeCell ref="B124:E124"/>
    <mergeCell ref="B125:E125"/>
    <mergeCell ref="B126:E126"/>
    <mergeCell ref="B127:E127"/>
    <mergeCell ref="B128:E128"/>
    <mergeCell ref="B129:E129"/>
    <mergeCell ref="B115:E115"/>
    <mergeCell ref="B139:E139"/>
    <mergeCell ref="B141:E141"/>
    <mergeCell ref="B143:E143"/>
    <mergeCell ref="B144:E144"/>
    <mergeCell ref="B145:E145"/>
    <mergeCell ref="B146:E146"/>
    <mergeCell ref="B147:E147"/>
    <mergeCell ref="B148:E148"/>
    <mergeCell ref="B149:E149"/>
    <mergeCell ref="B150:E150"/>
    <mergeCell ref="B151:E151"/>
    <mergeCell ref="B130:E130"/>
    <mergeCell ref="B131:E131"/>
    <mergeCell ref="B132:E132"/>
    <mergeCell ref="B133:E133"/>
    <mergeCell ref="B134:E134"/>
    <mergeCell ref="B135:E135"/>
    <mergeCell ref="B136:E136"/>
    <mergeCell ref="B137:E137"/>
    <mergeCell ref="B138:E138"/>
    <mergeCell ref="Q62:Q64"/>
    <mergeCell ref="Q92:Q93"/>
    <mergeCell ref="B202:E202"/>
    <mergeCell ref="B203:E203"/>
    <mergeCell ref="B204:E204"/>
    <mergeCell ref="B205:E205"/>
    <mergeCell ref="B206:E206"/>
    <mergeCell ref="B207:E207"/>
    <mergeCell ref="B208:E208"/>
    <mergeCell ref="B193:E193"/>
    <mergeCell ref="B194:E194"/>
    <mergeCell ref="B195:E195"/>
    <mergeCell ref="B196:E196"/>
    <mergeCell ref="B197:E197"/>
    <mergeCell ref="B198:E198"/>
    <mergeCell ref="B199:E199"/>
    <mergeCell ref="B200:E200"/>
    <mergeCell ref="B201:E201"/>
    <mergeCell ref="B188:E188"/>
    <mergeCell ref="B189:E189"/>
    <mergeCell ref="B191:E191"/>
    <mergeCell ref="B190:E190"/>
    <mergeCell ref="B142:E142"/>
    <mergeCell ref="B140:E140"/>
  </mergeCells>
  <phoneticPr fontId="4" type="noConversion"/>
  <printOptions horizontalCentered="1"/>
  <pageMargins left="0.2" right="0.2" top="0.3" bottom="0.3" header="0" footer="0"/>
  <pageSetup paperSize="9" scale="39" fitToHeight="5" orientation="portrait" r:id="rId1"/>
  <headerFooter>
    <oddFooter>Page &amp;P of &amp;N</oddFooter>
  </headerFooter>
  <rowBreaks count="6" manualBreakCount="6">
    <brk id="41" max="16" man="1"/>
    <brk id="84" max="16" man="1"/>
    <brk id="106" max="16" man="1"/>
    <brk id="114" max="16" man="1"/>
    <brk id="148" max="16" man="1"/>
    <brk id="176" max="16"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104BB-D254-495A-8102-ACBCBBEC6D41}">
  <sheetPr>
    <tabColor theme="3" tint="0.59999389629810485"/>
  </sheetPr>
  <dimension ref="A6:P112"/>
  <sheetViews>
    <sheetView showGridLines="0" view="pageBreakPreview" zoomScale="70" zoomScaleNormal="100" zoomScaleSheetLayoutView="70" workbookViewId="0">
      <pane xSplit="9" ySplit="10" topLeftCell="J78" activePane="bottomRight" state="frozen"/>
      <selection pane="topRight" activeCell="J1" sqref="J1"/>
      <selection pane="bottomLeft" activeCell="A6" sqref="A6"/>
      <selection pane="bottomRight" activeCell="S19" sqref="S19"/>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6" spans="1:16" ht="16.5" customHeight="1" x14ac:dyDescent="0.25">
      <c r="A6" s="633" t="s">
        <v>29</v>
      </c>
      <c r="B6" s="633"/>
      <c r="C6" s="633"/>
      <c r="D6" s="633"/>
      <c r="E6" s="633"/>
      <c r="F6" s="633"/>
      <c r="G6" s="633"/>
      <c r="H6" s="633"/>
      <c r="I6" s="633"/>
      <c r="J6" s="14"/>
      <c r="K6" s="14"/>
      <c r="M6" s="634">
        <f>Summary!F6</f>
        <v>44956</v>
      </c>
      <c r="N6" s="634"/>
      <c r="O6" s="634"/>
    </row>
    <row r="7" spans="1:16" s="26" customFormat="1" ht="19.5" customHeight="1" x14ac:dyDescent="0.25">
      <c r="A7" s="1" t="s">
        <v>94</v>
      </c>
      <c r="B7" s="1"/>
      <c r="C7" s="1"/>
      <c r="D7" s="1"/>
      <c r="E7" s="1"/>
      <c r="F7" s="2"/>
      <c r="G7" s="2"/>
      <c r="H7" s="13"/>
      <c r="I7" s="2"/>
      <c r="J7" s="14"/>
      <c r="K7" s="14"/>
      <c r="L7" s="14"/>
      <c r="M7" s="14"/>
      <c r="N7" s="14"/>
      <c r="O7" s="14"/>
    </row>
    <row r="8" spans="1:16" s="27" customFormat="1" ht="33" customHeight="1" thickBot="1" x14ac:dyDescent="0.3">
      <c r="A8" s="635" t="s">
        <v>128</v>
      </c>
      <c r="B8" s="635"/>
      <c r="C8" s="635"/>
      <c r="D8" s="635"/>
      <c r="E8" s="635"/>
      <c r="F8" s="635"/>
      <c r="G8" s="635"/>
      <c r="H8" s="635"/>
      <c r="I8" s="635"/>
      <c r="J8" s="20"/>
      <c r="K8" s="20"/>
      <c r="L8" s="24"/>
      <c r="M8" s="20"/>
      <c r="N8" s="20"/>
      <c r="O8" s="24"/>
    </row>
    <row r="9" spans="1:16" ht="18" customHeight="1" thickTop="1" x14ac:dyDescent="0.25">
      <c r="A9" s="636" t="s">
        <v>32</v>
      </c>
      <c r="B9" s="638" t="s">
        <v>0</v>
      </c>
      <c r="C9" s="639"/>
      <c r="D9" s="639"/>
      <c r="E9" s="640"/>
      <c r="F9" s="644" t="s">
        <v>34</v>
      </c>
      <c r="G9" s="644" t="s">
        <v>31</v>
      </c>
      <c r="H9" s="646" t="s">
        <v>36</v>
      </c>
      <c r="I9" s="648" t="s">
        <v>35</v>
      </c>
      <c r="J9" s="650" t="s">
        <v>91</v>
      </c>
      <c r="K9" s="651"/>
      <c r="L9" s="652"/>
      <c r="M9" s="653" t="s">
        <v>92</v>
      </c>
      <c r="N9" s="651"/>
      <c r="O9" s="654"/>
    </row>
    <row r="10" spans="1:16" ht="36.75" customHeight="1" x14ac:dyDescent="0.25">
      <c r="A10" s="637"/>
      <c r="B10" s="641"/>
      <c r="C10" s="642"/>
      <c r="D10" s="642"/>
      <c r="E10" s="643"/>
      <c r="F10" s="645"/>
      <c r="G10" s="645"/>
      <c r="H10" s="647"/>
      <c r="I10" s="649"/>
      <c r="J10" s="8" t="s">
        <v>87</v>
      </c>
      <c r="K10" s="9" t="s">
        <v>88</v>
      </c>
      <c r="L10" s="9" t="s">
        <v>90</v>
      </c>
      <c r="M10" s="9" t="s">
        <v>87</v>
      </c>
      <c r="N10" s="9" t="s">
        <v>88</v>
      </c>
      <c r="O10" s="10" t="s">
        <v>89</v>
      </c>
    </row>
    <row r="11" spans="1:16" x14ac:dyDescent="0.25">
      <c r="A11" s="3"/>
      <c r="B11" s="655"/>
      <c r="C11" s="656"/>
      <c r="D11" s="656"/>
      <c r="E11" s="657"/>
      <c r="F11" s="28"/>
      <c r="G11" s="29"/>
      <c r="H11" s="30"/>
      <c r="I11" s="31"/>
      <c r="J11" s="32"/>
      <c r="K11" s="33"/>
      <c r="L11" s="33"/>
      <c r="M11" s="33"/>
      <c r="N11" s="33"/>
      <c r="O11" s="31"/>
    </row>
    <row r="12" spans="1:16" ht="54" customHeight="1" x14ac:dyDescent="0.25">
      <c r="A12" s="4">
        <v>1</v>
      </c>
      <c r="B12" s="658" t="s">
        <v>139</v>
      </c>
      <c r="C12" s="659"/>
      <c r="D12" s="659"/>
      <c r="E12" s="660"/>
      <c r="F12" s="28"/>
      <c r="G12" s="12"/>
      <c r="H12" s="30"/>
      <c r="I12" s="69"/>
      <c r="J12" s="32"/>
      <c r="K12" s="33"/>
      <c r="L12" s="33"/>
      <c r="M12" s="33"/>
      <c r="N12" s="33"/>
      <c r="O12" s="31"/>
    </row>
    <row r="13" spans="1:16" s="26" customFormat="1" ht="43.5" customHeight="1" x14ac:dyDescent="0.25">
      <c r="A13" s="3" t="s">
        <v>3</v>
      </c>
      <c r="B13" s="661" t="s">
        <v>95</v>
      </c>
      <c r="C13" s="662"/>
      <c r="D13" s="662"/>
      <c r="E13" s="663"/>
      <c r="F13" s="28">
        <v>1</v>
      </c>
      <c r="G13" s="12" t="s">
        <v>2</v>
      </c>
      <c r="H13" s="30">
        <v>116000</v>
      </c>
      <c r="I13" s="31">
        <f>H13*F13</f>
        <v>116000</v>
      </c>
      <c r="J13" s="32"/>
      <c r="K13" s="33">
        <f>L13-J13</f>
        <v>0</v>
      </c>
      <c r="L13" s="33"/>
      <c r="M13" s="33">
        <f t="shared" ref="M13:M22" si="0">+J13*H13</f>
        <v>0</v>
      </c>
      <c r="N13" s="33">
        <f t="shared" ref="N13:N22" si="1">O13-M13</f>
        <v>0</v>
      </c>
      <c r="O13" s="31">
        <f t="shared" ref="O13:O22" si="2">H13*L13</f>
        <v>0</v>
      </c>
      <c r="P13" s="664">
        <f>I13+I15+I16+I17+I18</f>
        <v>473000</v>
      </c>
    </row>
    <row r="14" spans="1:16" s="26" customFormat="1" x14ac:dyDescent="0.25">
      <c r="A14" s="3"/>
      <c r="B14" s="34"/>
      <c r="C14" s="666"/>
      <c r="D14" s="666"/>
      <c r="E14" s="667"/>
      <c r="F14" s="28"/>
      <c r="G14" s="12"/>
      <c r="H14" s="30"/>
      <c r="I14" s="31"/>
      <c r="J14" s="32"/>
      <c r="K14" s="33"/>
      <c r="L14" s="33"/>
      <c r="M14" s="33"/>
      <c r="N14" s="33"/>
      <c r="O14" s="31"/>
      <c r="P14" s="665"/>
    </row>
    <row r="15" spans="1:16" s="27" customFormat="1" ht="37.5" customHeight="1" x14ac:dyDescent="0.25">
      <c r="A15" s="4" t="s">
        <v>15</v>
      </c>
      <c r="B15" s="668" t="s">
        <v>96</v>
      </c>
      <c r="C15" s="669"/>
      <c r="D15" s="669"/>
      <c r="E15" s="670"/>
      <c r="F15" s="35">
        <v>1</v>
      </c>
      <c r="G15" s="12" t="s">
        <v>2</v>
      </c>
      <c r="H15" s="30">
        <v>82500</v>
      </c>
      <c r="I15" s="31">
        <f>H15*F15</f>
        <v>82500</v>
      </c>
      <c r="J15" s="32"/>
      <c r="K15" s="33">
        <f>L15-J15</f>
        <v>0</v>
      </c>
      <c r="L15" s="33"/>
      <c r="M15" s="33">
        <f t="shared" si="0"/>
        <v>0</v>
      </c>
      <c r="N15" s="33">
        <f t="shared" si="1"/>
        <v>0</v>
      </c>
      <c r="O15" s="31">
        <f t="shared" si="2"/>
        <v>0</v>
      </c>
      <c r="P15" s="665"/>
    </row>
    <row r="16" spans="1:16" s="27" customFormat="1" ht="51" customHeight="1" x14ac:dyDescent="0.25">
      <c r="A16" s="4" t="s">
        <v>18</v>
      </c>
      <c r="B16" s="668" t="s">
        <v>97</v>
      </c>
      <c r="C16" s="669"/>
      <c r="D16" s="669"/>
      <c r="E16" s="670"/>
      <c r="F16" s="35">
        <v>1</v>
      </c>
      <c r="G16" s="12" t="s">
        <v>2</v>
      </c>
      <c r="H16" s="30">
        <v>111500</v>
      </c>
      <c r="I16" s="31">
        <f>H16*F16</f>
        <v>111500</v>
      </c>
      <c r="J16" s="32"/>
      <c r="K16" s="33">
        <f>L16-J16</f>
        <v>0</v>
      </c>
      <c r="L16" s="33"/>
      <c r="M16" s="33">
        <f>+J16*H16</f>
        <v>0</v>
      </c>
      <c r="N16" s="33">
        <f t="shared" si="1"/>
        <v>0</v>
      </c>
      <c r="O16" s="31">
        <f t="shared" si="2"/>
        <v>0</v>
      </c>
      <c r="P16" s="665"/>
    </row>
    <row r="17" spans="1:16" s="27" customFormat="1" ht="116.25" customHeight="1" x14ac:dyDescent="0.25">
      <c r="A17" s="4" t="s">
        <v>47</v>
      </c>
      <c r="B17" s="668" t="s">
        <v>98</v>
      </c>
      <c r="C17" s="669"/>
      <c r="D17" s="669"/>
      <c r="E17" s="670"/>
      <c r="F17" s="28">
        <v>1</v>
      </c>
      <c r="G17" s="12" t="s">
        <v>2</v>
      </c>
      <c r="H17" s="30">
        <v>146000</v>
      </c>
      <c r="I17" s="31">
        <f>H17*F17</f>
        <v>146000</v>
      </c>
      <c r="J17" s="32"/>
      <c r="K17" s="33">
        <f t="shared" ref="K17:K22" si="3">L17-J17</f>
        <v>0</v>
      </c>
      <c r="L17" s="33"/>
      <c r="M17" s="33">
        <f t="shared" si="0"/>
        <v>0</v>
      </c>
      <c r="N17" s="33">
        <f t="shared" si="1"/>
        <v>0</v>
      </c>
      <c r="O17" s="31">
        <f t="shared" si="2"/>
        <v>0</v>
      </c>
      <c r="P17" s="665"/>
    </row>
    <row r="18" spans="1:16" s="27" customFormat="1" ht="128.25" customHeight="1" x14ac:dyDescent="0.25">
      <c r="A18" s="57" t="s">
        <v>93</v>
      </c>
      <c r="B18" s="671" t="s">
        <v>99</v>
      </c>
      <c r="C18" s="672"/>
      <c r="D18" s="672"/>
      <c r="E18" s="673"/>
      <c r="F18" s="58">
        <v>1</v>
      </c>
      <c r="G18" s="52" t="s">
        <v>27</v>
      </c>
      <c r="H18" s="53">
        <v>17000</v>
      </c>
      <c r="I18" s="54">
        <f>H18*F18</f>
        <v>17000</v>
      </c>
      <c r="J18" s="55">
        <v>1</v>
      </c>
      <c r="K18" s="56">
        <f t="shared" si="3"/>
        <v>0</v>
      </c>
      <c r="L18" s="56">
        <v>1</v>
      </c>
      <c r="M18" s="56">
        <f t="shared" si="0"/>
        <v>17000</v>
      </c>
      <c r="N18" s="56">
        <f t="shared" si="1"/>
        <v>0</v>
      </c>
      <c r="O18" s="54">
        <f t="shared" si="2"/>
        <v>17000</v>
      </c>
      <c r="P18" s="665"/>
    </row>
    <row r="19" spans="1:16" s="27" customFormat="1" ht="63" customHeight="1" x14ac:dyDescent="0.25">
      <c r="A19" s="4">
        <v>2</v>
      </c>
      <c r="B19" s="658" t="s">
        <v>140</v>
      </c>
      <c r="C19" s="659"/>
      <c r="D19" s="659"/>
      <c r="E19" s="660"/>
      <c r="F19" s="41"/>
      <c r="G19" s="42"/>
      <c r="H19" s="43"/>
      <c r="I19" s="44"/>
      <c r="J19" s="23"/>
      <c r="K19" s="45"/>
      <c r="L19" s="45"/>
      <c r="M19" s="45"/>
      <c r="N19" s="45"/>
      <c r="O19" s="44"/>
      <c r="P19" s="664">
        <f>SUM(I21:I40)</f>
        <v>429331.25</v>
      </c>
    </row>
    <row r="20" spans="1:16" s="27" customFormat="1" ht="20.25" customHeight="1" x14ac:dyDescent="0.25">
      <c r="A20" s="4" t="s">
        <v>3</v>
      </c>
      <c r="B20" s="674" t="s">
        <v>100</v>
      </c>
      <c r="C20" s="675"/>
      <c r="D20" s="675"/>
      <c r="E20" s="676"/>
      <c r="F20" s="28"/>
      <c r="G20" s="12"/>
      <c r="H20" s="30"/>
      <c r="I20" s="31"/>
      <c r="J20" s="32"/>
      <c r="K20" s="33"/>
      <c r="L20" s="33"/>
      <c r="M20" s="33"/>
      <c r="N20" s="33"/>
      <c r="O20" s="31"/>
      <c r="P20" s="665"/>
    </row>
    <row r="21" spans="1:16" s="27" customFormat="1" ht="19.5" customHeight="1" x14ac:dyDescent="0.25">
      <c r="A21" s="4"/>
      <c r="B21" s="668" t="s">
        <v>101</v>
      </c>
      <c r="C21" s="669"/>
      <c r="D21" s="669"/>
      <c r="E21" s="670"/>
      <c r="F21" s="28">
        <v>6.4</v>
      </c>
      <c r="G21" s="12" t="s">
        <v>103</v>
      </c>
      <c r="H21" s="30">
        <v>19925</v>
      </c>
      <c r="I21" s="31">
        <f>H21*F21</f>
        <v>127520</v>
      </c>
      <c r="J21" s="32"/>
      <c r="K21" s="33">
        <f t="shared" si="3"/>
        <v>0</v>
      </c>
      <c r="L21" s="33"/>
      <c r="M21" s="33">
        <f t="shared" si="0"/>
        <v>0</v>
      </c>
      <c r="N21" s="33">
        <f t="shared" si="1"/>
        <v>0</v>
      </c>
      <c r="O21" s="31">
        <f t="shared" si="2"/>
        <v>0</v>
      </c>
      <c r="P21" s="665"/>
    </row>
    <row r="22" spans="1:16" s="27" customFormat="1" ht="33.75" customHeight="1" x14ac:dyDescent="0.25">
      <c r="A22" s="4"/>
      <c r="B22" s="668" t="s">
        <v>102</v>
      </c>
      <c r="C22" s="669"/>
      <c r="D22" s="669"/>
      <c r="E22" s="670"/>
      <c r="F22" s="28">
        <v>116</v>
      </c>
      <c r="G22" s="12" t="s">
        <v>1</v>
      </c>
      <c r="H22" s="30">
        <v>330</v>
      </c>
      <c r="I22" s="31">
        <f>H22*F22</f>
        <v>38280</v>
      </c>
      <c r="J22" s="32"/>
      <c r="K22" s="33">
        <f t="shared" si="3"/>
        <v>0</v>
      </c>
      <c r="L22" s="33"/>
      <c r="M22" s="33">
        <f t="shared" si="0"/>
        <v>0</v>
      </c>
      <c r="N22" s="33">
        <f t="shared" si="1"/>
        <v>0</v>
      </c>
      <c r="O22" s="31">
        <f t="shared" si="2"/>
        <v>0</v>
      </c>
      <c r="P22" s="665"/>
    </row>
    <row r="23" spans="1:16" s="27" customFormat="1" ht="20.25" customHeight="1" x14ac:dyDescent="0.25">
      <c r="A23" s="4" t="s">
        <v>15</v>
      </c>
      <c r="B23" s="674" t="s">
        <v>104</v>
      </c>
      <c r="C23" s="675"/>
      <c r="D23" s="675"/>
      <c r="E23" s="676"/>
      <c r="F23" s="28"/>
      <c r="G23" s="12"/>
      <c r="H23" s="30"/>
      <c r="I23" s="31"/>
      <c r="J23" s="32"/>
      <c r="K23" s="33"/>
      <c r="L23" s="33"/>
      <c r="M23" s="33"/>
      <c r="N23" s="33"/>
      <c r="O23" s="31"/>
      <c r="P23" s="665"/>
    </row>
    <row r="24" spans="1:16" ht="19.5" customHeight="1" x14ac:dyDescent="0.25">
      <c r="A24" s="3"/>
      <c r="B24" s="677" t="s">
        <v>101</v>
      </c>
      <c r="C24" s="678"/>
      <c r="D24" s="678"/>
      <c r="E24" s="679"/>
      <c r="F24" s="28">
        <v>2.52</v>
      </c>
      <c r="G24" s="12" t="s">
        <v>103</v>
      </c>
      <c r="H24" s="30">
        <v>19925</v>
      </c>
      <c r="I24" s="31">
        <f>H24*F24</f>
        <v>50211</v>
      </c>
      <c r="J24" s="32">
        <v>4.1399999999999997</v>
      </c>
      <c r="K24" s="33">
        <f t="shared" ref="K24:K25" si="4">L24-J24</f>
        <v>0</v>
      </c>
      <c r="L24" s="33">
        <v>4.1399999999999997</v>
      </c>
      <c r="M24" s="33">
        <f t="shared" ref="M24:M25" si="5">+J24*H24</f>
        <v>82489.5</v>
      </c>
      <c r="N24" s="33">
        <f t="shared" ref="N24:N25" si="6">O24-M24</f>
        <v>0</v>
      </c>
      <c r="O24" s="31">
        <f t="shared" ref="O24:O25" si="7">H24*L24</f>
        <v>82489.5</v>
      </c>
      <c r="P24" s="665"/>
    </row>
    <row r="25" spans="1:16" s="26" customFormat="1" ht="33.75" customHeight="1" x14ac:dyDescent="0.25">
      <c r="A25" s="3"/>
      <c r="B25" s="680" t="s">
        <v>102</v>
      </c>
      <c r="C25" s="681"/>
      <c r="D25" s="681"/>
      <c r="E25" s="682"/>
      <c r="F25" s="28">
        <v>42</v>
      </c>
      <c r="G25" s="12" t="s">
        <v>1</v>
      </c>
      <c r="H25" s="30">
        <v>330</v>
      </c>
      <c r="I25" s="31">
        <f>H25*F25</f>
        <v>13860</v>
      </c>
      <c r="J25" s="32">
        <v>103</v>
      </c>
      <c r="K25" s="33">
        <f t="shared" si="4"/>
        <v>0</v>
      </c>
      <c r="L25" s="33">
        <v>103</v>
      </c>
      <c r="M25" s="33">
        <f t="shared" si="5"/>
        <v>33990</v>
      </c>
      <c r="N25" s="33">
        <f t="shared" si="6"/>
        <v>0</v>
      </c>
      <c r="O25" s="31">
        <f t="shared" si="7"/>
        <v>33990</v>
      </c>
      <c r="P25" s="665"/>
    </row>
    <row r="26" spans="1:16" s="27" customFormat="1" ht="20.25" customHeight="1" x14ac:dyDescent="0.25">
      <c r="A26" s="4" t="s">
        <v>18</v>
      </c>
      <c r="B26" s="674" t="s">
        <v>105</v>
      </c>
      <c r="C26" s="675"/>
      <c r="D26" s="675"/>
      <c r="E26" s="676"/>
      <c r="F26" s="28"/>
      <c r="G26" s="12"/>
      <c r="H26" s="30"/>
      <c r="I26" s="31"/>
      <c r="J26" s="32"/>
      <c r="K26" s="33"/>
      <c r="L26" s="33"/>
      <c r="M26" s="33"/>
      <c r="N26" s="33"/>
      <c r="O26" s="31"/>
      <c r="P26" s="665"/>
    </row>
    <row r="27" spans="1:16" ht="19.5" customHeight="1" x14ac:dyDescent="0.25">
      <c r="A27" s="3"/>
      <c r="B27" s="677" t="s">
        <v>101</v>
      </c>
      <c r="C27" s="678"/>
      <c r="D27" s="678"/>
      <c r="E27" s="679"/>
      <c r="F27" s="28">
        <v>2.52</v>
      </c>
      <c r="G27" s="12" t="s">
        <v>103</v>
      </c>
      <c r="H27" s="30">
        <v>19925</v>
      </c>
      <c r="I27" s="31">
        <f>H27*F27</f>
        <v>50211</v>
      </c>
      <c r="J27" s="32">
        <v>4.1399999999999997</v>
      </c>
      <c r="K27" s="33">
        <f>L27-J27</f>
        <v>0</v>
      </c>
      <c r="L27" s="33">
        <v>4.1399999999999997</v>
      </c>
      <c r="M27" s="33">
        <f t="shared" ref="M27:M28" si="8">+J27*H27</f>
        <v>82489.5</v>
      </c>
      <c r="N27" s="33">
        <f>O27-M27</f>
        <v>0</v>
      </c>
      <c r="O27" s="31">
        <f t="shared" ref="O27:O28" si="9">H27*L27</f>
        <v>82489.5</v>
      </c>
      <c r="P27" s="665"/>
    </row>
    <row r="28" spans="1:16" s="26" customFormat="1" ht="33.75" customHeight="1" x14ac:dyDescent="0.25">
      <c r="A28" s="3"/>
      <c r="B28" s="680" t="s">
        <v>102</v>
      </c>
      <c r="C28" s="681"/>
      <c r="D28" s="681"/>
      <c r="E28" s="682"/>
      <c r="F28" s="28">
        <v>42</v>
      </c>
      <c r="G28" s="12" t="s">
        <v>1</v>
      </c>
      <c r="H28" s="30">
        <v>330</v>
      </c>
      <c r="I28" s="31">
        <f>H28*F28</f>
        <v>13860</v>
      </c>
      <c r="J28" s="32">
        <v>103</v>
      </c>
      <c r="K28" s="33">
        <f t="shared" ref="K28" si="10">L28-J28</f>
        <v>0</v>
      </c>
      <c r="L28" s="33">
        <v>103</v>
      </c>
      <c r="M28" s="33">
        <f t="shared" si="8"/>
        <v>33990</v>
      </c>
      <c r="N28" s="33">
        <f t="shared" ref="N28" si="11">O28-M28</f>
        <v>0</v>
      </c>
      <c r="O28" s="31">
        <f t="shared" si="9"/>
        <v>33990</v>
      </c>
      <c r="P28" s="665"/>
    </row>
    <row r="29" spans="1:16" s="27" customFormat="1" ht="20.25" customHeight="1" x14ac:dyDescent="0.25">
      <c r="A29" s="4" t="s">
        <v>47</v>
      </c>
      <c r="B29" s="674" t="s">
        <v>106</v>
      </c>
      <c r="C29" s="675"/>
      <c r="D29" s="675"/>
      <c r="E29" s="676"/>
      <c r="F29" s="28"/>
      <c r="G29" s="12"/>
      <c r="H29" s="30"/>
      <c r="I29" s="31"/>
      <c r="J29" s="32"/>
      <c r="K29" s="33"/>
      <c r="L29" s="33"/>
      <c r="M29" s="33"/>
      <c r="N29" s="33"/>
      <c r="O29" s="31"/>
      <c r="P29" s="665"/>
    </row>
    <row r="30" spans="1:16" ht="19.5" customHeight="1" x14ac:dyDescent="0.25">
      <c r="A30" s="3"/>
      <c r="B30" s="677" t="s">
        <v>101</v>
      </c>
      <c r="C30" s="678"/>
      <c r="D30" s="678"/>
      <c r="E30" s="679"/>
      <c r="F30" s="28">
        <v>0.88</v>
      </c>
      <c r="G30" s="12" t="s">
        <v>103</v>
      </c>
      <c r="H30" s="30">
        <v>19925</v>
      </c>
      <c r="I30" s="31">
        <f>H30*F30</f>
        <v>17534</v>
      </c>
      <c r="J30" s="32"/>
      <c r="K30" s="33">
        <f t="shared" ref="K30:K31" si="12">L30-J30</f>
        <v>0</v>
      </c>
      <c r="L30" s="33"/>
      <c r="M30" s="33">
        <f t="shared" ref="M30:M31" si="13">+J30*H30</f>
        <v>0</v>
      </c>
      <c r="N30" s="33">
        <f t="shared" ref="N30:N31" si="14">O30-M30</f>
        <v>0</v>
      </c>
      <c r="O30" s="31">
        <f t="shared" ref="O30:O31" si="15">H30*L30</f>
        <v>0</v>
      </c>
      <c r="P30" s="665"/>
    </row>
    <row r="31" spans="1:16" s="26" customFormat="1" ht="33.75" customHeight="1" x14ac:dyDescent="0.25">
      <c r="A31" s="3"/>
      <c r="B31" s="680" t="s">
        <v>102</v>
      </c>
      <c r="C31" s="681"/>
      <c r="D31" s="681"/>
      <c r="E31" s="682"/>
      <c r="F31" s="28">
        <v>48</v>
      </c>
      <c r="G31" s="12" t="s">
        <v>1</v>
      </c>
      <c r="H31" s="30">
        <v>330</v>
      </c>
      <c r="I31" s="31">
        <f>H31*F31</f>
        <v>15840</v>
      </c>
      <c r="J31" s="32"/>
      <c r="K31" s="33">
        <f t="shared" si="12"/>
        <v>0</v>
      </c>
      <c r="L31" s="33"/>
      <c r="M31" s="33">
        <f t="shared" si="13"/>
        <v>0</v>
      </c>
      <c r="N31" s="33">
        <f t="shared" si="14"/>
        <v>0</v>
      </c>
      <c r="O31" s="31">
        <f t="shared" si="15"/>
        <v>0</v>
      </c>
      <c r="P31" s="665"/>
    </row>
    <row r="32" spans="1:16" s="27" customFormat="1" ht="20.25" customHeight="1" x14ac:dyDescent="0.25">
      <c r="A32" s="4" t="s">
        <v>93</v>
      </c>
      <c r="B32" s="674" t="s">
        <v>107</v>
      </c>
      <c r="C32" s="675"/>
      <c r="D32" s="675"/>
      <c r="E32" s="676"/>
      <c r="F32" s="28"/>
      <c r="G32" s="12"/>
      <c r="H32" s="30"/>
      <c r="I32" s="31"/>
      <c r="J32" s="32"/>
      <c r="K32" s="33"/>
      <c r="L32" s="33"/>
      <c r="M32" s="33"/>
      <c r="N32" s="33"/>
      <c r="O32" s="31"/>
      <c r="P32" s="665"/>
    </row>
    <row r="33" spans="1:16" ht="19.5" customHeight="1" x14ac:dyDescent="0.25">
      <c r="A33" s="3"/>
      <c r="B33" s="677" t="s">
        <v>101</v>
      </c>
      <c r="C33" s="678"/>
      <c r="D33" s="678"/>
      <c r="E33" s="679"/>
      <c r="F33" s="28">
        <v>0.88</v>
      </c>
      <c r="G33" s="12" t="s">
        <v>103</v>
      </c>
      <c r="H33" s="30">
        <v>19925</v>
      </c>
      <c r="I33" s="31">
        <f>H33*F33</f>
        <v>17534</v>
      </c>
      <c r="J33" s="32"/>
      <c r="K33" s="33">
        <f t="shared" ref="K33:K34" si="16">L33-J33</f>
        <v>0</v>
      </c>
      <c r="L33" s="33"/>
      <c r="M33" s="33">
        <f t="shared" ref="M33:M34" si="17">+J33*H33</f>
        <v>0</v>
      </c>
      <c r="N33" s="33">
        <f t="shared" ref="N33:N34" si="18">O33-M33</f>
        <v>0</v>
      </c>
      <c r="O33" s="31">
        <f t="shared" ref="O33:O34" si="19">H33*L33</f>
        <v>0</v>
      </c>
      <c r="P33" s="665"/>
    </row>
    <row r="34" spans="1:16" s="26" customFormat="1" ht="33.75" customHeight="1" x14ac:dyDescent="0.25">
      <c r="A34" s="3"/>
      <c r="B34" s="680" t="s">
        <v>102</v>
      </c>
      <c r="C34" s="681"/>
      <c r="D34" s="681"/>
      <c r="E34" s="682"/>
      <c r="F34" s="28">
        <v>48</v>
      </c>
      <c r="G34" s="12" t="s">
        <v>1</v>
      </c>
      <c r="H34" s="30">
        <v>330</v>
      </c>
      <c r="I34" s="31">
        <f>H34*F34</f>
        <v>15840</v>
      </c>
      <c r="J34" s="32"/>
      <c r="K34" s="33">
        <f t="shared" si="16"/>
        <v>0</v>
      </c>
      <c r="L34" s="33"/>
      <c r="M34" s="33">
        <f t="shared" si="17"/>
        <v>0</v>
      </c>
      <c r="N34" s="33">
        <f t="shared" si="18"/>
        <v>0</v>
      </c>
      <c r="O34" s="31">
        <f t="shared" si="19"/>
        <v>0</v>
      </c>
      <c r="P34" s="665"/>
    </row>
    <row r="35" spans="1:16" s="26" customFormat="1" ht="24" customHeight="1" x14ac:dyDescent="0.25">
      <c r="A35" s="3" t="s">
        <v>108</v>
      </c>
      <c r="B35" s="661" t="s">
        <v>109</v>
      </c>
      <c r="C35" s="662"/>
      <c r="D35" s="662"/>
      <c r="E35" s="663"/>
      <c r="F35" s="28"/>
      <c r="G35" s="12"/>
      <c r="H35" s="30"/>
      <c r="I35" s="31"/>
      <c r="J35" s="32"/>
      <c r="K35" s="33"/>
      <c r="L35" s="33"/>
      <c r="M35" s="33"/>
      <c r="N35" s="33"/>
      <c r="O35" s="31"/>
      <c r="P35" s="665"/>
    </row>
    <row r="36" spans="1:16" ht="19.5" customHeight="1" x14ac:dyDescent="0.25">
      <c r="A36" s="3"/>
      <c r="B36" s="677" t="s">
        <v>101</v>
      </c>
      <c r="C36" s="678"/>
      <c r="D36" s="678"/>
      <c r="E36" s="679"/>
      <c r="F36" s="28">
        <v>2.65</v>
      </c>
      <c r="G36" s="12" t="s">
        <v>103</v>
      </c>
      <c r="H36" s="30">
        <v>19925</v>
      </c>
      <c r="I36" s="31">
        <f>H36*F36</f>
        <v>52801.25</v>
      </c>
      <c r="J36" s="32">
        <v>2</v>
      </c>
      <c r="K36" s="33">
        <f t="shared" ref="K36:K37" si="20">L36-J36</f>
        <v>0</v>
      </c>
      <c r="L36" s="33">
        <v>2</v>
      </c>
      <c r="M36" s="33">
        <f t="shared" ref="M36:M37" si="21">+J36*H36</f>
        <v>39850</v>
      </c>
      <c r="N36" s="33">
        <f t="shared" ref="N36:N37" si="22">O36-M36</f>
        <v>0</v>
      </c>
      <c r="O36" s="31">
        <f t="shared" ref="O36:O37" si="23">H36*L36</f>
        <v>39850</v>
      </c>
      <c r="P36" s="665"/>
    </row>
    <row r="37" spans="1:16" s="26" customFormat="1" ht="33.75" customHeight="1" x14ac:dyDescent="0.25">
      <c r="A37" s="3"/>
      <c r="B37" s="680" t="s">
        <v>102</v>
      </c>
      <c r="C37" s="681"/>
      <c r="D37" s="681"/>
      <c r="E37" s="682"/>
      <c r="F37" s="28">
        <v>48</v>
      </c>
      <c r="G37" s="12" t="s">
        <v>1</v>
      </c>
      <c r="H37" s="30">
        <v>330</v>
      </c>
      <c r="I37" s="31">
        <f>H37*F37</f>
        <v>15840</v>
      </c>
      <c r="J37" s="32">
        <v>40</v>
      </c>
      <c r="K37" s="33">
        <f t="shared" si="20"/>
        <v>0</v>
      </c>
      <c r="L37" s="33">
        <v>40</v>
      </c>
      <c r="M37" s="33">
        <f t="shared" si="21"/>
        <v>13200</v>
      </c>
      <c r="N37" s="33">
        <f t="shared" si="22"/>
        <v>0</v>
      </c>
      <c r="O37" s="31">
        <f t="shared" si="23"/>
        <v>13200</v>
      </c>
      <c r="P37" s="665"/>
    </row>
    <row r="38" spans="1:16" s="27" customFormat="1" ht="36.75" customHeight="1" x14ac:dyDescent="0.25">
      <c r="A38" s="4"/>
      <c r="B38" s="668" t="s">
        <v>110</v>
      </c>
      <c r="C38" s="669"/>
      <c r="D38" s="669"/>
      <c r="E38" s="670"/>
      <c r="F38" s="12"/>
      <c r="G38" s="21"/>
      <c r="H38" s="30"/>
      <c r="I38" s="31"/>
      <c r="J38" s="32"/>
      <c r="K38" s="33"/>
      <c r="L38" s="33"/>
      <c r="M38" s="33"/>
      <c r="N38" s="33"/>
      <c r="O38" s="31"/>
      <c r="P38" s="665"/>
    </row>
    <row r="39" spans="1:16" s="27" customFormat="1" ht="33" customHeight="1" x14ac:dyDescent="0.25">
      <c r="A39" s="4"/>
      <c r="B39" s="668"/>
      <c r="C39" s="669"/>
      <c r="D39" s="669"/>
      <c r="E39" s="670"/>
      <c r="F39" s="12"/>
      <c r="G39" s="21"/>
      <c r="H39" s="30"/>
      <c r="I39" s="31"/>
      <c r="J39" s="32"/>
      <c r="K39" s="33"/>
      <c r="L39" s="33"/>
      <c r="M39" s="33"/>
      <c r="N39" s="33"/>
      <c r="O39" s="31"/>
      <c r="P39" s="665"/>
    </row>
    <row r="40" spans="1:16" s="27" customFormat="1" x14ac:dyDescent="0.25">
      <c r="A40" s="4"/>
      <c r="B40" s="668"/>
      <c r="C40" s="669"/>
      <c r="D40" s="669"/>
      <c r="E40" s="670"/>
      <c r="F40" s="12"/>
      <c r="G40" s="12"/>
      <c r="H40" s="30"/>
      <c r="I40" s="31"/>
      <c r="J40" s="32"/>
      <c r="K40" s="33"/>
      <c r="L40" s="33"/>
      <c r="M40" s="33"/>
      <c r="N40" s="33"/>
      <c r="O40" s="31"/>
      <c r="P40" s="665"/>
    </row>
    <row r="41" spans="1:16" s="27" customFormat="1" ht="13.8" thickBot="1" x14ac:dyDescent="0.3">
      <c r="A41" s="11"/>
      <c r="B41" s="683"/>
      <c r="C41" s="684"/>
      <c r="D41" s="684"/>
      <c r="E41" s="685"/>
      <c r="F41" s="73"/>
      <c r="G41" s="74"/>
      <c r="H41" s="75"/>
      <c r="I41" s="76"/>
      <c r="J41" s="77"/>
      <c r="K41" s="78"/>
      <c r="L41" s="78"/>
      <c r="M41" s="78"/>
      <c r="N41" s="78"/>
      <c r="O41" s="76"/>
      <c r="P41" s="665"/>
    </row>
    <row r="42" spans="1:16" ht="52.5" customHeight="1" thickTop="1" x14ac:dyDescent="0.25">
      <c r="A42" s="4">
        <v>3</v>
      </c>
      <c r="B42" s="658" t="s">
        <v>111</v>
      </c>
      <c r="C42" s="659"/>
      <c r="D42" s="659"/>
      <c r="E42" s="660"/>
      <c r="F42" s="28"/>
      <c r="G42" s="12"/>
      <c r="H42" s="30"/>
      <c r="I42" s="31"/>
      <c r="J42" s="32"/>
      <c r="K42" s="33"/>
      <c r="L42" s="33"/>
      <c r="M42" s="33"/>
      <c r="N42" s="33"/>
      <c r="O42" s="31"/>
      <c r="P42" s="664">
        <f>SUM(I45:I77)</f>
        <v>775672.12999999989</v>
      </c>
    </row>
    <row r="43" spans="1:16" s="26" customFormat="1" ht="33" customHeight="1" x14ac:dyDescent="0.25">
      <c r="A43" s="3"/>
      <c r="B43" s="686" t="s">
        <v>112</v>
      </c>
      <c r="C43" s="687"/>
      <c r="D43" s="687"/>
      <c r="E43" s="688"/>
      <c r="F43" s="12"/>
      <c r="G43" s="21"/>
      <c r="H43" s="30"/>
      <c r="I43" s="31"/>
      <c r="J43" s="32"/>
      <c r="K43" s="33"/>
      <c r="L43" s="33"/>
      <c r="M43" s="33"/>
      <c r="N43" s="33"/>
      <c r="O43" s="31"/>
      <c r="P43" s="665"/>
    </row>
    <row r="44" spans="1:16" s="27" customFormat="1" ht="23.25" customHeight="1" x14ac:dyDescent="0.25">
      <c r="A44" s="4" t="s">
        <v>3</v>
      </c>
      <c r="B44" s="674" t="s">
        <v>113</v>
      </c>
      <c r="C44" s="675"/>
      <c r="D44" s="675"/>
      <c r="E44" s="676"/>
      <c r="F44" s="12"/>
      <c r="G44" s="21"/>
      <c r="H44" s="30"/>
      <c r="I44" s="31"/>
      <c r="J44" s="32"/>
      <c r="K44" s="33"/>
      <c r="L44" s="33"/>
      <c r="M44" s="33"/>
      <c r="N44" s="33"/>
      <c r="O44" s="31"/>
      <c r="P44" s="665"/>
    </row>
    <row r="45" spans="1:16" s="27" customFormat="1" ht="19.5" customHeight="1" x14ac:dyDescent="0.25">
      <c r="A45" s="4"/>
      <c r="B45" s="668" t="s">
        <v>114</v>
      </c>
      <c r="C45" s="669"/>
      <c r="D45" s="669"/>
      <c r="E45" s="670"/>
      <c r="F45" s="46">
        <v>3033.8141592920301</v>
      </c>
      <c r="G45" s="21" t="s">
        <v>117</v>
      </c>
      <c r="H45" s="30">
        <v>16.95</v>
      </c>
      <c r="I45" s="31">
        <f>H45*F45</f>
        <v>51423.149999999907</v>
      </c>
      <c r="J45" s="32"/>
      <c r="K45" s="33">
        <f t="shared" ref="K45:K46" si="24">L45-J45</f>
        <v>200</v>
      </c>
      <c r="L45" s="33">
        <v>200</v>
      </c>
      <c r="M45" s="33">
        <f>+J45*H45</f>
        <v>0</v>
      </c>
      <c r="N45" s="33">
        <f>O45-M45</f>
        <v>3390</v>
      </c>
      <c r="O45" s="31">
        <f t="shared" ref="O45:O47" si="25">H45*L45</f>
        <v>3390</v>
      </c>
      <c r="P45" s="665"/>
    </row>
    <row r="46" spans="1:16" s="27" customFormat="1" ht="19.5" customHeight="1" x14ac:dyDescent="0.25">
      <c r="A46" s="4"/>
      <c r="B46" s="668" t="s">
        <v>115</v>
      </c>
      <c r="C46" s="669"/>
      <c r="D46" s="669"/>
      <c r="E46" s="670"/>
      <c r="F46" s="46">
        <v>54.825022222222202</v>
      </c>
      <c r="G46" s="21" t="s">
        <v>5</v>
      </c>
      <c r="H46" s="30">
        <v>225</v>
      </c>
      <c r="I46" s="31">
        <f>H46*F46</f>
        <v>12335.629999999996</v>
      </c>
      <c r="J46" s="32"/>
      <c r="K46" s="33">
        <f t="shared" si="24"/>
        <v>0</v>
      </c>
      <c r="L46" s="33"/>
      <c r="M46" s="33">
        <f t="shared" ref="M46:M47" si="26">+J46*H46</f>
        <v>0</v>
      </c>
      <c r="N46" s="33">
        <f t="shared" ref="N46:N47" si="27">O46-M46</f>
        <v>0</v>
      </c>
      <c r="O46" s="31">
        <f t="shared" si="25"/>
        <v>0</v>
      </c>
      <c r="P46" s="665"/>
    </row>
    <row r="47" spans="1:16" s="27" customFormat="1" ht="27.75" customHeight="1" x14ac:dyDescent="0.25">
      <c r="A47" s="4"/>
      <c r="B47" s="668" t="s">
        <v>116</v>
      </c>
      <c r="C47" s="669"/>
      <c r="D47" s="669"/>
      <c r="E47" s="670"/>
      <c r="F47" s="46">
        <v>67.051842105263106</v>
      </c>
      <c r="G47" s="21" t="s">
        <v>5</v>
      </c>
      <c r="H47" s="30">
        <v>380</v>
      </c>
      <c r="I47" s="31">
        <f>H47*F47</f>
        <v>25479.699999999979</v>
      </c>
      <c r="J47" s="32"/>
      <c r="K47" s="33">
        <f>L47-J47</f>
        <v>0</v>
      </c>
      <c r="L47" s="33"/>
      <c r="M47" s="33">
        <f t="shared" si="26"/>
        <v>0</v>
      </c>
      <c r="N47" s="33">
        <f t="shared" si="27"/>
        <v>0</v>
      </c>
      <c r="O47" s="31">
        <f t="shared" si="25"/>
        <v>0</v>
      </c>
      <c r="P47" s="665"/>
    </row>
    <row r="48" spans="1:16" s="27" customFormat="1" ht="23.25" customHeight="1" x14ac:dyDescent="0.25">
      <c r="A48" s="4" t="s">
        <v>15</v>
      </c>
      <c r="B48" s="674" t="s">
        <v>118</v>
      </c>
      <c r="C48" s="675"/>
      <c r="D48" s="675"/>
      <c r="E48" s="676"/>
      <c r="F48" s="46"/>
      <c r="G48" s="21"/>
      <c r="H48" s="30"/>
      <c r="I48" s="31"/>
      <c r="J48" s="32"/>
      <c r="K48" s="33"/>
      <c r="L48" s="33"/>
      <c r="M48" s="33"/>
      <c r="N48" s="33"/>
      <c r="O48" s="31"/>
      <c r="P48" s="665"/>
    </row>
    <row r="49" spans="1:16" s="27" customFormat="1" ht="19.5" customHeight="1" x14ac:dyDescent="0.25">
      <c r="A49" s="4"/>
      <c r="B49" s="668" t="s">
        <v>114</v>
      </c>
      <c r="C49" s="669"/>
      <c r="D49" s="669"/>
      <c r="E49" s="670"/>
      <c r="F49" s="46">
        <v>2708.5669616519099</v>
      </c>
      <c r="G49" s="21" t="s">
        <v>117</v>
      </c>
      <c r="H49" s="30">
        <v>16.95</v>
      </c>
      <c r="I49" s="31">
        <f>H49*F49</f>
        <v>45910.209999999868</v>
      </c>
      <c r="J49" s="32"/>
      <c r="K49" s="33">
        <f t="shared" ref="K49:K50" si="28">L49-J49</f>
        <v>200</v>
      </c>
      <c r="L49" s="33">
        <v>200</v>
      </c>
      <c r="M49" s="33">
        <f t="shared" ref="M49:M51" si="29">+J49*H49</f>
        <v>0</v>
      </c>
      <c r="N49" s="33">
        <f t="shared" ref="N49:N51" si="30">O49-M49</f>
        <v>3390</v>
      </c>
      <c r="O49" s="31">
        <f t="shared" ref="O49:O51" si="31">H49*L49</f>
        <v>3390</v>
      </c>
      <c r="P49" s="665"/>
    </row>
    <row r="50" spans="1:16" s="27" customFormat="1" ht="19.5" customHeight="1" x14ac:dyDescent="0.25">
      <c r="A50" s="4"/>
      <c r="B50" s="668" t="s">
        <v>115</v>
      </c>
      <c r="C50" s="669"/>
      <c r="D50" s="669"/>
      <c r="E50" s="670"/>
      <c r="F50" s="46">
        <v>59.125022222222199</v>
      </c>
      <c r="G50" s="21" t="s">
        <v>5</v>
      </c>
      <c r="H50" s="30">
        <v>225</v>
      </c>
      <c r="I50" s="31">
        <f>H50*F50</f>
        <v>13303.129999999996</v>
      </c>
      <c r="J50" s="32"/>
      <c r="K50" s="33">
        <f t="shared" si="28"/>
        <v>0</v>
      </c>
      <c r="L50" s="33"/>
      <c r="M50" s="33">
        <f t="shared" si="29"/>
        <v>0</v>
      </c>
      <c r="N50" s="33">
        <f t="shared" si="30"/>
        <v>0</v>
      </c>
      <c r="O50" s="31">
        <f t="shared" si="31"/>
        <v>0</v>
      </c>
      <c r="P50" s="665"/>
    </row>
    <row r="51" spans="1:16" s="27" customFormat="1" ht="27.75" customHeight="1" x14ac:dyDescent="0.25">
      <c r="A51" s="4"/>
      <c r="B51" s="668" t="s">
        <v>116</v>
      </c>
      <c r="C51" s="669"/>
      <c r="D51" s="669"/>
      <c r="E51" s="670"/>
      <c r="F51" s="46">
        <v>59.853684210526303</v>
      </c>
      <c r="G51" s="21" t="s">
        <v>5</v>
      </c>
      <c r="H51" s="30">
        <v>380</v>
      </c>
      <c r="I51" s="31">
        <f>H51*F51</f>
        <v>22744.399999999994</v>
      </c>
      <c r="J51" s="32"/>
      <c r="K51" s="33">
        <f>L51-J51</f>
        <v>0</v>
      </c>
      <c r="L51" s="33"/>
      <c r="M51" s="33">
        <f t="shared" si="29"/>
        <v>0</v>
      </c>
      <c r="N51" s="33">
        <f t="shared" si="30"/>
        <v>0</v>
      </c>
      <c r="O51" s="31">
        <f t="shared" si="31"/>
        <v>0</v>
      </c>
      <c r="P51" s="665"/>
    </row>
    <row r="52" spans="1:16" s="27" customFormat="1" ht="23.25" customHeight="1" x14ac:dyDescent="0.25">
      <c r="A52" s="4" t="s">
        <v>18</v>
      </c>
      <c r="B52" s="674" t="s">
        <v>119</v>
      </c>
      <c r="C52" s="675"/>
      <c r="D52" s="675"/>
      <c r="E52" s="676"/>
      <c r="F52" s="46"/>
      <c r="G52" s="21"/>
      <c r="H52" s="30"/>
      <c r="I52" s="31"/>
      <c r="J52" s="32"/>
      <c r="K52" s="33"/>
      <c r="L52" s="33"/>
      <c r="M52" s="33"/>
      <c r="N52" s="33"/>
      <c r="O52" s="31"/>
      <c r="P52" s="665"/>
    </row>
    <row r="53" spans="1:16" s="27" customFormat="1" ht="19.5" customHeight="1" x14ac:dyDescent="0.25">
      <c r="A53" s="4"/>
      <c r="B53" s="668" t="s">
        <v>114</v>
      </c>
      <c r="C53" s="669"/>
      <c r="D53" s="669"/>
      <c r="E53" s="670"/>
      <c r="F53" s="46">
        <v>6708</v>
      </c>
      <c r="G53" s="21" t="s">
        <v>117</v>
      </c>
      <c r="H53" s="30">
        <v>16.95</v>
      </c>
      <c r="I53" s="31">
        <f>H53*F53</f>
        <v>113700.59999999999</v>
      </c>
      <c r="J53" s="32"/>
      <c r="K53" s="33">
        <f t="shared" ref="K53:K54" si="32">L53-J53</f>
        <v>200</v>
      </c>
      <c r="L53" s="33">
        <v>200</v>
      </c>
      <c r="M53" s="33">
        <f t="shared" ref="M53:M55" si="33">+J53*H53</f>
        <v>0</v>
      </c>
      <c r="N53" s="33">
        <f t="shared" ref="N53:N55" si="34">O53-M53</f>
        <v>3390</v>
      </c>
      <c r="O53" s="31">
        <f t="shared" ref="O53:O55" si="35">H53*L53</f>
        <v>3390</v>
      </c>
      <c r="P53" s="665"/>
    </row>
    <row r="54" spans="1:16" s="27" customFormat="1" ht="19.5" customHeight="1" x14ac:dyDescent="0.25">
      <c r="A54" s="4"/>
      <c r="B54" s="668" t="s">
        <v>115</v>
      </c>
      <c r="C54" s="669"/>
      <c r="D54" s="669"/>
      <c r="E54" s="670"/>
      <c r="F54" s="46">
        <v>133.77000000000001</v>
      </c>
      <c r="G54" s="21" t="s">
        <v>5</v>
      </c>
      <c r="H54" s="30">
        <v>225</v>
      </c>
      <c r="I54" s="31">
        <f>H54*F54</f>
        <v>30098.250000000004</v>
      </c>
      <c r="J54" s="32"/>
      <c r="K54" s="33">
        <f t="shared" si="32"/>
        <v>0</v>
      </c>
      <c r="L54" s="33"/>
      <c r="M54" s="33">
        <f t="shared" si="33"/>
        <v>0</v>
      </c>
      <c r="N54" s="33">
        <f t="shared" si="34"/>
        <v>0</v>
      </c>
      <c r="O54" s="31">
        <f t="shared" si="35"/>
        <v>0</v>
      </c>
      <c r="P54" s="665"/>
    </row>
    <row r="55" spans="1:16" s="27" customFormat="1" ht="27.75" customHeight="1" x14ac:dyDescent="0.25">
      <c r="A55" s="4"/>
      <c r="B55" s="668" t="s">
        <v>116</v>
      </c>
      <c r="C55" s="669"/>
      <c r="D55" s="669"/>
      <c r="E55" s="670"/>
      <c r="F55" s="46">
        <v>118.82</v>
      </c>
      <c r="G55" s="21" t="s">
        <v>5</v>
      </c>
      <c r="H55" s="30">
        <v>380</v>
      </c>
      <c r="I55" s="31">
        <f>H55*F55</f>
        <v>45151.6</v>
      </c>
      <c r="J55" s="32"/>
      <c r="K55" s="33">
        <f>L55-J55</f>
        <v>0</v>
      </c>
      <c r="L55" s="33"/>
      <c r="M55" s="33">
        <f t="shared" si="33"/>
        <v>0</v>
      </c>
      <c r="N55" s="33">
        <f t="shared" si="34"/>
        <v>0</v>
      </c>
      <c r="O55" s="31">
        <f t="shared" si="35"/>
        <v>0</v>
      </c>
      <c r="P55" s="665"/>
    </row>
    <row r="56" spans="1:16" s="27" customFormat="1" ht="23.25" customHeight="1" x14ac:dyDescent="0.25">
      <c r="A56" s="4" t="s">
        <v>47</v>
      </c>
      <c r="B56" s="674" t="s">
        <v>120</v>
      </c>
      <c r="C56" s="675"/>
      <c r="D56" s="675"/>
      <c r="E56" s="676"/>
      <c r="F56" s="46"/>
      <c r="G56" s="21"/>
      <c r="H56" s="30"/>
      <c r="I56" s="31"/>
      <c r="J56" s="32"/>
      <c r="K56" s="33"/>
      <c r="L56" s="33"/>
      <c r="M56" s="33"/>
      <c r="N56" s="33"/>
      <c r="O56" s="31"/>
      <c r="P56" s="665"/>
    </row>
    <row r="57" spans="1:16" s="27" customFormat="1" ht="19.5" customHeight="1" x14ac:dyDescent="0.25">
      <c r="A57" s="4"/>
      <c r="B57" s="668" t="s">
        <v>114</v>
      </c>
      <c r="C57" s="669"/>
      <c r="D57" s="669"/>
      <c r="E57" s="670"/>
      <c r="F57" s="46">
        <v>4472</v>
      </c>
      <c r="G57" s="21" t="s">
        <v>117</v>
      </c>
      <c r="H57" s="30">
        <v>16.95</v>
      </c>
      <c r="I57" s="31">
        <f>H57*F57</f>
        <v>75800.399999999994</v>
      </c>
      <c r="J57" s="32"/>
      <c r="K57" s="33">
        <f t="shared" ref="K57:K58" si="36">L57-J57</f>
        <v>200</v>
      </c>
      <c r="L57" s="33">
        <v>200</v>
      </c>
      <c r="M57" s="33">
        <f t="shared" ref="M57:M60" si="37">+J57*H57</f>
        <v>0</v>
      </c>
      <c r="N57" s="33">
        <f t="shared" ref="N57:N60" si="38">O57-M57</f>
        <v>3390</v>
      </c>
      <c r="O57" s="31">
        <f t="shared" ref="O57:O60" si="39">H57*L57</f>
        <v>3390</v>
      </c>
      <c r="P57" s="665"/>
    </row>
    <row r="58" spans="1:16" s="27" customFormat="1" ht="19.5" customHeight="1" x14ac:dyDescent="0.25">
      <c r="A58" s="4"/>
      <c r="B58" s="668" t="s">
        <v>115</v>
      </c>
      <c r="C58" s="669"/>
      <c r="D58" s="669"/>
      <c r="E58" s="670"/>
      <c r="F58" s="46">
        <v>116.7</v>
      </c>
      <c r="G58" s="21" t="s">
        <v>5</v>
      </c>
      <c r="H58" s="30">
        <v>225</v>
      </c>
      <c r="I58" s="31">
        <f>H58*F58</f>
        <v>26257.5</v>
      </c>
      <c r="J58" s="32"/>
      <c r="K58" s="33">
        <f t="shared" si="36"/>
        <v>0</v>
      </c>
      <c r="L58" s="33"/>
      <c r="M58" s="33">
        <f t="shared" si="37"/>
        <v>0</v>
      </c>
      <c r="N58" s="33">
        <f t="shared" si="38"/>
        <v>0</v>
      </c>
      <c r="O58" s="31">
        <f t="shared" si="39"/>
        <v>0</v>
      </c>
      <c r="P58" s="665"/>
    </row>
    <row r="59" spans="1:16" s="27" customFormat="1" ht="27.75" customHeight="1" x14ac:dyDescent="0.25">
      <c r="A59" s="4"/>
      <c r="B59" s="668" t="s">
        <v>116</v>
      </c>
      <c r="C59" s="669"/>
      <c r="D59" s="669"/>
      <c r="E59" s="670"/>
      <c r="F59" s="46">
        <v>147.96</v>
      </c>
      <c r="G59" s="21" t="s">
        <v>5</v>
      </c>
      <c r="H59" s="30">
        <v>380</v>
      </c>
      <c r="I59" s="31">
        <f>H59*F59</f>
        <v>56224.800000000003</v>
      </c>
      <c r="J59" s="32"/>
      <c r="K59" s="33">
        <f>L59-J59</f>
        <v>0</v>
      </c>
      <c r="L59" s="33"/>
      <c r="M59" s="33">
        <f t="shared" si="37"/>
        <v>0</v>
      </c>
      <c r="N59" s="33">
        <f t="shared" si="38"/>
        <v>0</v>
      </c>
      <c r="O59" s="31">
        <f t="shared" si="39"/>
        <v>0</v>
      </c>
      <c r="P59" s="665"/>
    </row>
    <row r="60" spans="1:16" s="27" customFormat="1" ht="27.75" customHeight="1" x14ac:dyDescent="0.25">
      <c r="A60" s="4"/>
      <c r="B60" s="686" t="s">
        <v>121</v>
      </c>
      <c r="C60" s="687"/>
      <c r="D60" s="687"/>
      <c r="E60" s="688"/>
      <c r="F60" s="12"/>
      <c r="G60" s="12"/>
      <c r="H60" s="30"/>
      <c r="I60" s="31"/>
      <c r="J60" s="32"/>
      <c r="K60" s="33">
        <f t="shared" ref="K60" si="40">L60-J60</f>
        <v>0</v>
      </c>
      <c r="L60" s="33"/>
      <c r="M60" s="33">
        <f t="shared" si="37"/>
        <v>0</v>
      </c>
      <c r="N60" s="33">
        <f t="shared" si="38"/>
        <v>0</v>
      </c>
      <c r="O60" s="31">
        <f t="shared" si="39"/>
        <v>0</v>
      </c>
      <c r="P60" s="665"/>
    </row>
    <row r="61" spans="1:16" s="27" customFormat="1" ht="23.25" customHeight="1" x14ac:dyDescent="0.25">
      <c r="A61" s="4" t="s">
        <v>93</v>
      </c>
      <c r="B61" s="674" t="s">
        <v>122</v>
      </c>
      <c r="C61" s="675"/>
      <c r="D61" s="675"/>
      <c r="E61" s="676"/>
      <c r="F61" s="46"/>
      <c r="G61" s="21"/>
      <c r="H61" s="30"/>
      <c r="I61" s="31"/>
      <c r="J61" s="32"/>
      <c r="K61" s="33"/>
      <c r="L61" s="33"/>
      <c r="M61" s="33"/>
      <c r="N61" s="33"/>
      <c r="O61" s="31"/>
      <c r="P61" s="665"/>
    </row>
    <row r="62" spans="1:16" s="27" customFormat="1" ht="19.5" customHeight="1" x14ac:dyDescent="0.25">
      <c r="A62" s="4"/>
      <c r="B62" s="668" t="s">
        <v>114</v>
      </c>
      <c r="C62" s="669"/>
      <c r="D62" s="669"/>
      <c r="E62" s="670"/>
      <c r="F62" s="46">
        <v>2236.4601769911501</v>
      </c>
      <c r="G62" s="21" t="s">
        <v>117</v>
      </c>
      <c r="H62" s="30">
        <v>16.95</v>
      </c>
      <c r="I62" s="31">
        <f>H62*F62</f>
        <v>37907.999999999993</v>
      </c>
      <c r="J62" s="32"/>
      <c r="K62" s="33">
        <f t="shared" ref="K62:K63" si="41">L62-J62</f>
        <v>180</v>
      </c>
      <c r="L62" s="33">
        <v>180</v>
      </c>
      <c r="M62" s="33">
        <f t="shared" ref="M62:M64" si="42">+J62*H62</f>
        <v>0</v>
      </c>
      <c r="N62" s="33">
        <f t="shared" ref="N62:N64" si="43">O62-M62</f>
        <v>3051</v>
      </c>
      <c r="O62" s="31">
        <f t="shared" ref="O62:O64" si="44">H62*L62</f>
        <v>3051</v>
      </c>
      <c r="P62" s="665"/>
    </row>
    <row r="63" spans="1:16" s="27" customFormat="1" ht="19.5" customHeight="1" x14ac:dyDescent="0.25">
      <c r="A63" s="4"/>
      <c r="B63" s="668" t="s">
        <v>115</v>
      </c>
      <c r="C63" s="669"/>
      <c r="D63" s="669"/>
      <c r="E63" s="670"/>
      <c r="F63" s="46">
        <v>35.853022222222201</v>
      </c>
      <c r="G63" s="21" t="s">
        <v>5</v>
      </c>
      <c r="H63" s="30">
        <v>225</v>
      </c>
      <c r="I63" s="31">
        <f>H63*F63</f>
        <v>8066.9299999999948</v>
      </c>
      <c r="J63" s="32"/>
      <c r="K63" s="33">
        <f t="shared" si="41"/>
        <v>0</v>
      </c>
      <c r="L63" s="33"/>
      <c r="M63" s="33">
        <f t="shared" si="42"/>
        <v>0</v>
      </c>
      <c r="N63" s="33">
        <f t="shared" si="43"/>
        <v>0</v>
      </c>
      <c r="O63" s="31">
        <f t="shared" si="44"/>
        <v>0</v>
      </c>
      <c r="P63" s="665"/>
    </row>
    <row r="64" spans="1:16" s="27" customFormat="1" ht="27.75" customHeight="1" x14ac:dyDescent="0.25">
      <c r="A64" s="4"/>
      <c r="B64" s="668" t="s">
        <v>116</v>
      </c>
      <c r="C64" s="669"/>
      <c r="D64" s="669"/>
      <c r="E64" s="670"/>
      <c r="F64" s="46">
        <v>48.252000000000002</v>
      </c>
      <c r="G64" s="21" t="s">
        <v>5</v>
      </c>
      <c r="H64" s="30">
        <v>380</v>
      </c>
      <c r="I64" s="31">
        <f>H64*F64</f>
        <v>18335.760000000002</v>
      </c>
      <c r="J64" s="32"/>
      <c r="K64" s="33">
        <f>L64-J64</f>
        <v>0</v>
      </c>
      <c r="L64" s="33"/>
      <c r="M64" s="33">
        <f t="shared" si="42"/>
        <v>0</v>
      </c>
      <c r="N64" s="33">
        <f t="shared" si="43"/>
        <v>0</v>
      </c>
      <c r="O64" s="31">
        <f t="shared" si="44"/>
        <v>0</v>
      </c>
      <c r="P64" s="665"/>
    </row>
    <row r="65" spans="1:16" s="27" customFormat="1" ht="23.25" customHeight="1" x14ac:dyDescent="0.25">
      <c r="A65" s="4" t="s">
        <v>108</v>
      </c>
      <c r="B65" s="674" t="s">
        <v>123</v>
      </c>
      <c r="C65" s="675"/>
      <c r="D65" s="675"/>
      <c r="E65" s="676"/>
      <c r="F65" s="46"/>
      <c r="G65" s="21"/>
      <c r="H65" s="30"/>
      <c r="I65" s="31"/>
      <c r="J65" s="32"/>
      <c r="K65" s="33"/>
      <c r="L65" s="33"/>
      <c r="M65" s="33"/>
      <c r="N65" s="33"/>
      <c r="O65" s="31"/>
      <c r="P65" s="665"/>
    </row>
    <row r="66" spans="1:16" s="27" customFormat="1" ht="19.5" customHeight="1" x14ac:dyDescent="0.25">
      <c r="A66" s="4"/>
      <c r="B66" s="668" t="s">
        <v>114</v>
      </c>
      <c r="C66" s="669"/>
      <c r="D66" s="669"/>
      <c r="E66" s="670"/>
      <c r="F66" s="46">
        <v>2236.4601769911501</v>
      </c>
      <c r="G66" s="21" t="s">
        <v>117</v>
      </c>
      <c r="H66" s="30">
        <v>16.95</v>
      </c>
      <c r="I66" s="31">
        <f>H66*F66</f>
        <v>37907.999999999993</v>
      </c>
      <c r="J66" s="32"/>
      <c r="K66" s="33">
        <f t="shared" ref="K66:K67" si="45">L66-J66</f>
        <v>180</v>
      </c>
      <c r="L66" s="33">
        <v>180</v>
      </c>
      <c r="M66" s="33">
        <f t="shared" ref="M66:M68" si="46">+J66*H66</f>
        <v>0</v>
      </c>
      <c r="N66" s="33">
        <f t="shared" ref="N66:N68" si="47">O66-M66</f>
        <v>3051</v>
      </c>
      <c r="O66" s="31">
        <f t="shared" ref="O66:O68" si="48">H66*L66</f>
        <v>3051</v>
      </c>
      <c r="P66" s="665"/>
    </row>
    <row r="67" spans="1:16" s="27" customFormat="1" ht="19.5" customHeight="1" x14ac:dyDescent="0.25">
      <c r="A67" s="4"/>
      <c r="B67" s="668" t="s">
        <v>115</v>
      </c>
      <c r="C67" s="669"/>
      <c r="D67" s="669"/>
      <c r="E67" s="670"/>
      <c r="F67" s="46">
        <v>35.853022222222201</v>
      </c>
      <c r="G67" s="21" t="s">
        <v>5</v>
      </c>
      <c r="H67" s="30">
        <v>225</v>
      </c>
      <c r="I67" s="31">
        <f>H67*F67</f>
        <v>8066.9299999999948</v>
      </c>
      <c r="J67" s="32"/>
      <c r="K67" s="33">
        <f t="shared" si="45"/>
        <v>0</v>
      </c>
      <c r="L67" s="33"/>
      <c r="M67" s="33">
        <f t="shared" si="46"/>
        <v>0</v>
      </c>
      <c r="N67" s="33">
        <f t="shared" si="47"/>
        <v>0</v>
      </c>
      <c r="O67" s="31">
        <f t="shared" si="48"/>
        <v>0</v>
      </c>
      <c r="P67" s="665"/>
    </row>
    <row r="68" spans="1:16" s="27" customFormat="1" ht="27.75" customHeight="1" x14ac:dyDescent="0.25">
      <c r="A68" s="4"/>
      <c r="B68" s="668" t="s">
        <v>116</v>
      </c>
      <c r="C68" s="669"/>
      <c r="D68" s="669"/>
      <c r="E68" s="670"/>
      <c r="F68" s="46">
        <v>48.252000000000002</v>
      </c>
      <c r="G68" s="21" t="s">
        <v>5</v>
      </c>
      <c r="H68" s="30">
        <v>380</v>
      </c>
      <c r="I68" s="31">
        <f>H68*F68</f>
        <v>18335.760000000002</v>
      </c>
      <c r="J68" s="32"/>
      <c r="K68" s="33">
        <f>L68-J68</f>
        <v>0</v>
      </c>
      <c r="L68" s="33"/>
      <c r="M68" s="33">
        <f t="shared" si="46"/>
        <v>0</v>
      </c>
      <c r="N68" s="33">
        <f t="shared" si="47"/>
        <v>0</v>
      </c>
      <c r="O68" s="31">
        <f t="shared" si="48"/>
        <v>0</v>
      </c>
      <c r="P68" s="665"/>
    </row>
    <row r="69" spans="1:16" s="27" customFormat="1" ht="23.25" customHeight="1" x14ac:dyDescent="0.25">
      <c r="A69" s="4" t="s">
        <v>124</v>
      </c>
      <c r="B69" s="674" t="s">
        <v>125</v>
      </c>
      <c r="C69" s="675"/>
      <c r="D69" s="675"/>
      <c r="E69" s="676"/>
      <c r="F69" s="46"/>
      <c r="G69" s="21"/>
      <c r="H69" s="30"/>
      <c r="I69" s="31"/>
      <c r="J69" s="32"/>
      <c r="K69" s="33"/>
      <c r="L69" s="33"/>
      <c r="M69" s="33"/>
      <c r="N69" s="33"/>
      <c r="O69" s="31"/>
      <c r="P69" s="665"/>
    </row>
    <row r="70" spans="1:16" s="27" customFormat="1" ht="19.5" customHeight="1" x14ac:dyDescent="0.25">
      <c r="A70" s="4"/>
      <c r="B70" s="668" t="s">
        <v>114</v>
      </c>
      <c r="C70" s="669"/>
      <c r="D70" s="669"/>
      <c r="E70" s="670"/>
      <c r="F70" s="46">
        <v>2236.4601769911501</v>
      </c>
      <c r="G70" s="21" t="s">
        <v>117</v>
      </c>
      <c r="H70" s="30">
        <v>16.95</v>
      </c>
      <c r="I70" s="31">
        <f>H70*F70</f>
        <v>37907.999999999993</v>
      </c>
      <c r="J70" s="32"/>
      <c r="K70" s="33">
        <f t="shared" ref="K70:K71" si="49">L70-J70</f>
        <v>180</v>
      </c>
      <c r="L70" s="33">
        <v>180</v>
      </c>
      <c r="M70" s="33">
        <f t="shared" ref="M70:M72" si="50">+J70*H70</f>
        <v>0</v>
      </c>
      <c r="N70" s="33">
        <f t="shared" ref="N70:N72" si="51">O70-M70</f>
        <v>3051</v>
      </c>
      <c r="O70" s="31">
        <f t="shared" ref="O70:O72" si="52">H70*L70</f>
        <v>3051</v>
      </c>
      <c r="P70" s="665"/>
    </row>
    <row r="71" spans="1:16" s="27" customFormat="1" ht="19.5" customHeight="1" x14ac:dyDescent="0.25">
      <c r="A71" s="4"/>
      <c r="B71" s="668" t="s">
        <v>115</v>
      </c>
      <c r="C71" s="669"/>
      <c r="D71" s="669"/>
      <c r="E71" s="670"/>
      <c r="F71" s="46">
        <v>35.853022222222201</v>
      </c>
      <c r="G71" s="21" t="s">
        <v>5</v>
      </c>
      <c r="H71" s="30">
        <v>225</v>
      </c>
      <c r="I71" s="31">
        <f>H71*F71</f>
        <v>8066.9299999999948</v>
      </c>
      <c r="J71" s="32"/>
      <c r="K71" s="33">
        <f t="shared" si="49"/>
        <v>0</v>
      </c>
      <c r="L71" s="33"/>
      <c r="M71" s="33">
        <f t="shared" si="50"/>
        <v>0</v>
      </c>
      <c r="N71" s="33">
        <f t="shared" si="51"/>
        <v>0</v>
      </c>
      <c r="O71" s="31">
        <f t="shared" si="52"/>
        <v>0</v>
      </c>
      <c r="P71" s="665"/>
    </row>
    <row r="72" spans="1:16" s="27" customFormat="1" ht="27.75" customHeight="1" x14ac:dyDescent="0.25">
      <c r="A72" s="4"/>
      <c r="B72" s="668" t="s">
        <v>116</v>
      </c>
      <c r="C72" s="669"/>
      <c r="D72" s="669"/>
      <c r="E72" s="670"/>
      <c r="F72" s="46">
        <v>48.252000000000002</v>
      </c>
      <c r="G72" s="21" t="s">
        <v>5</v>
      </c>
      <c r="H72" s="30">
        <v>380</v>
      </c>
      <c r="I72" s="31">
        <f>H72*F72</f>
        <v>18335.760000000002</v>
      </c>
      <c r="J72" s="32"/>
      <c r="K72" s="33">
        <f>L72-J72</f>
        <v>0</v>
      </c>
      <c r="L72" s="33"/>
      <c r="M72" s="33">
        <f t="shared" si="50"/>
        <v>0</v>
      </c>
      <c r="N72" s="33">
        <f t="shared" si="51"/>
        <v>0</v>
      </c>
      <c r="O72" s="31">
        <f t="shared" si="52"/>
        <v>0</v>
      </c>
      <c r="P72" s="665"/>
    </row>
    <row r="73" spans="1:16" s="27" customFormat="1" ht="23.25" customHeight="1" x14ac:dyDescent="0.25">
      <c r="A73" s="4" t="s">
        <v>126</v>
      </c>
      <c r="B73" s="674" t="s">
        <v>127</v>
      </c>
      <c r="C73" s="675"/>
      <c r="D73" s="675"/>
      <c r="E73" s="676"/>
      <c r="F73" s="46"/>
      <c r="G73" s="21"/>
      <c r="H73" s="30"/>
      <c r="I73" s="31"/>
      <c r="J73" s="32"/>
      <c r="K73" s="33"/>
      <c r="L73" s="33"/>
      <c r="M73" s="33"/>
      <c r="N73" s="33"/>
      <c r="O73" s="31"/>
      <c r="P73" s="665"/>
    </row>
    <row r="74" spans="1:16" s="27" customFormat="1" ht="19.5" customHeight="1" x14ac:dyDescent="0.25">
      <c r="A74" s="4"/>
      <c r="B74" s="668" t="s">
        <v>114</v>
      </c>
      <c r="C74" s="669"/>
      <c r="D74" s="669"/>
      <c r="E74" s="670"/>
      <c r="F74" s="46">
        <v>2236.4601769911501</v>
      </c>
      <c r="G74" s="21" t="s">
        <v>117</v>
      </c>
      <c r="H74" s="30">
        <v>16.95</v>
      </c>
      <c r="I74" s="31">
        <f>H74*F74</f>
        <v>37907.999999999993</v>
      </c>
      <c r="J74" s="32"/>
      <c r="K74" s="33">
        <f t="shared" ref="K74:K75" si="53">L74-J74</f>
        <v>180</v>
      </c>
      <c r="L74" s="33">
        <v>180</v>
      </c>
      <c r="M74" s="33">
        <f t="shared" ref="M74:M76" si="54">+J74*H74</f>
        <v>0</v>
      </c>
      <c r="N74" s="33">
        <f t="shared" ref="N74:N76" si="55">O74-M74</f>
        <v>3051</v>
      </c>
      <c r="O74" s="31">
        <f t="shared" ref="O74:O76" si="56">H74*L74</f>
        <v>3051</v>
      </c>
      <c r="P74" s="665"/>
    </row>
    <row r="75" spans="1:16" s="27" customFormat="1" ht="19.5" customHeight="1" x14ac:dyDescent="0.25">
      <c r="A75" s="4"/>
      <c r="B75" s="668" t="s">
        <v>115</v>
      </c>
      <c r="C75" s="669"/>
      <c r="D75" s="669"/>
      <c r="E75" s="670"/>
      <c r="F75" s="46">
        <v>35.853022222222201</v>
      </c>
      <c r="G75" s="21" t="s">
        <v>5</v>
      </c>
      <c r="H75" s="30">
        <v>225</v>
      </c>
      <c r="I75" s="31">
        <f>H75*F75</f>
        <v>8066.9299999999948</v>
      </c>
      <c r="J75" s="32"/>
      <c r="K75" s="33">
        <f t="shared" si="53"/>
        <v>0</v>
      </c>
      <c r="L75" s="33"/>
      <c r="M75" s="33">
        <f t="shared" si="54"/>
        <v>0</v>
      </c>
      <c r="N75" s="33">
        <f t="shared" si="55"/>
        <v>0</v>
      </c>
      <c r="O75" s="31">
        <f t="shared" si="56"/>
        <v>0</v>
      </c>
      <c r="P75" s="665"/>
    </row>
    <row r="76" spans="1:16" s="27" customFormat="1" ht="27.75" customHeight="1" x14ac:dyDescent="0.25">
      <c r="A76" s="4"/>
      <c r="B76" s="668" t="s">
        <v>116</v>
      </c>
      <c r="C76" s="669"/>
      <c r="D76" s="669"/>
      <c r="E76" s="670"/>
      <c r="F76" s="46">
        <v>48.252000000000002</v>
      </c>
      <c r="G76" s="21" t="s">
        <v>5</v>
      </c>
      <c r="H76" s="30">
        <v>380</v>
      </c>
      <c r="I76" s="31">
        <f>H76*F76</f>
        <v>18335.760000000002</v>
      </c>
      <c r="J76" s="32"/>
      <c r="K76" s="33">
        <f>L76-J76</f>
        <v>0</v>
      </c>
      <c r="L76" s="33"/>
      <c r="M76" s="33">
        <f t="shared" si="54"/>
        <v>0</v>
      </c>
      <c r="N76" s="33">
        <f t="shared" si="55"/>
        <v>0</v>
      </c>
      <c r="O76" s="31">
        <f t="shared" si="56"/>
        <v>0</v>
      </c>
      <c r="P76" s="665"/>
    </row>
    <row r="77" spans="1:16" s="68" customFormat="1" ht="12.75" customHeight="1" x14ac:dyDescent="0.25">
      <c r="A77" s="57"/>
      <c r="B77" s="79"/>
      <c r="C77" s="80"/>
      <c r="D77" s="80"/>
      <c r="E77" s="81"/>
      <c r="F77" s="82"/>
      <c r="G77" s="83"/>
      <c r="H77" s="84"/>
      <c r="I77" s="85"/>
      <c r="J77" s="86"/>
      <c r="K77" s="87"/>
      <c r="L77" s="87"/>
      <c r="M77" s="87"/>
      <c r="N77" s="87"/>
      <c r="O77" s="85"/>
      <c r="P77" s="665"/>
    </row>
    <row r="78" spans="1:16" ht="71.25" customHeight="1" x14ac:dyDescent="0.25">
      <c r="A78" s="4">
        <v>4</v>
      </c>
      <c r="B78" s="658" t="s">
        <v>129</v>
      </c>
      <c r="C78" s="659"/>
      <c r="D78" s="659"/>
      <c r="E78" s="660"/>
      <c r="F78" s="28"/>
      <c r="G78" s="12"/>
      <c r="H78" s="30"/>
      <c r="I78" s="31"/>
      <c r="J78" s="32"/>
      <c r="K78" s="33"/>
      <c r="L78" s="33"/>
      <c r="M78" s="33"/>
      <c r="N78" s="33"/>
      <c r="O78" s="31"/>
      <c r="P78" s="664">
        <f>SUM(I79)</f>
        <v>4600</v>
      </c>
    </row>
    <row r="79" spans="1:16" s="27" customFormat="1" ht="53.25" customHeight="1" x14ac:dyDescent="0.25">
      <c r="A79" s="51" t="s">
        <v>3</v>
      </c>
      <c r="B79" s="689" t="s">
        <v>130</v>
      </c>
      <c r="C79" s="689"/>
      <c r="D79" s="689"/>
      <c r="E79" s="689"/>
      <c r="F79" s="52">
        <v>5</v>
      </c>
      <c r="G79" s="52" t="s">
        <v>20</v>
      </c>
      <c r="H79" s="53">
        <v>920</v>
      </c>
      <c r="I79" s="54">
        <f>H79*F79</f>
        <v>4600</v>
      </c>
      <c r="J79" s="55"/>
      <c r="K79" s="56">
        <f t="shared" ref="K79" si="57">L79-J79</f>
        <v>0</v>
      </c>
      <c r="L79" s="56"/>
      <c r="M79" s="56">
        <f t="shared" ref="M79" si="58">+J79*H79</f>
        <v>0</v>
      </c>
      <c r="N79" s="56">
        <f t="shared" ref="N79" si="59">O79-M79</f>
        <v>0</v>
      </c>
      <c r="O79" s="54">
        <f t="shared" ref="O79" si="60">H79*L79</f>
        <v>0</v>
      </c>
      <c r="P79" s="665"/>
    </row>
    <row r="80" spans="1:16" ht="52.5" customHeight="1" x14ac:dyDescent="0.25">
      <c r="A80" s="4">
        <v>5</v>
      </c>
      <c r="B80" s="658" t="s">
        <v>131</v>
      </c>
      <c r="C80" s="659"/>
      <c r="D80" s="659"/>
      <c r="E80" s="660"/>
      <c r="F80" s="28"/>
      <c r="G80" s="12"/>
      <c r="H80" s="30"/>
      <c r="I80" s="31"/>
      <c r="J80" s="32"/>
      <c r="K80" s="33"/>
      <c r="L80" s="33"/>
      <c r="M80" s="33"/>
      <c r="N80" s="33"/>
      <c r="O80" s="31"/>
      <c r="P80" s="690">
        <f>SUM(I81:I82)</f>
        <v>89500</v>
      </c>
    </row>
    <row r="81" spans="1:16" ht="45" customHeight="1" x14ac:dyDescent="0.25">
      <c r="A81" s="4" t="s">
        <v>3</v>
      </c>
      <c r="B81" s="674" t="s">
        <v>132</v>
      </c>
      <c r="C81" s="659"/>
      <c r="D81" s="659"/>
      <c r="E81" s="660"/>
      <c r="F81" s="28">
        <v>1</v>
      </c>
      <c r="G81" s="12" t="s">
        <v>2</v>
      </c>
      <c r="H81" s="30">
        <v>77500</v>
      </c>
      <c r="I81" s="31">
        <f>H81*F81</f>
        <v>77500</v>
      </c>
      <c r="J81" s="32"/>
      <c r="K81" s="33">
        <f t="shared" ref="K81:K82" si="61">L81-J81</f>
        <v>0</v>
      </c>
      <c r="L81" s="33"/>
      <c r="M81" s="33">
        <f t="shared" ref="M81:M82" si="62">+J81*H81</f>
        <v>0</v>
      </c>
      <c r="N81" s="33">
        <f t="shared" ref="N81:N82" si="63">O81-M81</f>
        <v>0</v>
      </c>
      <c r="O81" s="31">
        <f t="shared" ref="O81:O82" si="64">H81*L81</f>
        <v>0</v>
      </c>
      <c r="P81" s="690"/>
    </row>
    <row r="82" spans="1:16" s="26" customFormat="1" ht="28.5" customHeight="1" thickBot="1" x14ac:dyDescent="0.3">
      <c r="A82" s="88" t="s">
        <v>15</v>
      </c>
      <c r="B82" s="691" t="s">
        <v>133</v>
      </c>
      <c r="C82" s="692"/>
      <c r="D82" s="692"/>
      <c r="E82" s="693"/>
      <c r="F82" s="73">
        <v>1</v>
      </c>
      <c r="G82" s="74" t="s">
        <v>134</v>
      </c>
      <c r="H82" s="75">
        <v>12000</v>
      </c>
      <c r="I82" s="76">
        <f>H82*F82</f>
        <v>12000</v>
      </c>
      <c r="J82" s="77"/>
      <c r="K82" s="78">
        <f t="shared" si="61"/>
        <v>0</v>
      </c>
      <c r="L82" s="78"/>
      <c r="M82" s="78">
        <f t="shared" si="62"/>
        <v>0</v>
      </c>
      <c r="N82" s="78">
        <f t="shared" si="63"/>
        <v>0</v>
      </c>
      <c r="O82" s="76">
        <f t="shared" si="64"/>
        <v>0</v>
      </c>
      <c r="P82" s="690"/>
    </row>
    <row r="83" spans="1:16" ht="61.5" customHeight="1" thickTop="1" x14ac:dyDescent="0.25">
      <c r="A83" s="4">
        <v>6</v>
      </c>
      <c r="B83" s="658" t="s">
        <v>135</v>
      </c>
      <c r="C83" s="659"/>
      <c r="D83" s="659"/>
      <c r="E83" s="660"/>
      <c r="F83" s="28"/>
      <c r="G83" s="12"/>
      <c r="H83" s="30"/>
      <c r="I83" s="31"/>
      <c r="J83" s="32"/>
      <c r="K83" s="33"/>
      <c r="L83" s="33"/>
      <c r="M83" s="33"/>
      <c r="N83" s="33"/>
      <c r="O83" s="31"/>
      <c r="P83" s="664">
        <f>SUM(I84)</f>
        <v>9900</v>
      </c>
    </row>
    <row r="84" spans="1:16" ht="73.5" customHeight="1" x14ac:dyDescent="0.25">
      <c r="A84" s="57" t="s">
        <v>3</v>
      </c>
      <c r="B84" s="671" t="s">
        <v>136</v>
      </c>
      <c r="C84" s="694"/>
      <c r="D84" s="694"/>
      <c r="E84" s="695"/>
      <c r="F84" s="58">
        <v>1</v>
      </c>
      <c r="G84" s="52" t="s">
        <v>2</v>
      </c>
      <c r="H84" s="53">
        <v>9900</v>
      </c>
      <c r="I84" s="54">
        <f>H84*F84</f>
        <v>9900</v>
      </c>
      <c r="J84" s="55">
        <v>1</v>
      </c>
      <c r="K84" s="56">
        <f t="shared" ref="K84" si="65">L84-J84</f>
        <v>0</v>
      </c>
      <c r="L84" s="56">
        <v>1</v>
      </c>
      <c r="M84" s="56">
        <f t="shared" ref="M84" si="66">+J84*H84</f>
        <v>9900</v>
      </c>
      <c r="N84" s="56">
        <f t="shared" ref="N84" si="67">O84-M84</f>
        <v>0</v>
      </c>
      <c r="O84" s="54">
        <f t="shared" ref="O84" si="68">H84*L84</f>
        <v>9900</v>
      </c>
      <c r="P84" s="665"/>
    </row>
    <row r="85" spans="1:16" ht="66.75" customHeight="1" x14ac:dyDescent="0.25">
      <c r="A85" s="4">
        <v>7</v>
      </c>
      <c r="B85" s="658" t="s">
        <v>137</v>
      </c>
      <c r="C85" s="659"/>
      <c r="D85" s="659"/>
      <c r="E85" s="660"/>
      <c r="F85" s="28"/>
      <c r="G85" s="12"/>
      <c r="H85" s="30"/>
      <c r="I85" s="31"/>
      <c r="J85" s="32"/>
      <c r="K85" s="33"/>
      <c r="L85" s="33"/>
      <c r="M85" s="33"/>
      <c r="N85" s="33"/>
      <c r="O85" s="31"/>
      <c r="P85" s="664">
        <f>SUM(I86)</f>
        <v>8250</v>
      </c>
    </row>
    <row r="86" spans="1:16" ht="68.25" customHeight="1" x14ac:dyDescent="0.25">
      <c r="A86" s="57" t="s">
        <v>3</v>
      </c>
      <c r="B86" s="671" t="s">
        <v>138</v>
      </c>
      <c r="C86" s="672"/>
      <c r="D86" s="672"/>
      <c r="E86" s="673"/>
      <c r="F86" s="58">
        <v>1</v>
      </c>
      <c r="G86" s="52" t="s">
        <v>2</v>
      </c>
      <c r="H86" s="53">
        <v>8250</v>
      </c>
      <c r="I86" s="54">
        <f>H86*F86</f>
        <v>8250</v>
      </c>
      <c r="J86" s="55"/>
      <c r="K86" s="56">
        <f t="shared" ref="K86" si="69">L86-J86</f>
        <v>0</v>
      </c>
      <c r="L86" s="56"/>
      <c r="M86" s="56">
        <f t="shared" ref="M86" si="70">+J86*H86</f>
        <v>0</v>
      </c>
      <c r="N86" s="56">
        <f t="shared" ref="N86" si="71">O86-M86</f>
        <v>0</v>
      </c>
      <c r="O86" s="54">
        <f t="shared" ref="O86" si="72">H86*L86</f>
        <v>0</v>
      </c>
      <c r="P86" s="665"/>
    </row>
    <row r="87" spans="1:16" ht="66.75" customHeight="1" x14ac:dyDescent="0.25">
      <c r="A87" s="4">
        <v>8</v>
      </c>
      <c r="B87" s="658" t="s">
        <v>150</v>
      </c>
      <c r="C87" s="659"/>
      <c r="D87" s="659"/>
      <c r="E87" s="660"/>
      <c r="F87" s="28"/>
      <c r="G87" s="12"/>
      <c r="H87" s="30"/>
      <c r="I87" s="31"/>
      <c r="J87" s="32"/>
      <c r="K87" s="33"/>
      <c r="L87" s="33"/>
      <c r="M87" s="33"/>
      <c r="N87" s="33"/>
      <c r="O87" s="31"/>
      <c r="P87" s="664">
        <f>SUM(I89:I91)</f>
        <v>35750</v>
      </c>
    </row>
    <row r="88" spans="1:16" ht="126" customHeight="1" x14ac:dyDescent="0.25">
      <c r="A88" s="4"/>
      <c r="B88" s="658" t="s">
        <v>141</v>
      </c>
      <c r="C88" s="659"/>
      <c r="D88" s="659"/>
      <c r="E88" s="660"/>
      <c r="F88" s="28"/>
      <c r="G88" s="12"/>
      <c r="H88" s="30"/>
      <c r="I88" s="31"/>
      <c r="J88" s="32"/>
      <c r="K88" s="33"/>
      <c r="L88" s="33"/>
      <c r="M88" s="33"/>
      <c r="N88" s="33"/>
      <c r="O88" s="31"/>
      <c r="P88" s="665"/>
    </row>
    <row r="89" spans="1:16" x14ac:dyDescent="0.25">
      <c r="A89" s="4"/>
      <c r="B89" s="668" t="s">
        <v>142</v>
      </c>
      <c r="C89" s="669"/>
      <c r="D89" s="669"/>
      <c r="E89" s="670"/>
      <c r="F89" s="28">
        <v>1</v>
      </c>
      <c r="G89" s="12" t="s">
        <v>134</v>
      </c>
      <c r="H89" s="30">
        <v>16500</v>
      </c>
      <c r="I89" s="31">
        <f>H89*F89</f>
        <v>16500</v>
      </c>
      <c r="J89" s="32">
        <v>1</v>
      </c>
      <c r="K89" s="33">
        <f t="shared" ref="K89:K91" si="73">L89-J89</f>
        <v>0</v>
      </c>
      <c r="L89" s="33">
        <v>1</v>
      </c>
      <c r="M89" s="33">
        <f t="shared" ref="M89:M91" si="74">+J89*H89</f>
        <v>16500</v>
      </c>
      <c r="N89" s="33">
        <f t="shared" ref="N89:N91" si="75">O89-M89</f>
        <v>0</v>
      </c>
      <c r="O89" s="31">
        <f t="shared" ref="O89:O91" si="76">H89*L89</f>
        <v>16500</v>
      </c>
      <c r="P89" s="665"/>
    </row>
    <row r="90" spans="1:16" x14ac:dyDescent="0.25">
      <c r="A90" s="4"/>
      <c r="B90" s="668" t="s">
        <v>143</v>
      </c>
      <c r="C90" s="669"/>
      <c r="D90" s="669"/>
      <c r="E90" s="670"/>
      <c r="F90" s="28">
        <v>1</v>
      </c>
      <c r="G90" s="12" t="s">
        <v>134</v>
      </c>
      <c r="H90" s="30">
        <v>14500</v>
      </c>
      <c r="I90" s="31">
        <f>H90*F90</f>
        <v>14500</v>
      </c>
      <c r="J90" s="32">
        <v>1</v>
      </c>
      <c r="K90" s="33">
        <f t="shared" si="73"/>
        <v>0</v>
      </c>
      <c r="L90" s="33">
        <v>1</v>
      </c>
      <c r="M90" s="33">
        <f t="shared" si="74"/>
        <v>14500</v>
      </c>
      <c r="N90" s="33">
        <f t="shared" si="75"/>
        <v>0</v>
      </c>
      <c r="O90" s="31">
        <f t="shared" si="76"/>
        <v>14500</v>
      </c>
      <c r="P90" s="665"/>
    </row>
    <row r="91" spans="1:16" x14ac:dyDescent="0.25">
      <c r="A91" s="4"/>
      <c r="B91" s="668" t="s">
        <v>144</v>
      </c>
      <c r="C91" s="669"/>
      <c r="D91" s="669"/>
      <c r="E91" s="670"/>
      <c r="F91" s="28">
        <v>1</v>
      </c>
      <c r="G91" s="12" t="s">
        <v>134</v>
      </c>
      <c r="H91" s="30">
        <v>4750</v>
      </c>
      <c r="I91" s="31">
        <f>H91*F91</f>
        <v>4750</v>
      </c>
      <c r="J91" s="32">
        <v>1</v>
      </c>
      <c r="K91" s="33">
        <f t="shared" si="73"/>
        <v>0</v>
      </c>
      <c r="L91" s="33">
        <v>1</v>
      </c>
      <c r="M91" s="33">
        <f t="shared" si="74"/>
        <v>4750</v>
      </c>
      <c r="N91" s="33">
        <f t="shared" si="75"/>
        <v>0</v>
      </c>
      <c r="O91" s="31">
        <f t="shared" si="76"/>
        <v>4750</v>
      </c>
      <c r="P91" s="665"/>
    </row>
    <row r="92" spans="1:16" x14ac:dyDescent="0.25">
      <c r="A92" s="57"/>
      <c r="B92" s="89"/>
      <c r="C92" s="90"/>
      <c r="D92" s="90"/>
      <c r="E92" s="91"/>
      <c r="F92" s="58"/>
      <c r="G92" s="52"/>
      <c r="H92" s="53"/>
      <c r="I92" s="54"/>
      <c r="J92" s="55"/>
      <c r="K92" s="56"/>
      <c r="L92" s="56"/>
      <c r="M92" s="56"/>
      <c r="N92" s="56"/>
      <c r="O92" s="54"/>
      <c r="P92" s="665"/>
    </row>
    <row r="93" spans="1:16" s="26" customFormat="1" ht="66.75" customHeight="1" x14ac:dyDescent="0.25">
      <c r="A93" s="3">
        <v>9</v>
      </c>
      <c r="B93" s="696" t="s">
        <v>149</v>
      </c>
      <c r="C93" s="697"/>
      <c r="D93" s="697"/>
      <c r="E93" s="698"/>
      <c r="F93" s="28"/>
      <c r="G93" s="12"/>
      <c r="H93" s="30"/>
      <c r="I93" s="31"/>
      <c r="J93" s="32"/>
      <c r="K93" s="33"/>
      <c r="L93" s="33"/>
      <c r="M93" s="33"/>
      <c r="N93" s="33"/>
      <c r="O93" s="31"/>
      <c r="P93" s="664">
        <f>SUM(I94:I97)</f>
        <v>318490.5</v>
      </c>
    </row>
    <row r="94" spans="1:16" ht="18.75" customHeight="1" x14ac:dyDescent="0.25">
      <c r="A94" s="4" t="s">
        <v>3</v>
      </c>
      <c r="B94" s="668" t="s">
        <v>114</v>
      </c>
      <c r="C94" s="669"/>
      <c r="D94" s="669"/>
      <c r="E94" s="670"/>
      <c r="F94" s="59">
        <v>15022</v>
      </c>
      <c r="G94" s="28" t="s">
        <v>117</v>
      </c>
      <c r="H94" s="30">
        <v>17.75</v>
      </c>
      <c r="I94" s="31">
        <f>H94*F94</f>
        <v>266640.5</v>
      </c>
      <c r="J94" s="32"/>
      <c r="K94" s="33">
        <f t="shared" ref="K94:K97" si="77">L94-J94</f>
        <v>0</v>
      </c>
      <c r="L94" s="33"/>
      <c r="M94" s="33">
        <f t="shared" ref="M94:M97" si="78">+J94*H94</f>
        <v>0</v>
      </c>
      <c r="N94" s="33">
        <f t="shared" ref="N94:N97" si="79">O94-M94</f>
        <v>0</v>
      </c>
      <c r="O94" s="31">
        <f t="shared" ref="O94:O97" si="80">H94*L94</f>
        <v>0</v>
      </c>
      <c r="P94" s="665"/>
    </row>
    <row r="95" spans="1:16" ht="18.75" customHeight="1" x14ac:dyDescent="0.25">
      <c r="A95" s="4" t="s">
        <v>15</v>
      </c>
      <c r="B95" s="668" t="s">
        <v>115</v>
      </c>
      <c r="C95" s="669"/>
      <c r="D95" s="669"/>
      <c r="E95" s="670"/>
      <c r="F95" s="28">
        <v>30</v>
      </c>
      <c r="G95" s="28" t="s">
        <v>5</v>
      </c>
      <c r="H95" s="30">
        <v>245</v>
      </c>
      <c r="I95" s="31">
        <f>H95*F95</f>
        <v>7350</v>
      </c>
      <c r="J95" s="32"/>
      <c r="K95" s="33">
        <f t="shared" si="77"/>
        <v>0</v>
      </c>
      <c r="L95" s="33"/>
      <c r="M95" s="33">
        <f t="shared" si="78"/>
        <v>0</v>
      </c>
      <c r="N95" s="33">
        <f t="shared" si="79"/>
        <v>0</v>
      </c>
      <c r="O95" s="31">
        <f t="shared" si="80"/>
        <v>0</v>
      </c>
      <c r="P95" s="665"/>
    </row>
    <row r="96" spans="1:16" ht="27.75" customHeight="1" x14ac:dyDescent="0.25">
      <c r="A96" s="4" t="s">
        <v>18</v>
      </c>
      <c r="B96" s="668" t="s">
        <v>116</v>
      </c>
      <c r="C96" s="669"/>
      <c r="D96" s="669"/>
      <c r="E96" s="670"/>
      <c r="F96" s="28">
        <v>75</v>
      </c>
      <c r="G96" s="28" t="s">
        <v>5</v>
      </c>
      <c r="H96" s="30">
        <v>380</v>
      </c>
      <c r="I96" s="31">
        <f>H96*F96</f>
        <v>28500</v>
      </c>
      <c r="J96" s="32"/>
      <c r="K96" s="33">
        <f t="shared" si="77"/>
        <v>0</v>
      </c>
      <c r="L96" s="33"/>
      <c r="M96" s="33">
        <f t="shared" si="78"/>
        <v>0</v>
      </c>
      <c r="N96" s="33">
        <f t="shared" si="79"/>
        <v>0</v>
      </c>
      <c r="O96" s="31">
        <f t="shared" si="80"/>
        <v>0</v>
      </c>
      <c r="P96" s="665"/>
    </row>
    <row r="97" spans="1:16" ht="123" customHeight="1" x14ac:dyDescent="0.25">
      <c r="A97" s="57" t="s">
        <v>47</v>
      </c>
      <c r="B97" s="699" t="s">
        <v>145</v>
      </c>
      <c r="C97" s="700"/>
      <c r="D97" s="700"/>
      <c r="E97" s="701"/>
      <c r="F97" s="58">
        <v>1</v>
      </c>
      <c r="G97" s="52" t="s">
        <v>134</v>
      </c>
      <c r="H97" s="53">
        <v>16000</v>
      </c>
      <c r="I97" s="54">
        <f>H97*F97</f>
        <v>16000</v>
      </c>
      <c r="J97" s="55">
        <v>1</v>
      </c>
      <c r="K97" s="56">
        <f t="shared" si="77"/>
        <v>0</v>
      </c>
      <c r="L97" s="56">
        <v>1</v>
      </c>
      <c r="M97" s="56">
        <f t="shared" si="78"/>
        <v>16000</v>
      </c>
      <c r="N97" s="56">
        <f t="shared" si="79"/>
        <v>0</v>
      </c>
      <c r="O97" s="54">
        <f t="shared" si="80"/>
        <v>16000</v>
      </c>
      <c r="P97" s="665"/>
    </row>
    <row r="98" spans="1:16" s="26" customFormat="1" ht="78.75" customHeight="1" x14ac:dyDescent="0.25">
      <c r="A98" s="3">
        <v>10</v>
      </c>
      <c r="B98" s="696" t="s">
        <v>151</v>
      </c>
      <c r="C98" s="697"/>
      <c r="D98" s="697"/>
      <c r="E98" s="698"/>
      <c r="F98" s="28"/>
      <c r="G98" s="12"/>
      <c r="H98" s="30"/>
      <c r="I98" s="31"/>
      <c r="J98" s="32"/>
      <c r="K98" s="33"/>
      <c r="L98" s="33"/>
      <c r="M98" s="33"/>
      <c r="N98" s="33"/>
      <c r="O98" s="31"/>
      <c r="P98" s="664">
        <f>SUM(I99:I100)</f>
        <v>107099.5</v>
      </c>
    </row>
    <row r="99" spans="1:16" ht="120.75" customHeight="1" x14ac:dyDescent="0.25">
      <c r="A99" s="4" t="s">
        <v>3</v>
      </c>
      <c r="B99" s="668" t="s">
        <v>146</v>
      </c>
      <c r="C99" s="669"/>
      <c r="D99" s="669"/>
      <c r="E99" s="670"/>
      <c r="F99" s="28">
        <v>1</v>
      </c>
      <c r="G99" s="12" t="s">
        <v>2</v>
      </c>
      <c r="H99" s="30">
        <v>107099.5</v>
      </c>
      <c r="I99" s="31">
        <f>H99*F99</f>
        <v>107099.5</v>
      </c>
      <c r="J99" s="32">
        <v>1</v>
      </c>
      <c r="K99" s="33">
        <f t="shared" ref="K99" si="81">L99-J99</f>
        <v>0</v>
      </c>
      <c r="L99" s="33">
        <v>1</v>
      </c>
      <c r="M99" s="33">
        <f t="shared" ref="M99" si="82">+J99*H99</f>
        <v>107099.5</v>
      </c>
      <c r="N99" s="33">
        <f t="shared" ref="N99" si="83">O99-M99</f>
        <v>0</v>
      </c>
      <c r="O99" s="31">
        <f t="shared" ref="O99" si="84">H99*L99</f>
        <v>107099.5</v>
      </c>
      <c r="P99" s="665"/>
    </row>
    <row r="100" spans="1:16" ht="35.25" customHeight="1" x14ac:dyDescent="0.25">
      <c r="A100" s="57" t="s">
        <v>15</v>
      </c>
      <c r="B100" s="671" t="s">
        <v>147</v>
      </c>
      <c r="C100" s="672"/>
      <c r="D100" s="672"/>
      <c r="E100" s="673"/>
      <c r="F100" s="58"/>
      <c r="G100" s="52"/>
      <c r="H100" s="53"/>
      <c r="I100" s="54"/>
      <c r="J100" s="55"/>
      <c r="K100" s="56"/>
      <c r="L100" s="56"/>
      <c r="M100" s="56"/>
      <c r="N100" s="56"/>
      <c r="O100" s="54"/>
      <c r="P100" s="665"/>
    </row>
    <row r="101" spans="1:16" s="26" customFormat="1" ht="78.75" customHeight="1" x14ac:dyDescent="0.25">
      <c r="A101" s="3">
        <v>11</v>
      </c>
      <c r="B101" s="696" t="s">
        <v>152</v>
      </c>
      <c r="C101" s="697"/>
      <c r="D101" s="697"/>
      <c r="E101" s="698"/>
      <c r="F101" s="28"/>
      <c r="G101" s="12"/>
      <c r="H101" s="30"/>
      <c r="I101" s="31"/>
      <c r="J101" s="32"/>
      <c r="K101" s="33"/>
      <c r="L101" s="33"/>
      <c r="M101" s="33"/>
      <c r="N101" s="33"/>
      <c r="O101" s="31"/>
      <c r="P101" s="664">
        <f>SUM(I102)</f>
        <v>4500</v>
      </c>
    </row>
    <row r="102" spans="1:16" ht="76.5" customHeight="1" thickBot="1" x14ac:dyDescent="0.3">
      <c r="A102" s="11"/>
      <c r="B102" s="683" t="s">
        <v>148</v>
      </c>
      <c r="C102" s="684"/>
      <c r="D102" s="684"/>
      <c r="E102" s="685"/>
      <c r="F102" s="73">
        <v>2</v>
      </c>
      <c r="G102" s="74" t="s">
        <v>1</v>
      </c>
      <c r="H102" s="75">
        <v>2250</v>
      </c>
      <c r="I102" s="76">
        <f>H102*F102</f>
        <v>4500</v>
      </c>
      <c r="J102" s="77"/>
      <c r="K102" s="78">
        <f t="shared" ref="K102" si="85">L102-J102</f>
        <v>0</v>
      </c>
      <c r="L102" s="78"/>
      <c r="M102" s="78">
        <f t="shared" ref="M102" si="86">+J102*H102</f>
        <v>0</v>
      </c>
      <c r="N102" s="78">
        <f t="shared" ref="N102" si="87">O102-M102</f>
        <v>0</v>
      </c>
      <c r="O102" s="76">
        <f t="shared" ref="O102" si="88">H102*L102</f>
        <v>0</v>
      </c>
      <c r="P102" s="665"/>
    </row>
    <row r="103" spans="1:16" s="26" customFormat="1" ht="138" customHeight="1" thickTop="1" x14ac:dyDescent="0.25">
      <c r="A103" s="3">
        <v>12</v>
      </c>
      <c r="B103" s="696" t="s">
        <v>154</v>
      </c>
      <c r="C103" s="697"/>
      <c r="D103" s="697"/>
      <c r="E103" s="698"/>
      <c r="F103" s="28"/>
      <c r="G103" s="12"/>
      <c r="H103" s="30"/>
      <c r="I103" s="31"/>
      <c r="J103" s="32"/>
      <c r="K103" s="33"/>
      <c r="L103" s="33"/>
      <c r="M103" s="33"/>
      <c r="N103" s="33"/>
      <c r="O103" s="31"/>
      <c r="P103" s="664">
        <f>SUM(I104)</f>
        <v>45000</v>
      </c>
    </row>
    <row r="104" spans="1:16" s="27" customFormat="1" ht="205.5" customHeight="1" x14ac:dyDescent="0.25">
      <c r="A104" s="57" t="s">
        <v>3</v>
      </c>
      <c r="B104" s="671" t="s">
        <v>153</v>
      </c>
      <c r="C104" s="672"/>
      <c r="D104" s="672"/>
      <c r="E104" s="673"/>
      <c r="F104" s="60">
        <v>1</v>
      </c>
      <c r="G104" s="61" t="s">
        <v>134</v>
      </c>
      <c r="H104" s="62">
        <v>45000</v>
      </c>
      <c r="I104" s="63">
        <f>H104*F104</f>
        <v>45000</v>
      </c>
      <c r="J104" s="64"/>
      <c r="K104" s="65">
        <f t="shared" ref="K104" si="89">L104-J104</f>
        <v>0</v>
      </c>
      <c r="L104" s="65"/>
      <c r="M104" s="65">
        <f t="shared" ref="M104" si="90">+J104*H104</f>
        <v>0</v>
      </c>
      <c r="N104" s="65">
        <f t="shared" ref="N104" si="91">O104-M104</f>
        <v>0</v>
      </c>
      <c r="O104" s="63">
        <f t="shared" ref="O104" si="92">H104*L104</f>
        <v>0</v>
      </c>
      <c r="P104" s="665"/>
    </row>
    <row r="105" spans="1:16" s="26" customFormat="1" ht="93.75" customHeight="1" x14ac:dyDescent="0.25">
      <c r="A105" s="3">
        <v>13</v>
      </c>
      <c r="B105" s="696" t="s">
        <v>155</v>
      </c>
      <c r="C105" s="697"/>
      <c r="D105" s="697"/>
      <c r="E105" s="698"/>
      <c r="F105" s="28"/>
      <c r="G105" s="12"/>
      <c r="H105" s="30"/>
      <c r="I105" s="31"/>
      <c r="J105" s="32"/>
      <c r="K105" s="33"/>
      <c r="L105" s="33"/>
      <c r="M105" s="33"/>
      <c r="N105" s="33"/>
      <c r="O105" s="31"/>
      <c r="P105" s="664">
        <f>SUM(I106)</f>
        <v>574000</v>
      </c>
    </row>
    <row r="106" spans="1:16" s="27" customFormat="1" ht="135" customHeight="1" x14ac:dyDescent="0.25">
      <c r="A106" s="4" t="s">
        <v>3</v>
      </c>
      <c r="B106" s="668" t="s">
        <v>157</v>
      </c>
      <c r="C106" s="669"/>
      <c r="D106" s="669"/>
      <c r="E106" s="670"/>
      <c r="F106" s="66">
        <v>1</v>
      </c>
      <c r="G106" s="12" t="s">
        <v>134</v>
      </c>
      <c r="H106" s="30">
        <v>574000</v>
      </c>
      <c r="I106" s="31">
        <f>H106*F106</f>
        <v>574000</v>
      </c>
      <c r="J106" s="32"/>
      <c r="K106" s="33">
        <f t="shared" ref="K106" si="93">L106-J106</f>
        <v>0</v>
      </c>
      <c r="L106" s="33"/>
      <c r="M106" s="33">
        <f t="shared" ref="M106" si="94">+J106*H106</f>
        <v>0</v>
      </c>
      <c r="N106" s="33">
        <f t="shared" ref="N106" si="95">O106-M106</f>
        <v>0</v>
      </c>
      <c r="O106" s="31">
        <f t="shared" ref="O106" si="96">H106*L106</f>
        <v>0</v>
      </c>
      <c r="P106" s="665"/>
    </row>
    <row r="107" spans="1:16" s="27" customFormat="1" ht="21" customHeight="1" x14ac:dyDescent="0.25">
      <c r="A107" s="51" t="s">
        <v>15</v>
      </c>
      <c r="B107" s="671" t="s">
        <v>156</v>
      </c>
      <c r="C107" s="672"/>
      <c r="D107" s="672"/>
      <c r="E107" s="673"/>
      <c r="F107" s="71"/>
      <c r="G107" s="72"/>
      <c r="H107" s="53"/>
      <c r="I107" s="54"/>
      <c r="J107" s="55"/>
      <c r="K107" s="56"/>
      <c r="L107" s="56"/>
      <c r="M107" s="56"/>
      <c r="N107" s="56"/>
      <c r="O107" s="54"/>
      <c r="P107" s="665"/>
    </row>
    <row r="108" spans="1:16" s="26" customFormat="1" ht="93.75" customHeight="1" x14ac:dyDescent="0.25">
      <c r="A108" s="3">
        <v>14</v>
      </c>
      <c r="B108" s="696" t="s">
        <v>158</v>
      </c>
      <c r="C108" s="697"/>
      <c r="D108" s="697"/>
      <c r="E108" s="698"/>
      <c r="F108" s="28"/>
      <c r="G108" s="12"/>
      <c r="H108" s="30"/>
      <c r="I108" s="31"/>
      <c r="J108" s="32"/>
      <c r="K108" s="33"/>
      <c r="L108" s="33"/>
      <c r="M108" s="33"/>
      <c r="N108" s="33"/>
      <c r="O108" s="31"/>
      <c r="P108" s="664">
        <f>SUM(I109)</f>
        <v>289250</v>
      </c>
    </row>
    <row r="109" spans="1:16" s="27" customFormat="1" ht="100.5" customHeight="1" x14ac:dyDescent="0.25">
      <c r="A109" s="4" t="s">
        <v>3</v>
      </c>
      <c r="B109" s="668" t="s">
        <v>159</v>
      </c>
      <c r="C109" s="669"/>
      <c r="D109" s="669"/>
      <c r="E109" s="670"/>
      <c r="F109" s="67">
        <v>130</v>
      </c>
      <c r="G109" s="12" t="s">
        <v>5</v>
      </c>
      <c r="H109" s="30">
        <v>2225</v>
      </c>
      <c r="I109" s="31">
        <f>H109*F109</f>
        <v>289250</v>
      </c>
      <c r="J109" s="32"/>
      <c r="K109" s="33">
        <f t="shared" ref="K109" si="97">L109-J109</f>
        <v>0</v>
      </c>
      <c r="L109" s="33"/>
      <c r="M109" s="33">
        <f t="shared" ref="M109" si="98">+J109*H109</f>
        <v>0</v>
      </c>
      <c r="N109" s="33">
        <f t="shared" ref="N109" si="99">O109-M109</f>
        <v>0</v>
      </c>
      <c r="O109" s="31">
        <f t="shared" ref="O109" si="100">H109*L109</f>
        <v>0</v>
      </c>
      <c r="P109" s="665"/>
    </row>
    <row r="110" spans="1:16" ht="12" customHeight="1" x14ac:dyDescent="0.25">
      <c r="A110" s="5"/>
      <c r="B110" s="47"/>
      <c r="C110" s="48"/>
      <c r="D110" s="48"/>
      <c r="E110" s="49"/>
      <c r="F110" s="36"/>
      <c r="G110" s="22"/>
      <c r="H110" s="37"/>
      <c r="I110" s="38"/>
      <c r="J110" s="39"/>
      <c r="K110" s="40"/>
      <c r="L110" s="40"/>
      <c r="M110" s="40"/>
      <c r="N110" s="40"/>
      <c r="O110" s="38"/>
      <c r="P110" s="665"/>
    </row>
    <row r="111" spans="1:16" s="26" customFormat="1" ht="21" customHeight="1" thickBot="1" x14ac:dyDescent="0.3">
      <c r="A111" s="6"/>
      <c r="B111" s="702" t="s">
        <v>86</v>
      </c>
      <c r="C111" s="703"/>
      <c r="D111" s="703"/>
      <c r="E111" s="704"/>
      <c r="F111" s="7"/>
      <c r="G111" s="7"/>
      <c r="H111" s="15"/>
      <c r="I111" s="16">
        <f>SUM(I13:I109)</f>
        <v>3164343.3799999994</v>
      </c>
      <c r="J111" s="17"/>
      <c r="K111" s="18"/>
      <c r="L111" s="18"/>
      <c r="M111" s="18">
        <f>SUM(M15:M110)</f>
        <v>471758.5</v>
      </c>
      <c r="N111" s="18">
        <f>SUM(N15:N110)</f>
        <v>25764</v>
      </c>
      <c r="O111" s="19">
        <f>SUM(O15:O110)</f>
        <v>497522.5</v>
      </c>
      <c r="P111" s="70">
        <f>SUM(P13:P110)</f>
        <v>3164343.38</v>
      </c>
    </row>
    <row r="112" spans="1:16" ht="13.8" thickTop="1" x14ac:dyDescent="0.25"/>
  </sheetData>
  <mergeCells count="120">
    <mergeCell ref="B108:E108"/>
    <mergeCell ref="P108:P110"/>
    <mergeCell ref="B109:E109"/>
    <mergeCell ref="B111:E111"/>
    <mergeCell ref="B103:E103"/>
    <mergeCell ref="P103:P104"/>
    <mergeCell ref="B104:E104"/>
    <mergeCell ref="B105:E105"/>
    <mergeCell ref="P105:P107"/>
    <mergeCell ref="B106:E106"/>
    <mergeCell ref="B107:E107"/>
    <mergeCell ref="B98:E98"/>
    <mergeCell ref="P98:P100"/>
    <mergeCell ref="B99:E99"/>
    <mergeCell ref="B100:E100"/>
    <mergeCell ref="B101:E101"/>
    <mergeCell ref="P101:P102"/>
    <mergeCell ref="B102:E102"/>
    <mergeCell ref="B93:E93"/>
    <mergeCell ref="P93:P97"/>
    <mergeCell ref="B94:E94"/>
    <mergeCell ref="B95:E95"/>
    <mergeCell ref="B96:E96"/>
    <mergeCell ref="B97:E97"/>
    <mergeCell ref="B87:E87"/>
    <mergeCell ref="P87:P92"/>
    <mergeCell ref="B88:E88"/>
    <mergeCell ref="B89:E89"/>
    <mergeCell ref="B90:E90"/>
    <mergeCell ref="B91:E91"/>
    <mergeCell ref="B83:E83"/>
    <mergeCell ref="P83:P84"/>
    <mergeCell ref="B84:E84"/>
    <mergeCell ref="B85:E85"/>
    <mergeCell ref="P85:P86"/>
    <mergeCell ref="B86:E86"/>
    <mergeCell ref="B62:E62"/>
    <mergeCell ref="B63:E63"/>
    <mergeCell ref="B76:E76"/>
    <mergeCell ref="B78:E78"/>
    <mergeCell ref="P78:P79"/>
    <mergeCell ref="B79:E79"/>
    <mergeCell ref="B80:E80"/>
    <mergeCell ref="P80:P82"/>
    <mergeCell ref="B81:E81"/>
    <mergeCell ref="B82:E82"/>
    <mergeCell ref="B70:E70"/>
    <mergeCell ref="B71:E71"/>
    <mergeCell ref="B72:E72"/>
    <mergeCell ref="B73:E73"/>
    <mergeCell ref="B74:E74"/>
    <mergeCell ref="B75:E75"/>
    <mergeCell ref="B54:E54"/>
    <mergeCell ref="B55:E55"/>
    <mergeCell ref="B56:E56"/>
    <mergeCell ref="B57:E57"/>
    <mergeCell ref="P42:P77"/>
    <mergeCell ref="B43:E43"/>
    <mergeCell ref="B44:E44"/>
    <mergeCell ref="B45:E45"/>
    <mergeCell ref="B46:E46"/>
    <mergeCell ref="B47:E47"/>
    <mergeCell ref="B48:E48"/>
    <mergeCell ref="B49:E49"/>
    <mergeCell ref="B50:E50"/>
    <mergeCell ref="B51:E51"/>
    <mergeCell ref="B64:E64"/>
    <mergeCell ref="B65:E65"/>
    <mergeCell ref="B66:E66"/>
    <mergeCell ref="B67:E67"/>
    <mergeCell ref="B68:E68"/>
    <mergeCell ref="B69:E69"/>
    <mergeCell ref="B58:E58"/>
    <mergeCell ref="B59:E59"/>
    <mergeCell ref="B60:E60"/>
    <mergeCell ref="B61:E61"/>
    <mergeCell ref="B42:E42"/>
    <mergeCell ref="B28:E28"/>
    <mergeCell ref="B29:E29"/>
    <mergeCell ref="B30:E30"/>
    <mergeCell ref="B31:E31"/>
    <mergeCell ref="B32:E32"/>
    <mergeCell ref="B33:E33"/>
    <mergeCell ref="B52:E52"/>
    <mergeCell ref="B53:E53"/>
    <mergeCell ref="B19:E19"/>
    <mergeCell ref="P19:P41"/>
    <mergeCell ref="B20:E20"/>
    <mergeCell ref="B21:E21"/>
    <mergeCell ref="B22:E22"/>
    <mergeCell ref="B23:E23"/>
    <mergeCell ref="B24:E24"/>
    <mergeCell ref="B25:E25"/>
    <mergeCell ref="B26:E26"/>
    <mergeCell ref="B27:E27"/>
    <mergeCell ref="B34:E34"/>
    <mergeCell ref="B35:E35"/>
    <mergeCell ref="B36:E36"/>
    <mergeCell ref="B37:E37"/>
    <mergeCell ref="B38:E41"/>
    <mergeCell ref="B11:E11"/>
    <mergeCell ref="B12:E12"/>
    <mergeCell ref="B13:E13"/>
    <mergeCell ref="P13:P18"/>
    <mergeCell ref="C14:E14"/>
    <mergeCell ref="B15:E15"/>
    <mergeCell ref="B16:E16"/>
    <mergeCell ref="B17:E17"/>
    <mergeCell ref="B18:E18"/>
    <mergeCell ref="A6:I6"/>
    <mergeCell ref="M6:O6"/>
    <mergeCell ref="A8:I8"/>
    <mergeCell ref="A9:A10"/>
    <mergeCell ref="B9:E10"/>
    <mergeCell ref="F9:F10"/>
    <mergeCell ref="G9:G10"/>
    <mergeCell ref="H9:H10"/>
    <mergeCell ref="I9:I10"/>
    <mergeCell ref="J9:L9"/>
    <mergeCell ref="M9:O9"/>
  </mergeCells>
  <printOptions horizontalCentered="1"/>
  <pageMargins left="0.2" right="0.2" top="0.3" bottom="0.3" header="0" footer="0"/>
  <pageSetup paperSize="9" scale="53" fitToHeight="5" orientation="portrait" r:id="rId1"/>
  <headerFooter>
    <oddFooter>Page &amp;P of &amp;N</oddFooter>
  </headerFooter>
  <rowBreaks count="3" manualBreakCount="3">
    <brk id="41" max="14" man="1"/>
    <brk id="82" max="14" man="1"/>
    <brk id="102" max="1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28A42-F786-4807-B557-A497787CF6EE}">
  <sheetPr>
    <tabColor theme="3" tint="0.59999389629810485"/>
  </sheetPr>
  <dimension ref="A1:P15"/>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L14" sqref="L14"/>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33" t="s">
        <v>29</v>
      </c>
      <c r="B1" s="633"/>
      <c r="C1" s="633"/>
      <c r="D1" s="633"/>
      <c r="E1" s="633"/>
      <c r="F1" s="633"/>
      <c r="G1" s="633"/>
      <c r="H1" s="633"/>
      <c r="I1" s="633"/>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35" t="s">
        <v>128</v>
      </c>
      <c r="B3" s="635"/>
      <c r="C3" s="635"/>
      <c r="D3" s="635"/>
      <c r="E3" s="635"/>
      <c r="F3" s="635"/>
      <c r="G3" s="635"/>
      <c r="H3" s="635"/>
      <c r="I3" s="635"/>
      <c r="J3" s="20"/>
      <c r="K3" s="20"/>
      <c r="L3" s="24"/>
      <c r="M3" s="20"/>
      <c r="N3" s="20"/>
      <c r="O3" s="24"/>
    </row>
    <row r="4" spans="1:16" ht="18" customHeight="1" thickTop="1" x14ac:dyDescent="0.25">
      <c r="A4" s="636" t="s">
        <v>32</v>
      </c>
      <c r="B4" s="638" t="s">
        <v>0</v>
      </c>
      <c r="C4" s="639"/>
      <c r="D4" s="639"/>
      <c r="E4" s="640"/>
      <c r="F4" s="644" t="s">
        <v>34</v>
      </c>
      <c r="G4" s="644" t="s">
        <v>31</v>
      </c>
      <c r="H4" s="646" t="s">
        <v>36</v>
      </c>
      <c r="I4" s="648" t="s">
        <v>35</v>
      </c>
      <c r="J4" s="650" t="s">
        <v>91</v>
      </c>
      <c r="K4" s="651"/>
      <c r="L4" s="652"/>
      <c r="M4" s="653" t="s">
        <v>92</v>
      </c>
      <c r="N4" s="651"/>
      <c r="O4" s="654"/>
    </row>
    <row r="5" spans="1:16" ht="36.75" customHeight="1" x14ac:dyDescent="0.25">
      <c r="A5" s="637"/>
      <c r="B5" s="641"/>
      <c r="C5" s="642"/>
      <c r="D5" s="642"/>
      <c r="E5" s="643"/>
      <c r="F5" s="645"/>
      <c r="G5" s="645"/>
      <c r="H5" s="647"/>
      <c r="I5" s="649"/>
      <c r="J5" s="8" t="s">
        <v>87</v>
      </c>
      <c r="K5" s="9" t="s">
        <v>88</v>
      </c>
      <c r="L5" s="9" t="s">
        <v>90</v>
      </c>
      <c r="M5" s="9" t="s">
        <v>87</v>
      </c>
      <c r="N5" s="9" t="s">
        <v>88</v>
      </c>
      <c r="O5" s="10" t="s">
        <v>89</v>
      </c>
    </row>
    <row r="6" spans="1:16" x14ac:dyDescent="0.25">
      <c r="A6" s="3"/>
      <c r="B6" s="655"/>
      <c r="C6" s="656"/>
      <c r="D6" s="656"/>
      <c r="E6" s="657"/>
      <c r="F6" s="28"/>
      <c r="G6" s="29"/>
      <c r="H6" s="30"/>
      <c r="I6" s="31"/>
      <c r="J6" s="32"/>
      <c r="K6" s="33"/>
      <c r="L6" s="33"/>
      <c r="M6" s="33"/>
      <c r="N6" s="33"/>
      <c r="O6" s="31"/>
    </row>
    <row r="7" spans="1:16" ht="54" customHeight="1" x14ac:dyDescent="0.25">
      <c r="A7" s="4">
        <v>1</v>
      </c>
      <c r="B7" s="658" t="s">
        <v>165</v>
      </c>
      <c r="C7" s="659"/>
      <c r="D7" s="659"/>
      <c r="E7" s="660"/>
      <c r="F7" s="28"/>
      <c r="G7" s="12"/>
      <c r="H7" s="30"/>
      <c r="I7" s="69"/>
      <c r="J7" s="32"/>
      <c r="K7" s="33"/>
      <c r="L7" s="33"/>
      <c r="M7" s="33"/>
      <c r="N7" s="33"/>
      <c r="O7" s="31"/>
    </row>
    <row r="8" spans="1:16" s="26" customFormat="1" ht="43.5" customHeight="1" x14ac:dyDescent="0.25">
      <c r="A8" s="3" t="s">
        <v>3</v>
      </c>
      <c r="B8" s="661" t="s">
        <v>95</v>
      </c>
      <c r="C8" s="662"/>
      <c r="D8" s="662"/>
      <c r="E8" s="663"/>
      <c r="F8" s="28">
        <v>1</v>
      </c>
      <c r="G8" s="12" t="s">
        <v>2</v>
      </c>
      <c r="H8" s="30">
        <v>116000</v>
      </c>
      <c r="I8" s="31">
        <f>H8*F8</f>
        <v>116000</v>
      </c>
      <c r="J8" s="32"/>
      <c r="K8" s="33">
        <f>L8-J8</f>
        <v>0</v>
      </c>
      <c r="L8" s="33"/>
      <c r="M8" s="33">
        <f t="shared" ref="M8:M13" si="0">+J8*H8</f>
        <v>0</v>
      </c>
      <c r="N8" s="33">
        <f t="shared" ref="N8:N13" si="1">O8-M8</f>
        <v>0</v>
      </c>
      <c r="O8" s="31">
        <f t="shared" ref="O8:O13" si="2">H8*L8</f>
        <v>0</v>
      </c>
      <c r="P8" s="664">
        <f>I8+I10+I11+I12+I13</f>
        <v>473000</v>
      </c>
    </row>
    <row r="9" spans="1:16" s="26" customFormat="1" x14ac:dyDescent="0.25">
      <c r="A9" s="3"/>
      <c r="B9" s="34"/>
      <c r="C9" s="666"/>
      <c r="D9" s="666"/>
      <c r="E9" s="667"/>
      <c r="F9" s="28"/>
      <c r="G9" s="12"/>
      <c r="H9" s="30"/>
      <c r="I9" s="31"/>
      <c r="J9" s="32"/>
      <c r="K9" s="33"/>
      <c r="L9" s="33"/>
      <c r="M9" s="33"/>
      <c r="N9" s="33"/>
      <c r="O9" s="31"/>
      <c r="P9" s="665"/>
    </row>
    <row r="10" spans="1:16" s="27" customFormat="1" ht="37.5" customHeight="1" x14ac:dyDescent="0.25">
      <c r="A10" s="4" t="s">
        <v>15</v>
      </c>
      <c r="B10" s="668" t="s">
        <v>96</v>
      </c>
      <c r="C10" s="669"/>
      <c r="D10" s="669"/>
      <c r="E10" s="670"/>
      <c r="F10" s="35">
        <v>1</v>
      </c>
      <c r="G10" s="12" t="s">
        <v>2</v>
      </c>
      <c r="H10" s="30">
        <v>82500</v>
      </c>
      <c r="I10" s="31">
        <f>H10*F10</f>
        <v>82500</v>
      </c>
      <c r="J10" s="32"/>
      <c r="K10" s="33">
        <f>L10-J10</f>
        <v>0</v>
      </c>
      <c r="L10" s="33"/>
      <c r="M10" s="33">
        <f t="shared" si="0"/>
        <v>0</v>
      </c>
      <c r="N10" s="33">
        <f t="shared" si="1"/>
        <v>0</v>
      </c>
      <c r="O10" s="31">
        <f t="shared" si="2"/>
        <v>0</v>
      </c>
      <c r="P10" s="665"/>
    </row>
    <row r="11" spans="1:16" s="27" customFormat="1" ht="51" customHeight="1" x14ac:dyDescent="0.25">
      <c r="A11" s="4" t="s">
        <v>18</v>
      </c>
      <c r="B11" s="668" t="s">
        <v>97</v>
      </c>
      <c r="C11" s="669"/>
      <c r="D11" s="669"/>
      <c r="E11" s="670"/>
      <c r="F11" s="35">
        <v>1</v>
      </c>
      <c r="G11" s="12" t="s">
        <v>2</v>
      </c>
      <c r="H11" s="30">
        <v>111500</v>
      </c>
      <c r="I11" s="31">
        <f>H11*F11</f>
        <v>111500</v>
      </c>
      <c r="J11" s="32"/>
      <c r="K11" s="33">
        <f>L11-J11</f>
        <v>0</v>
      </c>
      <c r="L11" s="33"/>
      <c r="M11" s="33">
        <f>+J11*H11</f>
        <v>0</v>
      </c>
      <c r="N11" s="33">
        <f t="shared" si="1"/>
        <v>0</v>
      </c>
      <c r="O11" s="31">
        <f t="shared" si="2"/>
        <v>0</v>
      </c>
      <c r="P11" s="665"/>
    </row>
    <row r="12" spans="1:16" s="27" customFormat="1" ht="116.25" customHeight="1" x14ac:dyDescent="0.25">
      <c r="A12" s="4" t="s">
        <v>47</v>
      </c>
      <c r="B12" s="668" t="s">
        <v>98</v>
      </c>
      <c r="C12" s="669"/>
      <c r="D12" s="669"/>
      <c r="E12" s="670"/>
      <c r="F12" s="28">
        <v>1</v>
      </c>
      <c r="G12" s="12" t="s">
        <v>2</v>
      </c>
      <c r="H12" s="30">
        <v>146000</v>
      </c>
      <c r="I12" s="31">
        <f>H12*F12</f>
        <v>146000</v>
      </c>
      <c r="J12" s="32"/>
      <c r="K12" s="33">
        <f t="shared" ref="K12:K13" si="3">L12-J12</f>
        <v>0</v>
      </c>
      <c r="L12" s="33"/>
      <c r="M12" s="33">
        <f t="shared" si="0"/>
        <v>0</v>
      </c>
      <c r="N12" s="33">
        <f t="shared" si="1"/>
        <v>0</v>
      </c>
      <c r="O12" s="31">
        <f t="shared" si="2"/>
        <v>0</v>
      </c>
      <c r="P12" s="665"/>
    </row>
    <row r="13" spans="1:16" s="27" customFormat="1" ht="128.25" customHeight="1" x14ac:dyDescent="0.25">
      <c r="A13" s="57" t="s">
        <v>93</v>
      </c>
      <c r="B13" s="671" t="s">
        <v>99</v>
      </c>
      <c r="C13" s="672"/>
      <c r="D13" s="672"/>
      <c r="E13" s="673"/>
      <c r="F13" s="58">
        <v>1</v>
      </c>
      <c r="G13" s="52" t="s">
        <v>27</v>
      </c>
      <c r="H13" s="53">
        <v>17000</v>
      </c>
      <c r="I13" s="54">
        <f>H13*F13</f>
        <v>17000</v>
      </c>
      <c r="J13" s="55">
        <v>1</v>
      </c>
      <c r="K13" s="33">
        <f t="shared" si="3"/>
        <v>0</v>
      </c>
      <c r="L13" s="56">
        <v>1</v>
      </c>
      <c r="M13" s="56">
        <f t="shared" si="0"/>
        <v>17000</v>
      </c>
      <c r="N13" s="56">
        <f t="shared" si="1"/>
        <v>0</v>
      </c>
      <c r="O13" s="54">
        <f t="shared" si="2"/>
        <v>17000</v>
      </c>
      <c r="P13" s="665"/>
    </row>
    <row r="14" spans="1:16" s="26" customFormat="1" ht="21" customHeight="1" thickBot="1" x14ac:dyDescent="0.3">
      <c r="A14" s="6"/>
      <c r="B14" s="702" t="s">
        <v>86</v>
      </c>
      <c r="C14" s="703"/>
      <c r="D14" s="703"/>
      <c r="E14" s="704"/>
      <c r="F14" s="7"/>
      <c r="G14" s="7"/>
      <c r="H14" s="15"/>
      <c r="I14" s="16">
        <f>SUM(I8:I13)</f>
        <v>473000</v>
      </c>
      <c r="J14" s="17"/>
      <c r="K14" s="18"/>
      <c r="L14" s="18"/>
      <c r="M14" s="18">
        <f>SUM(M10:M13)</f>
        <v>17000</v>
      </c>
      <c r="N14" s="18">
        <f>SUM(N10:N13)</f>
        <v>0</v>
      </c>
      <c r="O14" s="19">
        <f>SUM(O10:O13)</f>
        <v>17000</v>
      </c>
      <c r="P14" s="70">
        <f>SUM(P8:P13)</f>
        <v>473000</v>
      </c>
    </row>
    <row r="15" spans="1:16" ht="13.8" thickTop="1" x14ac:dyDescent="0.25"/>
  </sheetData>
  <mergeCells count="20">
    <mergeCell ref="A1:I1"/>
    <mergeCell ref="A3:I3"/>
    <mergeCell ref="A4:A5"/>
    <mergeCell ref="B4:E5"/>
    <mergeCell ref="F4:F5"/>
    <mergeCell ref="G4:G5"/>
    <mergeCell ref="H4:H5"/>
    <mergeCell ref="I4:I5"/>
    <mergeCell ref="P8:P13"/>
    <mergeCell ref="C9:E9"/>
    <mergeCell ref="B10:E10"/>
    <mergeCell ref="B11:E11"/>
    <mergeCell ref="B12:E12"/>
    <mergeCell ref="B14:E14"/>
    <mergeCell ref="B13:E13"/>
    <mergeCell ref="J4:L4"/>
    <mergeCell ref="M4:O4"/>
    <mergeCell ref="B6:E6"/>
    <mergeCell ref="B7:E7"/>
    <mergeCell ref="B8:E8"/>
  </mergeCells>
  <printOptions horizontalCentered="1"/>
  <pageMargins left="0.2" right="0.2" top="0.3" bottom="0.3" header="0" footer="0"/>
  <pageSetup paperSize="9" scale="53" fitToHeight="5" orientation="portrait"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97D0F-EE79-4BE7-BBB4-6A018028C373}">
  <sheetPr>
    <tabColor theme="3" tint="0.59999389629810485"/>
  </sheetPr>
  <dimension ref="A1:P31"/>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P30" sqref="P30"/>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33" t="s">
        <v>29</v>
      </c>
      <c r="B1" s="633"/>
      <c r="C1" s="633"/>
      <c r="D1" s="633"/>
      <c r="E1" s="633"/>
      <c r="F1" s="633"/>
      <c r="G1" s="633"/>
      <c r="H1" s="633"/>
      <c r="I1" s="633"/>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35" t="s">
        <v>128</v>
      </c>
      <c r="B3" s="635"/>
      <c r="C3" s="635"/>
      <c r="D3" s="635"/>
      <c r="E3" s="635"/>
      <c r="F3" s="635"/>
      <c r="G3" s="635"/>
      <c r="H3" s="635"/>
      <c r="I3" s="635"/>
      <c r="J3" s="20"/>
      <c r="K3" s="20"/>
      <c r="L3" s="24"/>
      <c r="M3" s="20"/>
      <c r="N3" s="20"/>
      <c r="O3" s="24"/>
    </row>
    <row r="4" spans="1:16" ht="18" customHeight="1" thickTop="1" x14ac:dyDescent="0.25">
      <c r="A4" s="636" t="s">
        <v>32</v>
      </c>
      <c r="B4" s="638" t="s">
        <v>0</v>
      </c>
      <c r="C4" s="639"/>
      <c r="D4" s="639"/>
      <c r="E4" s="640"/>
      <c r="F4" s="644" t="s">
        <v>34</v>
      </c>
      <c r="G4" s="644" t="s">
        <v>31</v>
      </c>
      <c r="H4" s="646" t="s">
        <v>36</v>
      </c>
      <c r="I4" s="648" t="s">
        <v>35</v>
      </c>
      <c r="J4" s="650" t="s">
        <v>91</v>
      </c>
      <c r="K4" s="651"/>
      <c r="L4" s="652"/>
      <c r="M4" s="653" t="s">
        <v>92</v>
      </c>
      <c r="N4" s="651"/>
      <c r="O4" s="654"/>
    </row>
    <row r="5" spans="1:16" ht="36.75" customHeight="1" x14ac:dyDescent="0.25">
      <c r="A5" s="637"/>
      <c r="B5" s="641"/>
      <c r="C5" s="642"/>
      <c r="D5" s="642"/>
      <c r="E5" s="643"/>
      <c r="F5" s="645"/>
      <c r="G5" s="645"/>
      <c r="H5" s="647"/>
      <c r="I5" s="649"/>
      <c r="J5" s="8" t="s">
        <v>87</v>
      </c>
      <c r="K5" s="9" t="s">
        <v>88</v>
      </c>
      <c r="L5" s="9" t="s">
        <v>90</v>
      </c>
      <c r="M5" s="9" t="s">
        <v>87</v>
      </c>
      <c r="N5" s="9" t="s">
        <v>88</v>
      </c>
      <c r="O5" s="10" t="s">
        <v>89</v>
      </c>
    </row>
    <row r="6" spans="1:16" x14ac:dyDescent="0.25">
      <c r="A6" s="3"/>
      <c r="B6" s="655"/>
      <c r="C6" s="656"/>
      <c r="D6" s="656"/>
      <c r="E6" s="657"/>
      <c r="F6" s="28"/>
      <c r="G6" s="29"/>
      <c r="H6" s="30"/>
      <c r="I6" s="31"/>
      <c r="J6" s="32"/>
      <c r="K6" s="33"/>
      <c r="L6" s="33"/>
      <c r="M6" s="33"/>
      <c r="N6" s="33"/>
      <c r="O6" s="31"/>
    </row>
    <row r="7" spans="1:16" s="27" customFormat="1" ht="63" customHeight="1" x14ac:dyDescent="0.25">
      <c r="A7" s="4">
        <v>2</v>
      </c>
      <c r="B7" s="658" t="s">
        <v>140</v>
      </c>
      <c r="C7" s="659"/>
      <c r="D7" s="659"/>
      <c r="E7" s="660"/>
      <c r="F7" s="41"/>
      <c r="G7" s="42"/>
      <c r="H7" s="43"/>
      <c r="I7" s="44"/>
      <c r="J7" s="23"/>
      <c r="K7" s="45"/>
      <c r="L7" s="45"/>
      <c r="M7" s="45"/>
      <c r="N7" s="45"/>
      <c r="O7" s="44"/>
      <c r="P7" s="664">
        <f>SUM(I9:I28)</f>
        <v>429331.25</v>
      </c>
    </row>
    <row r="8" spans="1:16" s="27" customFormat="1" ht="20.25" customHeight="1" x14ac:dyDescent="0.25">
      <c r="A8" s="4" t="s">
        <v>3</v>
      </c>
      <c r="B8" s="674" t="s">
        <v>100</v>
      </c>
      <c r="C8" s="675"/>
      <c r="D8" s="675"/>
      <c r="E8" s="676"/>
      <c r="F8" s="28"/>
      <c r="G8" s="12"/>
      <c r="H8" s="30"/>
      <c r="I8" s="31"/>
      <c r="J8" s="32"/>
      <c r="K8" s="33"/>
      <c r="L8" s="33"/>
      <c r="M8" s="33"/>
      <c r="N8" s="33"/>
      <c r="O8" s="31"/>
      <c r="P8" s="665"/>
    </row>
    <row r="9" spans="1:16" s="27" customFormat="1" ht="19.5" customHeight="1" x14ac:dyDescent="0.25">
      <c r="A9" s="4"/>
      <c r="B9" s="668" t="s">
        <v>101</v>
      </c>
      <c r="C9" s="669"/>
      <c r="D9" s="669"/>
      <c r="E9" s="670"/>
      <c r="F9" s="28">
        <v>6.4</v>
      </c>
      <c r="G9" s="12" t="s">
        <v>103</v>
      </c>
      <c r="H9" s="30">
        <v>19925</v>
      </c>
      <c r="I9" s="31">
        <f>H9*F9</f>
        <v>127520</v>
      </c>
      <c r="J9" s="32"/>
      <c r="K9" s="33">
        <f t="shared" ref="K9:K10" si="0">L9-J9</f>
        <v>0</v>
      </c>
      <c r="L9" s="33"/>
      <c r="M9" s="33">
        <f t="shared" ref="M9:M10" si="1">+J9*H9</f>
        <v>0</v>
      </c>
      <c r="N9" s="33">
        <f t="shared" ref="N9:N10" si="2">O9-M9</f>
        <v>0</v>
      </c>
      <c r="O9" s="31">
        <f t="shared" ref="O9:O10" si="3">H9*L9</f>
        <v>0</v>
      </c>
      <c r="P9" s="665"/>
    </row>
    <row r="10" spans="1:16" s="27" customFormat="1" ht="33.75" customHeight="1" x14ac:dyDescent="0.25">
      <c r="A10" s="4"/>
      <c r="B10" s="668" t="s">
        <v>102</v>
      </c>
      <c r="C10" s="669"/>
      <c r="D10" s="669"/>
      <c r="E10" s="670"/>
      <c r="F10" s="28">
        <v>116</v>
      </c>
      <c r="G10" s="12" t="s">
        <v>1</v>
      </c>
      <c r="H10" s="30">
        <v>330</v>
      </c>
      <c r="I10" s="31">
        <f>H10*F10</f>
        <v>38280</v>
      </c>
      <c r="J10" s="32"/>
      <c r="K10" s="33">
        <f t="shared" si="0"/>
        <v>0</v>
      </c>
      <c r="L10" s="33"/>
      <c r="M10" s="33">
        <f t="shared" si="1"/>
        <v>0</v>
      </c>
      <c r="N10" s="33">
        <f t="shared" si="2"/>
        <v>0</v>
      </c>
      <c r="O10" s="31">
        <f t="shared" si="3"/>
        <v>0</v>
      </c>
      <c r="P10" s="665"/>
    </row>
    <row r="11" spans="1:16" s="27" customFormat="1" ht="20.25" customHeight="1" x14ac:dyDescent="0.25">
      <c r="A11" s="4" t="s">
        <v>15</v>
      </c>
      <c r="B11" s="674" t="s">
        <v>104</v>
      </c>
      <c r="C11" s="675"/>
      <c r="D11" s="675"/>
      <c r="E11" s="676"/>
      <c r="F11" s="28"/>
      <c r="G11" s="12"/>
      <c r="H11" s="30"/>
      <c r="I11" s="31"/>
      <c r="J11" s="32"/>
      <c r="K11" s="33"/>
      <c r="L11" s="33"/>
      <c r="M11" s="33"/>
      <c r="N11" s="33"/>
      <c r="O11" s="31"/>
      <c r="P11" s="665"/>
    </row>
    <row r="12" spans="1:16" ht="19.5" customHeight="1" x14ac:dyDescent="0.25">
      <c r="A12" s="3"/>
      <c r="B12" s="677" t="s">
        <v>101</v>
      </c>
      <c r="C12" s="678"/>
      <c r="D12" s="678"/>
      <c r="E12" s="679"/>
      <c r="F12" s="28">
        <v>2.52</v>
      </c>
      <c r="G12" s="12" t="s">
        <v>103</v>
      </c>
      <c r="H12" s="30">
        <v>19925</v>
      </c>
      <c r="I12" s="31">
        <f>H12*F12</f>
        <v>50211</v>
      </c>
      <c r="J12" s="32"/>
      <c r="K12" s="33">
        <f t="shared" ref="K12:K13" si="4">L12-J12</f>
        <v>0</v>
      </c>
      <c r="L12" s="33"/>
      <c r="M12" s="33">
        <f t="shared" ref="M12:M13" si="5">+J12*H12</f>
        <v>0</v>
      </c>
      <c r="N12" s="33">
        <f t="shared" ref="N12:N13" si="6">O12-M12</f>
        <v>0</v>
      </c>
      <c r="O12" s="31">
        <f t="shared" ref="O12:O13" si="7">H12*L12</f>
        <v>0</v>
      </c>
      <c r="P12" s="665"/>
    </row>
    <row r="13" spans="1:16" s="26" customFormat="1" ht="33.75" customHeight="1" x14ac:dyDescent="0.25">
      <c r="A13" s="3"/>
      <c r="B13" s="680" t="s">
        <v>102</v>
      </c>
      <c r="C13" s="681"/>
      <c r="D13" s="681"/>
      <c r="E13" s="682"/>
      <c r="F13" s="28">
        <v>42</v>
      </c>
      <c r="G13" s="12" t="s">
        <v>1</v>
      </c>
      <c r="H13" s="30">
        <v>330</v>
      </c>
      <c r="I13" s="31">
        <f>H13*F13</f>
        <v>13860</v>
      </c>
      <c r="J13" s="32"/>
      <c r="K13" s="33">
        <f t="shared" si="4"/>
        <v>0</v>
      </c>
      <c r="L13" s="33"/>
      <c r="M13" s="33">
        <f t="shared" si="5"/>
        <v>0</v>
      </c>
      <c r="N13" s="33">
        <f t="shared" si="6"/>
        <v>0</v>
      </c>
      <c r="O13" s="31">
        <f t="shared" si="7"/>
        <v>0</v>
      </c>
      <c r="P13" s="665"/>
    </row>
    <row r="14" spans="1:16" s="27" customFormat="1" ht="20.25" customHeight="1" x14ac:dyDescent="0.25">
      <c r="A14" s="4" t="s">
        <v>18</v>
      </c>
      <c r="B14" s="674" t="s">
        <v>105</v>
      </c>
      <c r="C14" s="675"/>
      <c r="D14" s="675"/>
      <c r="E14" s="676"/>
      <c r="F14" s="28"/>
      <c r="G14" s="12"/>
      <c r="H14" s="30"/>
      <c r="I14" s="31"/>
      <c r="J14" s="32"/>
      <c r="K14" s="33"/>
      <c r="L14" s="33"/>
      <c r="M14" s="33"/>
      <c r="N14" s="33"/>
      <c r="O14" s="31"/>
      <c r="P14" s="665"/>
    </row>
    <row r="15" spans="1:16" ht="19.5" customHeight="1" x14ac:dyDescent="0.25">
      <c r="A15" s="3"/>
      <c r="B15" s="677" t="s">
        <v>101</v>
      </c>
      <c r="C15" s="678"/>
      <c r="D15" s="678"/>
      <c r="E15" s="679"/>
      <c r="F15" s="28">
        <v>2.52</v>
      </c>
      <c r="G15" s="12" t="s">
        <v>103</v>
      </c>
      <c r="H15" s="30">
        <v>19925</v>
      </c>
      <c r="I15" s="31">
        <f>H15*F15</f>
        <v>50211</v>
      </c>
      <c r="J15" s="32"/>
      <c r="K15" s="33">
        <f t="shared" ref="K15:K16" si="8">L15-J15</f>
        <v>0</v>
      </c>
      <c r="L15" s="33"/>
      <c r="M15" s="33">
        <f t="shared" ref="M15:M16" si="9">+J15*H15</f>
        <v>0</v>
      </c>
      <c r="N15" s="33">
        <f t="shared" ref="N15:N16" si="10">O15-M15</f>
        <v>0</v>
      </c>
      <c r="O15" s="31">
        <f t="shared" ref="O15:O16" si="11">H15*L15</f>
        <v>0</v>
      </c>
      <c r="P15" s="665"/>
    </row>
    <row r="16" spans="1:16" s="26" customFormat="1" ht="33.75" customHeight="1" x14ac:dyDescent="0.25">
      <c r="A16" s="3"/>
      <c r="B16" s="680" t="s">
        <v>102</v>
      </c>
      <c r="C16" s="681"/>
      <c r="D16" s="681"/>
      <c r="E16" s="682"/>
      <c r="F16" s="28">
        <v>42</v>
      </c>
      <c r="G16" s="12" t="s">
        <v>1</v>
      </c>
      <c r="H16" s="30">
        <v>330</v>
      </c>
      <c r="I16" s="31">
        <f>H16*F16</f>
        <v>13860</v>
      </c>
      <c r="J16" s="32"/>
      <c r="K16" s="33">
        <f t="shared" si="8"/>
        <v>0</v>
      </c>
      <c r="L16" s="33"/>
      <c r="M16" s="33">
        <f t="shared" si="9"/>
        <v>0</v>
      </c>
      <c r="N16" s="33">
        <f t="shared" si="10"/>
        <v>0</v>
      </c>
      <c r="O16" s="31">
        <f t="shared" si="11"/>
        <v>0</v>
      </c>
      <c r="P16" s="665"/>
    </row>
    <row r="17" spans="1:16" s="27" customFormat="1" ht="20.25" customHeight="1" x14ac:dyDescent="0.25">
      <c r="A17" s="4" t="s">
        <v>47</v>
      </c>
      <c r="B17" s="674" t="s">
        <v>106</v>
      </c>
      <c r="C17" s="675"/>
      <c r="D17" s="675"/>
      <c r="E17" s="676"/>
      <c r="F17" s="28"/>
      <c r="G17" s="12"/>
      <c r="H17" s="30"/>
      <c r="I17" s="31"/>
      <c r="J17" s="32"/>
      <c r="K17" s="33"/>
      <c r="L17" s="33"/>
      <c r="M17" s="33"/>
      <c r="N17" s="33"/>
      <c r="O17" s="31"/>
      <c r="P17" s="665"/>
    </row>
    <row r="18" spans="1:16" ht="19.5" customHeight="1" x14ac:dyDescent="0.25">
      <c r="A18" s="3"/>
      <c r="B18" s="677" t="s">
        <v>101</v>
      </c>
      <c r="C18" s="678"/>
      <c r="D18" s="678"/>
      <c r="E18" s="679"/>
      <c r="F18" s="28">
        <v>0.88</v>
      </c>
      <c r="G18" s="12" t="s">
        <v>103</v>
      </c>
      <c r="H18" s="30">
        <v>19925</v>
      </c>
      <c r="I18" s="31">
        <f>H18*F18</f>
        <v>17534</v>
      </c>
      <c r="J18" s="32"/>
      <c r="K18" s="33">
        <f t="shared" ref="K18:K19" si="12">L18-J18</f>
        <v>0</v>
      </c>
      <c r="L18" s="33"/>
      <c r="M18" s="33">
        <f t="shared" ref="M18:M19" si="13">+J18*H18</f>
        <v>0</v>
      </c>
      <c r="N18" s="33">
        <f t="shared" ref="N18:N19" si="14">O18-M18</f>
        <v>0</v>
      </c>
      <c r="O18" s="31">
        <f t="shared" ref="O18:O19" si="15">H18*L18</f>
        <v>0</v>
      </c>
      <c r="P18" s="665"/>
    </row>
    <row r="19" spans="1:16" s="26" customFormat="1" ht="33.75" customHeight="1" x14ac:dyDescent="0.25">
      <c r="A19" s="3"/>
      <c r="B19" s="680" t="s">
        <v>102</v>
      </c>
      <c r="C19" s="681"/>
      <c r="D19" s="681"/>
      <c r="E19" s="682"/>
      <c r="F19" s="28">
        <v>48</v>
      </c>
      <c r="G19" s="12" t="s">
        <v>1</v>
      </c>
      <c r="H19" s="30">
        <v>330</v>
      </c>
      <c r="I19" s="31">
        <f>H19*F19</f>
        <v>15840</v>
      </c>
      <c r="J19" s="32"/>
      <c r="K19" s="33">
        <f t="shared" si="12"/>
        <v>0</v>
      </c>
      <c r="L19" s="33"/>
      <c r="M19" s="33">
        <f t="shared" si="13"/>
        <v>0</v>
      </c>
      <c r="N19" s="33">
        <f t="shared" si="14"/>
        <v>0</v>
      </c>
      <c r="O19" s="31">
        <f t="shared" si="15"/>
        <v>0</v>
      </c>
      <c r="P19" s="665"/>
    </row>
    <row r="20" spans="1:16" s="27" customFormat="1" ht="20.25" customHeight="1" x14ac:dyDescent="0.25">
      <c r="A20" s="4" t="s">
        <v>93</v>
      </c>
      <c r="B20" s="674" t="s">
        <v>107</v>
      </c>
      <c r="C20" s="675"/>
      <c r="D20" s="675"/>
      <c r="E20" s="676"/>
      <c r="F20" s="28"/>
      <c r="G20" s="12"/>
      <c r="H20" s="30"/>
      <c r="I20" s="31"/>
      <c r="J20" s="32"/>
      <c r="K20" s="33"/>
      <c r="L20" s="33"/>
      <c r="M20" s="33"/>
      <c r="N20" s="33"/>
      <c r="O20" s="31"/>
      <c r="P20" s="665"/>
    </row>
    <row r="21" spans="1:16" ht="19.5" customHeight="1" x14ac:dyDescent="0.25">
      <c r="A21" s="3"/>
      <c r="B21" s="677" t="s">
        <v>101</v>
      </c>
      <c r="C21" s="678"/>
      <c r="D21" s="678"/>
      <c r="E21" s="679"/>
      <c r="F21" s="28">
        <v>0.88</v>
      </c>
      <c r="G21" s="12" t="s">
        <v>103</v>
      </c>
      <c r="H21" s="30">
        <v>19925</v>
      </c>
      <c r="I21" s="31">
        <f>H21*F21</f>
        <v>17534</v>
      </c>
      <c r="J21" s="32"/>
      <c r="K21" s="33">
        <f t="shared" ref="K21:K22" si="16">L21-J21</f>
        <v>0</v>
      </c>
      <c r="L21" s="33"/>
      <c r="M21" s="33">
        <f t="shared" ref="M21:M22" si="17">+J21*H21</f>
        <v>0</v>
      </c>
      <c r="N21" s="33">
        <f t="shared" ref="N21:N22" si="18">O21-M21</f>
        <v>0</v>
      </c>
      <c r="O21" s="31">
        <f t="shared" ref="O21:O22" si="19">H21*L21</f>
        <v>0</v>
      </c>
      <c r="P21" s="665"/>
    </row>
    <row r="22" spans="1:16" s="26" customFormat="1" ht="33.75" customHeight="1" x14ac:dyDescent="0.25">
      <c r="A22" s="3"/>
      <c r="B22" s="680" t="s">
        <v>102</v>
      </c>
      <c r="C22" s="681"/>
      <c r="D22" s="681"/>
      <c r="E22" s="682"/>
      <c r="F22" s="28">
        <v>48</v>
      </c>
      <c r="G22" s="12" t="s">
        <v>1</v>
      </c>
      <c r="H22" s="30">
        <v>330</v>
      </c>
      <c r="I22" s="31">
        <f>H22*F22</f>
        <v>15840</v>
      </c>
      <c r="J22" s="32"/>
      <c r="K22" s="33">
        <f t="shared" si="16"/>
        <v>0</v>
      </c>
      <c r="L22" s="33"/>
      <c r="M22" s="33">
        <f t="shared" si="17"/>
        <v>0</v>
      </c>
      <c r="N22" s="33">
        <f t="shared" si="18"/>
        <v>0</v>
      </c>
      <c r="O22" s="31">
        <f t="shared" si="19"/>
        <v>0</v>
      </c>
      <c r="P22" s="665"/>
    </row>
    <row r="23" spans="1:16" s="26" customFormat="1" ht="24" customHeight="1" x14ac:dyDescent="0.25">
      <c r="A23" s="3" t="s">
        <v>108</v>
      </c>
      <c r="B23" s="661" t="s">
        <v>109</v>
      </c>
      <c r="C23" s="662"/>
      <c r="D23" s="662"/>
      <c r="E23" s="663"/>
      <c r="F23" s="28"/>
      <c r="G23" s="12"/>
      <c r="H23" s="30"/>
      <c r="I23" s="31"/>
      <c r="J23" s="32"/>
      <c r="K23" s="33"/>
      <c r="L23" s="33"/>
      <c r="M23" s="33"/>
      <c r="N23" s="33"/>
      <c r="O23" s="31"/>
      <c r="P23" s="665"/>
    </row>
    <row r="24" spans="1:16" ht="19.5" customHeight="1" x14ac:dyDescent="0.25">
      <c r="A24" s="3"/>
      <c r="B24" s="677" t="s">
        <v>101</v>
      </c>
      <c r="C24" s="678"/>
      <c r="D24" s="678"/>
      <c r="E24" s="679"/>
      <c r="F24" s="28">
        <v>2.65</v>
      </c>
      <c r="G24" s="12" t="s">
        <v>103</v>
      </c>
      <c r="H24" s="30">
        <v>19925</v>
      </c>
      <c r="I24" s="31">
        <f>H24*F24</f>
        <v>52801.25</v>
      </c>
      <c r="J24" s="32"/>
      <c r="K24" s="33">
        <f t="shared" ref="K24:K25" si="20">L24-J24</f>
        <v>0</v>
      </c>
      <c r="L24" s="33"/>
      <c r="M24" s="33">
        <f t="shared" ref="M24:M25" si="21">+J24*H24</f>
        <v>0</v>
      </c>
      <c r="N24" s="33">
        <f t="shared" ref="N24:N25" si="22">O24-M24</f>
        <v>0</v>
      </c>
      <c r="O24" s="31">
        <f t="shared" ref="O24:O25" si="23">H24*L24</f>
        <v>0</v>
      </c>
      <c r="P24" s="665"/>
    </row>
    <row r="25" spans="1:16" s="26" customFormat="1" ht="33.75" customHeight="1" x14ac:dyDescent="0.25">
      <c r="A25" s="3"/>
      <c r="B25" s="680" t="s">
        <v>102</v>
      </c>
      <c r="C25" s="681"/>
      <c r="D25" s="681"/>
      <c r="E25" s="682"/>
      <c r="F25" s="28">
        <v>48</v>
      </c>
      <c r="G25" s="12" t="s">
        <v>1</v>
      </c>
      <c r="H25" s="30">
        <v>330</v>
      </c>
      <c r="I25" s="31">
        <f>H25*F25</f>
        <v>15840</v>
      </c>
      <c r="J25" s="32"/>
      <c r="K25" s="33">
        <f t="shared" si="20"/>
        <v>0</v>
      </c>
      <c r="L25" s="33"/>
      <c r="M25" s="33">
        <f t="shared" si="21"/>
        <v>0</v>
      </c>
      <c r="N25" s="33">
        <f t="shared" si="22"/>
        <v>0</v>
      </c>
      <c r="O25" s="31">
        <f t="shared" si="23"/>
        <v>0</v>
      </c>
      <c r="P25" s="665"/>
    </row>
    <row r="26" spans="1:16" s="27" customFormat="1" ht="36.75" customHeight="1" x14ac:dyDescent="0.25">
      <c r="A26" s="4"/>
      <c r="B26" s="668" t="s">
        <v>110</v>
      </c>
      <c r="C26" s="669"/>
      <c r="D26" s="669"/>
      <c r="E26" s="670"/>
      <c r="F26" s="12"/>
      <c r="G26" s="21"/>
      <c r="H26" s="30"/>
      <c r="I26" s="31"/>
      <c r="J26" s="32"/>
      <c r="K26" s="33"/>
      <c r="L26" s="33"/>
      <c r="M26" s="33"/>
      <c r="N26" s="33"/>
      <c r="O26" s="31"/>
      <c r="P26" s="665"/>
    </row>
    <row r="27" spans="1:16" s="27" customFormat="1" ht="33" customHeight="1" x14ac:dyDescent="0.25">
      <c r="A27" s="4"/>
      <c r="B27" s="668"/>
      <c r="C27" s="669"/>
      <c r="D27" s="669"/>
      <c r="E27" s="670"/>
      <c r="F27" s="12"/>
      <c r="G27" s="21"/>
      <c r="H27" s="30"/>
      <c r="I27" s="31"/>
      <c r="J27" s="32"/>
      <c r="K27" s="33"/>
      <c r="L27" s="33"/>
      <c r="M27" s="33"/>
      <c r="N27" s="33"/>
      <c r="O27" s="31"/>
      <c r="P27" s="665"/>
    </row>
    <row r="28" spans="1:16" s="27" customFormat="1" x14ac:dyDescent="0.25">
      <c r="A28" s="4"/>
      <c r="B28" s="668"/>
      <c r="C28" s="669"/>
      <c r="D28" s="669"/>
      <c r="E28" s="670"/>
      <c r="F28" s="12"/>
      <c r="G28" s="12"/>
      <c r="H28" s="30"/>
      <c r="I28" s="31"/>
      <c r="J28" s="32"/>
      <c r="K28" s="33"/>
      <c r="L28" s="33"/>
      <c r="M28" s="33"/>
      <c r="N28" s="33"/>
      <c r="O28" s="31"/>
      <c r="P28" s="665"/>
    </row>
    <row r="29" spans="1:16" s="27" customFormat="1" ht="13.8" thickBot="1" x14ac:dyDescent="0.3">
      <c r="A29" s="11"/>
      <c r="B29" s="683"/>
      <c r="C29" s="684"/>
      <c r="D29" s="684"/>
      <c r="E29" s="685"/>
      <c r="F29" s="73"/>
      <c r="G29" s="74"/>
      <c r="H29" s="75"/>
      <c r="I29" s="76"/>
      <c r="J29" s="77"/>
      <c r="K29" s="78"/>
      <c r="L29" s="78"/>
      <c r="M29" s="78"/>
      <c r="N29" s="78"/>
      <c r="O29" s="76"/>
      <c r="P29" s="665"/>
    </row>
    <row r="30" spans="1:16" s="26" customFormat="1" ht="21" customHeight="1" thickTop="1" thickBot="1" x14ac:dyDescent="0.3">
      <c r="A30" s="6"/>
      <c r="B30" s="702" t="s">
        <v>86</v>
      </c>
      <c r="C30" s="703"/>
      <c r="D30" s="703"/>
      <c r="E30" s="704"/>
      <c r="F30" s="7"/>
      <c r="G30" s="7"/>
      <c r="H30" s="15"/>
      <c r="I30" s="16">
        <f>SUM(I7:I29)</f>
        <v>429331.25</v>
      </c>
      <c r="J30" s="17"/>
      <c r="K30" s="18"/>
      <c r="L30" s="18"/>
      <c r="M30" s="18">
        <f>SUM(M7:M29)</f>
        <v>0</v>
      </c>
      <c r="N30" s="18">
        <f>SUM(N7:N29)</f>
        <v>0</v>
      </c>
      <c r="O30" s="19">
        <f>SUM(O7:O29)</f>
        <v>0</v>
      </c>
      <c r="P30" s="70">
        <f>SUM(P7:P29)</f>
        <v>429331.25</v>
      </c>
    </row>
    <row r="31" spans="1:16" ht="13.8" thickTop="1" x14ac:dyDescent="0.25"/>
  </sheetData>
  <mergeCells count="33">
    <mergeCell ref="A1:I1"/>
    <mergeCell ref="A3:I3"/>
    <mergeCell ref="A4:A5"/>
    <mergeCell ref="B4:E5"/>
    <mergeCell ref="F4:F5"/>
    <mergeCell ref="G4:G5"/>
    <mergeCell ref="H4:H5"/>
    <mergeCell ref="I4:I5"/>
    <mergeCell ref="P7:P29"/>
    <mergeCell ref="B8:E8"/>
    <mergeCell ref="B9:E9"/>
    <mergeCell ref="B10:E10"/>
    <mergeCell ref="B11:E11"/>
    <mergeCell ref="B12:E12"/>
    <mergeCell ref="B18:E18"/>
    <mergeCell ref="B14:E14"/>
    <mergeCell ref="B15:E15"/>
    <mergeCell ref="B16:E16"/>
    <mergeCell ref="B17:E17"/>
    <mergeCell ref="J4:L4"/>
    <mergeCell ref="M4:O4"/>
    <mergeCell ref="B6:E6"/>
    <mergeCell ref="B7:E7"/>
    <mergeCell ref="B13:E13"/>
    <mergeCell ref="B30:E30"/>
    <mergeCell ref="B25:E25"/>
    <mergeCell ref="B26:E29"/>
    <mergeCell ref="B19:E19"/>
    <mergeCell ref="B20:E20"/>
    <mergeCell ref="B21:E21"/>
    <mergeCell ref="B22:E22"/>
    <mergeCell ref="B23:E23"/>
    <mergeCell ref="B24:E24"/>
  </mergeCells>
  <printOptions horizontalCentered="1"/>
  <pageMargins left="0.2" right="0.2" top="0.3" bottom="0.3" header="0" footer="0"/>
  <pageSetup paperSize="9" scale="53" fitToHeight="5" orientation="portrait" r:id="rId1"/>
  <headerFoot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3FCD2-C59E-49BD-8143-DFAD46919210}">
  <sheetPr>
    <tabColor theme="3" tint="0.59999389629810485"/>
  </sheetPr>
  <dimension ref="A1:P44"/>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B7" sqref="B7:E7"/>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2.8867187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33" t="s">
        <v>29</v>
      </c>
      <c r="B1" s="633"/>
      <c r="C1" s="633"/>
      <c r="D1" s="633"/>
      <c r="E1" s="633"/>
      <c r="F1" s="633"/>
      <c r="G1" s="633"/>
      <c r="H1" s="633"/>
      <c r="I1" s="633"/>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35" t="s">
        <v>128</v>
      </c>
      <c r="B3" s="635"/>
      <c r="C3" s="635"/>
      <c r="D3" s="635"/>
      <c r="E3" s="635"/>
      <c r="F3" s="635"/>
      <c r="G3" s="635"/>
      <c r="H3" s="635"/>
      <c r="I3" s="635"/>
      <c r="J3" s="20"/>
      <c r="K3" s="20"/>
      <c r="L3" s="24"/>
      <c r="M3" s="20"/>
      <c r="N3" s="20"/>
      <c r="O3" s="24"/>
    </row>
    <row r="4" spans="1:16" ht="18" customHeight="1" thickTop="1" x14ac:dyDescent="0.25">
      <c r="A4" s="636" t="s">
        <v>32</v>
      </c>
      <c r="B4" s="638" t="s">
        <v>0</v>
      </c>
      <c r="C4" s="639"/>
      <c r="D4" s="639"/>
      <c r="E4" s="640"/>
      <c r="F4" s="644" t="s">
        <v>34</v>
      </c>
      <c r="G4" s="644" t="s">
        <v>31</v>
      </c>
      <c r="H4" s="646" t="s">
        <v>36</v>
      </c>
      <c r="I4" s="648" t="s">
        <v>35</v>
      </c>
      <c r="J4" s="650" t="s">
        <v>91</v>
      </c>
      <c r="K4" s="651"/>
      <c r="L4" s="652"/>
      <c r="M4" s="653" t="s">
        <v>92</v>
      </c>
      <c r="N4" s="651"/>
      <c r="O4" s="654"/>
    </row>
    <row r="5" spans="1:16" ht="36.75" customHeight="1" x14ac:dyDescent="0.25">
      <c r="A5" s="637"/>
      <c r="B5" s="641"/>
      <c r="C5" s="642"/>
      <c r="D5" s="642"/>
      <c r="E5" s="643"/>
      <c r="F5" s="645"/>
      <c r="G5" s="645"/>
      <c r="H5" s="647"/>
      <c r="I5" s="649"/>
      <c r="J5" s="8" t="s">
        <v>87</v>
      </c>
      <c r="K5" s="9" t="s">
        <v>88</v>
      </c>
      <c r="L5" s="9" t="s">
        <v>90</v>
      </c>
      <c r="M5" s="9" t="s">
        <v>87</v>
      </c>
      <c r="N5" s="9" t="s">
        <v>88</v>
      </c>
      <c r="O5" s="10" t="s">
        <v>89</v>
      </c>
    </row>
    <row r="6" spans="1:16" x14ac:dyDescent="0.25">
      <c r="A6" s="3"/>
      <c r="B6" s="655"/>
      <c r="C6" s="656"/>
      <c r="D6" s="656"/>
      <c r="E6" s="657"/>
      <c r="F6" s="28"/>
      <c r="G6" s="29"/>
      <c r="H6" s="30"/>
      <c r="I6" s="31"/>
      <c r="J6" s="32"/>
      <c r="K6" s="33"/>
      <c r="L6" s="33"/>
      <c r="M6" s="33"/>
      <c r="N6" s="33"/>
      <c r="O6" s="31"/>
    </row>
    <row r="7" spans="1:16" ht="52.5" customHeight="1" x14ac:dyDescent="0.25">
      <c r="A7" s="4">
        <v>3</v>
      </c>
      <c r="B7" s="658" t="s">
        <v>160</v>
      </c>
      <c r="C7" s="659"/>
      <c r="D7" s="659"/>
      <c r="E7" s="660"/>
      <c r="F7" s="28"/>
      <c r="G7" s="12"/>
      <c r="H7" s="30"/>
      <c r="I7" s="31"/>
      <c r="J7" s="32"/>
      <c r="K7" s="33"/>
      <c r="L7" s="33"/>
      <c r="M7" s="33"/>
      <c r="N7" s="33"/>
      <c r="O7" s="31"/>
      <c r="P7" s="664">
        <f>SUM(I10:I42)</f>
        <v>775672.12999999989</v>
      </c>
    </row>
    <row r="8" spans="1:16" s="26" customFormat="1" ht="33" customHeight="1" x14ac:dyDescent="0.25">
      <c r="A8" s="3"/>
      <c r="B8" s="686" t="s">
        <v>112</v>
      </c>
      <c r="C8" s="687"/>
      <c r="D8" s="687"/>
      <c r="E8" s="688"/>
      <c r="F8" s="12"/>
      <c r="G8" s="21"/>
      <c r="H8" s="30"/>
      <c r="I8" s="31"/>
      <c r="J8" s="32"/>
      <c r="K8" s="33"/>
      <c r="L8" s="33"/>
      <c r="M8" s="33"/>
      <c r="N8" s="33"/>
      <c r="O8" s="31"/>
      <c r="P8" s="665"/>
    </row>
    <row r="9" spans="1:16" s="27" customFormat="1" ht="23.25" customHeight="1" x14ac:dyDescent="0.25">
      <c r="A9" s="4" t="s">
        <v>3</v>
      </c>
      <c r="B9" s="674" t="s">
        <v>113</v>
      </c>
      <c r="C9" s="675"/>
      <c r="D9" s="675"/>
      <c r="E9" s="676"/>
      <c r="F9" s="12"/>
      <c r="G9" s="21"/>
      <c r="H9" s="30"/>
      <c r="I9" s="31"/>
      <c r="J9" s="32"/>
      <c r="K9" s="33"/>
      <c r="L9" s="33"/>
      <c r="M9" s="33"/>
      <c r="N9" s="33"/>
      <c r="O9" s="31"/>
      <c r="P9" s="665"/>
    </row>
    <row r="10" spans="1:16" s="27" customFormat="1" ht="19.5" customHeight="1" x14ac:dyDescent="0.25">
      <c r="A10" s="4"/>
      <c r="B10" s="668" t="s">
        <v>114</v>
      </c>
      <c r="C10" s="669"/>
      <c r="D10" s="669"/>
      <c r="E10" s="670"/>
      <c r="F10" s="46">
        <v>3033.8141592920301</v>
      </c>
      <c r="G10" s="21" t="s">
        <v>117</v>
      </c>
      <c r="H10" s="30">
        <v>16.95</v>
      </c>
      <c r="I10" s="31">
        <f>H10*F10</f>
        <v>51423.149999999907</v>
      </c>
      <c r="J10" s="32"/>
      <c r="K10" s="33">
        <f t="shared" ref="K10:K11" si="0">L10-J10</f>
        <v>0</v>
      </c>
      <c r="L10" s="33"/>
      <c r="M10" s="33">
        <f>+J10*H10</f>
        <v>0</v>
      </c>
      <c r="N10" s="33">
        <f>O10-M10</f>
        <v>0</v>
      </c>
      <c r="O10" s="31">
        <f t="shared" ref="O10:O12" si="1">H10*L10</f>
        <v>0</v>
      </c>
      <c r="P10" s="665"/>
    </row>
    <row r="11" spans="1:16" s="27" customFormat="1" ht="19.5" customHeight="1" x14ac:dyDescent="0.25">
      <c r="A11" s="4"/>
      <c r="B11" s="668" t="s">
        <v>115</v>
      </c>
      <c r="C11" s="669"/>
      <c r="D11" s="669"/>
      <c r="E11" s="670"/>
      <c r="F11" s="46">
        <v>54.825022222222202</v>
      </c>
      <c r="G11" s="21" t="s">
        <v>5</v>
      </c>
      <c r="H11" s="30">
        <v>225</v>
      </c>
      <c r="I11" s="31">
        <f>H11*F11</f>
        <v>12335.629999999996</v>
      </c>
      <c r="J11" s="32"/>
      <c r="K11" s="33">
        <f t="shared" si="0"/>
        <v>0</v>
      </c>
      <c r="L11" s="33"/>
      <c r="M11" s="33">
        <f t="shared" ref="M11:M12" si="2">+J11*H11</f>
        <v>0</v>
      </c>
      <c r="N11" s="33">
        <f t="shared" ref="N11:N12" si="3">O11-M11</f>
        <v>0</v>
      </c>
      <c r="O11" s="31">
        <f t="shared" si="1"/>
        <v>0</v>
      </c>
      <c r="P11" s="665"/>
    </row>
    <row r="12" spans="1:16" s="27" customFormat="1" ht="27.75" customHeight="1" x14ac:dyDescent="0.25">
      <c r="A12" s="4"/>
      <c r="B12" s="668" t="s">
        <v>116</v>
      </c>
      <c r="C12" s="669"/>
      <c r="D12" s="669"/>
      <c r="E12" s="670"/>
      <c r="F12" s="46">
        <v>67.051842105263106</v>
      </c>
      <c r="G12" s="21" t="s">
        <v>5</v>
      </c>
      <c r="H12" s="30">
        <v>380</v>
      </c>
      <c r="I12" s="31">
        <f>H12*F12</f>
        <v>25479.699999999979</v>
      </c>
      <c r="J12" s="32"/>
      <c r="K12" s="33">
        <f>L12-J12</f>
        <v>0</v>
      </c>
      <c r="L12" s="33"/>
      <c r="M12" s="33">
        <f t="shared" si="2"/>
        <v>0</v>
      </c>
      <c r="N12" s="33">
        <f t="shared" si="3"/>
        <v>0</v>
      </c>
      <c r="O12" s="31">
        <f t="shared" si="1"/>
        <v>0</v>
      </c>
      <c r="P12" s="665"/>
    </row>
    <row r="13" spans="1:16" s="27" customFormat="1" ht="23.25" customHeight="1" x14ac:dyDescent="0.25">
      <c r="A13" s="4" t="s">
        <v>15</v>
      </c>
      <c r="B13" s="674" t="s">
        <v>118</v>
      </c>
      <c r="C13" s="675"/>
      <c r="D13" s="675"/>
      <c r="E13" s="676"/>
      <c r="F13" s="46"/>
      <c r="G13" s="21"/>
      <c r="H13" s="30"/>
      <c r="I13" s="31"/>
      <c r="J13" s="32"/>
      <c r="K13" s="33"/>
      <c r="L13" s="33"/>
      <c r="M13" s="33"/>
      <c r="N13" s="33"/>
      <c r="O13" s="31"/>
      <c r="P13" s="665"/>
    </row>
    <row r="14" spans="1:16" s="27" customFormat="1" ht="19.5" customHeight="1" x14ac:dyDescent="0.25">
      <c r="A14" s="4"/>
      <c r="B14" s="668" t="s">
        <v>114</v>
      </c>
      <c r="C14" s="669"/>
      <c r="D14" s="669"/>
      <c r="E14" s="670"/>
      <c r="F14" s="46">
        <v>2708.5669616519099</v>
      </c>
      <c r="G14" s="21" t="s">
        <v>117</v>
      </c>
      <c r="H14" s="30">
        <v>16.95</v>
      </c>
      <c r="I14" s="31">
        <f>H14*F14</f>
        <v>45910.209999999868</v>
      </c>
      <c r="J14" s="32"/>
      <c r="K14" s="33">
        <f t="shared" ref="K14:K15" si="4">L14-J14</f>
        <v>0</v>
      </c>
      <c r="L14" s="33"/>
      <c r="M14" s="33">
        <f t="shared" ref="M14:M16" si="5">+J14*H14</f>
        <v>0</v>
      </c>
      <c r="N14" s="33">
        <f t="shared" ref="N14:N16" si="6">O14-M14</f>
        <v>0</v>
      </c>
      <c r="O14" s="31">
        <f t="shared" ref="O14:O16" si="7">H14*L14</f>
        <v>0</v>
      </c>
      <c r="P14" s="665"/>
    </row>
    <row r="15" spans="1:16" s="27" customFormat="1" ht="19.5" customHeight="1" x14ac:dyDescent="0.25">
      <c r="A15" s="4"/>
      <c r="B15" s="668" t="s">
        <v>115</v>
      </c>
      <c r="C15" s="669"/>
      <c r="D15" s="669"/>
      <c r="E15" s="670"/>
      <c r="F15" s="46">
        <v>59.125022222222199</v>
      </c>
      <c r="G15" s="21" t="s">
        <v>5</v>
      </c>
      <c r="H15" s="30">
        <v>225</v>
      </c>
      <c r="I15" s="31">
        <f>H15*F15</f>
        <v>13303.129999999996</v>
      </c>
      <c r="J15" s="32"/>
      <c r="K15" s="33">
        <f t="shared" si="4"/>
        <v>0</v>
      </c>
      <c r="L15" s="33"/>
      <c r="M15" s="33">
        <f t="shared" si="5"/>
        <v>0</v>
      </c>
      <c r="N15" s="33">
        <f t="shared" si="6"/>
        <v>0</v>
      </c>
      <c r="O15" s="31">
        <f t="shared" si="7"/>
        <v>0</v>
      </c>
      <c r="P15" s="665"/>
    </row>
    <row r="16" spans="1:16" s="27" customFormat="1" ht="27.75" customHeight="1" x14ac:dyDescent="0.25">
      <c r="A16" s="4"/>
      <c r="B16" s="668" t="s">
        <v>116</v>
      </c>
      <c r="C16" s="669"/>
      <c r="D16" s="669"/>
      <c r="E16" s="670"/>
      <c r="F16" s="46">
        <v>59.853684210526303</v>
      </c>
      <c r="G16" s="21" t="s">
        <v>5</v>
      </c>
      <c r="H16" s="30">
        <v>380</v>
      </c>
      <c r="I16" s="31">
        <f>H16*F16</f>
        <v>22744.399999999994</v>
      </c>
      <c r="J16" s="32"/>
      <c r="K16" s="33">
        <f>L16-J16</f>
        <v>0</v>
      </c>
      <c r="L16" s="33"/>
      <c r="M16" s="33">
        <f t="shared" si="5"/>
        <v>0</v>
      </c>
      <c r="N16" s="33">
        <f t="shared" si="6"/>
        <v>0</v>
      </c>
      <c r="O16" s="31">
        <f t="shared" si="7"/>
        <v>0</v>
      </c>
      <c r="P16" s="665"/>
    </row>
    <row r="17" spans="1:16" s="27" customFormat="1" ht="23.25" customHeight="1" x14ac:dyDescent="0.25">
      <c r="A17" s="4" t="s">
        <v>18</v>
      </c>
      <c r="B17" s="674" t="s">
        <v>119</v>
      </c>
      <c r="C17" s="675"/>
      <c r="D17" s="675"/>
      <c r="E17" s="676"/>
      <c r="F17" s="46"/>
      <c r="G17" s="21"/>
      <c r="H17" s="30"/>
      <c r="I17" s="31"/>
      <c r="J17" s="32"/>
      <c r="K17" s="33"/>
      <c r="L17" s="33"/>
      <c r="M17" s="33"/>
      <c r="N17" s="33"/>
      <c r="O17" s="31"/>
      <c r="P17" s="665"/>
    </row>
    <row r="18" spans="1:16" s="27" customFormat="1" ht="19.5" customHeight="1" x14ac:dyDescent="0.25">
      <c r="A18" s="4"/>
      <c r="B18" s="668" t="s">
        <v>114</v>
      </c>
      <c r="C18" s="669"/>
      <c r="D18" s="669"/>
      <c r="E18" s="670"/>
      <c r="F18" s="46">
        <v>6708</v>
      </c>
      <c r="G18" s="21" t="s">
        <v>117</v>
      </c>
      <c r="H18" s="30">
        <v>16.95</v>
      </c>
      <c r="I18" s="31">
        <f>H18*F18</f>
        <v>113700.59999999999</v>
      </c>
      <c r="J18" s="32"/>
      <c r="K18" s="33">
        <f t="shared" ref="K18:K19" si="8">L18-J18</f>
        <v>0</v>
      </c>
      <c r="L18" s="33"/>
      <c r="M18" s="33">
        <f t="shared" ref="M18:M20" si="9">+J18*H18</f>
        <v>0</v>
      </c>
      <c r="N18" s="33">
        <f t="shared" ref="N18:N20" si="10">O18-M18</f>
        <v>0</v>
      </c>
      <c r="O18" s="31">
        <f t="shared" ref="O18:O20" si="11">H18*L18</f>
        <v>0</v>
      </c>
      <c r="P18" s="665"/>
    </row>
    <row r="19" spans="1:16" s="27" customFormat="1" ht="19.5" customHeight="1" x14ac:dyDescent="0.25">
      <c r="A19" s="4"/>
      <c r="B19" s="668" t="s">
        <v>115</v>
      </c>
      <c r="C19" s="669"/>
      <c r="D19" s="669"/>
      <c r="E19" s="670"/>
      <c r="F19" s="46">
        <v>133.77000000000001</v>
      </c>
      <c r="G19" s="21" t="s">
        <v>5</v>
      </c>
      <c r="H19" s="30">
        <v>225</v>
      </c>
      <c r="I19" s="31">
        <f>H19*F19</f>
        <v>30098.250000000004</v>
      </c>
      <c r="J19" s="32"/>
      <c r="K19" s="33">
        <f t="shared" si="8"/>
        <v>0</v>
      </c>
      <c r="L19" s="33"/>
      <c r="M19" s="33">
        <f t="shared" si="9"/>
        <v>0</v>
      </c>
      <c r="N19" s="33">
        <f t="shared" si="10"/>
        <v>0</v>
      </c>
      <c r="O19" s="31">
        <f t="shared" si="11"/>
        <v>0</v>
      </c>
      <c r="P19" s="665"/>
    </row>
    <row r="20" spans="1:16" s="27" customFormat="1" ht="27.75" customHeight="1" x14ac:dyDescent="0.25">
      <c r="A20" s="4"/>
      <c r="B20" s="668" t="s">
        <v>116</v>
      </c>
      <c r="C20" s="669"/>
      <c r="D20" s="669"/>
      <c r="E20" s="670"/>
      <c r="F20" s="46">
        <v>118.82</v>
      </c>
      <c r="G20" s="21" t="s">
        <v>5</v>
      </c>
      <c r="H20" s="30">
        <v>380</v>
      </c>
      <c r="I20" s="31">
        <f>H20*F20</f>
        <v>45151.6</v>
      </c>
      <c r="J20" s="32"/>
      <c r="K20" s="33">
        <f>L20-J20</f>
        <v>0</v>
      </c>
      <c r="L20" s="33"/>
      <c r="M20" s="33">
        <f t="shared" si="9"/>
        <v>0</v>
      </c>
      <c r="N20" s="33">
        <f t="shared" si="10"/>
        <v>0</v>
      </c>
      <c r="O20" s="31">
        <f t="shared" si="11"/>
        <v>0</v>
      </c>
      <c r="P20" s="665"/>
    </row>
    <row r="21" spans="1:16" s="27" customFormat="1" ht="23.25" customHeight="1" x14ac:dyDescent="0.25">
      <c r="A21" s="4" t="s">
        <v>47</v>
      </c>
      <c r="B21" s="674" t="s">
        <v>120</v>
      </c>
      <c r="C21" s="675"/>
      <c r="D21" s="675"/>
      <c r="E21" s="676"/>
      <c r="F21" s="46"/>
      <c r="G21" s="21"/>
      <c r="H21" s="30"/>
      <c r="I21" s="31"/>
      <c r="J21" s="32"/>
      <c r="K21" s="33"/>
      <c r="L21" s="33"/>
      <c r="M21" s="33"/>
      <c r="N21" s="33"/>
      <c r="O21" s="31"/>
      <c r="P21" s="665"/>
    </row>
    <row r="22" spans="1:16" s="27" customFormat="1" ht="19.5" customHeight="1" x14ac:dyDescent="0.25">
      <c r="A22" s="4"/>
      <c r="B22" s="668" t="s">
        <v>114</v>
      </c>
      <c r="C22" s="669"/>
      <c r="D22" s="669"/>
      <c r="E22" s="670"/>
      <c r="F22" s="46">
        <v>4472</v>
      </c>
      <c r="G22" s="21" t="s">
        <v>117</v>
      </c>
      <c r="H22" s="30">
        <v>16.95</v>
      </c>
      <c r="I22" s="31">
        <f>H22*F22</f>
        <v>75800.399999999994</v>
      </c>
      <c r="J22" s="32"/>
      <c r="K22" s="33">
        <f t="shared" ref="K22:K23" si="12">L22-J22</f>
        <v>0</v>
      </c>
      <c r="L22" s="33"/>
      <c r="M22" s="33">
        <f t="shared" ref="M22:M25" si="13">+J22*H22</f>
        <v>0</v>
      </c>
      <c r="N22" s="33">
        <f t="shared" ref="N22:N25" si="14">O22-M22</f>
        <v>0</v>
      </c>
      <c r="O22" s="31">
        <f t="shared" ref="O22:O25" si="15">H22*L22</f>
        <v>0</v>
      </c>
      <c r="P22" s="665"/>
    </row>
    <row r="23" spans="1:16" s="27" customFormat="1" ht="19.5" customHeight="1" x14ac:dyDescent="0.25">
      <c r="A23" s="4"/>
      <c r="B23" s="668" t="s">
        <v>115</v>
      </c>
      <c r="C23" s="669"/>
      <c r="D23" s="669"/>
      <c r="E23" s="670"/>
      <c r="F23" s="46">
        <v>116.7</v>
      </c>
      <c r="G23" s="21" t="s">
        <v>5</v>
      </c>
      <c r="H23" s="30">
        <v>225</v>
      </c>
      <c r="I23" s="31">
        <f>H23*F23</f>
        <v>26257.5</v>
      </c>
      <c r="J23" s="32"/>
      <c r="K23" s="33">
        <f t="shared" si="12"/>
        <v>0</v>
      </c>
      <c r="L23" s="33"/>
      <c r="M23" s="33">
        <f t="shared" si="13"/>
        <v>0</v>
      </c>
      <c r="N23" s="33">
        <f t="shared" si="14"/>
        <v>0</v>
      </c>
      <c r="O23" s="31">
        <f t="shared" si="15"/>
        <v>0</v>
      </c>
      <c r="P23" s="665"/>
    </row>
    <row r="24" spans="1:16" s="27" customFormat="1" ht="27.75" customHeight="1" x14ac:dyDescent="0.25">
      <c r="A24" s="4"/>
      <c r="B24" s="668" t="s">
        <v>116</v>
      </c>
      <c r="C24" s="669"/>
      <c r="D24" s="669"/>
      <c r="E24" s="670"/>
      <c r="F24" s="46">
        <v>147.96</v>
      </c>
      <c r="G24" s="21" t="s">
        <v>5</v>
      </c>
      <c r="H24" s="30">
        <v>380</v>
      </c>
      <c r="I24" s="31">
        <f>H24*F24</f>
        <v>56224.800000000003</v>
      </c>
      <c r="J24" s="32"/>
      <c r="K24" s="33">
        <f>L24-J24</f>
        <v>0</v>
      </c>
      <c r="L24" s="33"/>
      <c r="M24" s="33">
        <f t="shared" si="13"/>
        <v>0</v>
      </c>
      <c r="N24" s="33">
        <f t="shared" si="14"/>
        <v>0</v>
      </c>
      <c r="O24" s="31">
        <f t="shared" si="15"/>
        <v>0</v>
      </c>
      <c r="P24" s="665"/>
    </row>
    <row r="25" spans="1:16" s="27" customFormat="1" ht="27.75" customHeight="1" x14ac:dyDescent="0.25">
      <c r="A25" s="4"/>
      <c r="B25" s="686" t="s">
        <v>121</v>
      </c>
      <c r="C25" s="687"/>
      <c r="D25" s="687"/>
      <c r="E25" s="688"/>
      <c r="F25" s="12"/>
      <c r="G25" s="12"/>
      <c r="H25" s="30"/>
      <c r="I25" s="31"/>
      <c r="J25" s="32"/>
      <c r="K25" s="33">
        <f t="shared" ref="K25" si="16">L25-J25</f>
        <v>0</v>
      </c>
      <c r="L25" s="33"/>
      <c r="M25" s="33">
        <f t="shared" si="13"/>
        <v>0</v>
      </c>
      <c r="N25" s="33">
        <f t="shared" si="14"/>
        <v>0</v>
      </c>
      <c r="O25" s="31">
        <f t="shared" si="15"/>
        <v>0</v>
      </c>
      <c r="P25" s="665"/>
    </row>
    <row r="26" spans="1:16" s="27" customFormat="1" ht="23.25" customHeight="1" x14ac:dyDescent="0.25">
      <c r="A26" s="4" t="s">
        <v>93</v>
      </c>
      <c r="B26" s="674" t="s">
        <v>122</v>
      </c>
      <c r="C26" s="675"/>
      <c r="D26" s="675"/>
      <c r="E26" s="676"/>
      <c r="F26" s="46"/>
      <c r="G26" s="21"/>
      <c r="H26" s="30"/>
      <c r="I26" s="31"/>
      <c r="J26" s="32"/>
      <c r="K26" s="33"/>
      <c r="L26" s="33"/>
      <c r="M26" s="33"/>
      <c r="N26" s="33"/>
      <c r="O26" s="31"/>
      <c r="P26" s="665"/>
    </row>
    <row r="27" spans="1:16" s="27" customFormat="1" ht="19.5" customHeight="1" x14ac:dyDescent="0.25">
      <c r="A27" s="4"/>
      <c r="B27" s="668" t="s">
        <v>114</v>
      </c>
      <c r="C27" s="669"/>
      <c r="D27" s="669"/>
      <c r="E27" s="670"/>
      <c r="F27" s="46">
        <v>2236.4601769911501</v>
      </c>
      <c r="G27" s="21" t="s">
        <v>117</v>
      </c>
      <c r="H27" s="30">
        <v>16.95</v>
      </c>
      <c r="I27" s="31">
        <f>H27*F27</f>
        <v>37907.999999999993</v>
      </c>
      <c r="J27" s="32"/>
      <c r="K27" s="33">
        <f t="shared" ref="K27:K28" si="17">L27-J27</f>
        <v>0</v>
      </c>
      <c r="L27" s="33"/>
      <c r="M27" s="33">
        <f t="shared" ref="M27:M29" si="18">+J27*H27</f>
        <v>0</v>
      </c>
      <c r="N27" s="33">
        <f t="shared" ref="N27:N29" si="19">O27-M27</f>
        <v>0</v>
      </c>
      <c r="O27" s="31">
        <f t="shared" ref="O27:O29" si="20">H27*L27</f>
        <v>0</v>
      </c>
      <c r="P27" s="665"/>
    </row>
    <row r="28" spans="1:16" s="27" customFormat="1" ht="19.5" customHeight="1" x14ac:dyDescent="0.25">
      <c r="A28" s="4"/>
      <c r="B28" s="668" t="s">
        <v>115</v>
      </c>
      <c r="C28" s="669"/>
      <c r="D28" s="669"/>
      <c r="E28" s="670"/>
      <c r="F28" s="46">
        <v>35.853022222222201</v>
      </c>
      <c r="G28" s="21" t="s">
        <v>5</v>
      </c>
      <c r="H28" s="30">
        <v>225</v>
      </c>
      <c r="I28" s="31">
        <f>H28*F28</f>
        <v>8066.9299999999948</v>
      </c>
      <c r="J28" s="32"/>
      <c r="K28" s="33">
        <f t="shared" si="17"/>
        <v>0</v>
      </c>
      <c r="L28" s="33"/>
      <c r="M28" s="33">
        <f t="shared" si="18"/>
        <v>0</v>
      </c>
      <c r="N28" s="33">
        <f t="shared" si="19"/>
        <v>0</v>
      </c>
      <c r="O28" s="31">
        <f t="shared" si="20"/>
        <v>0</v>
      </c>
      <c r="P28" s="665"/>
    </row>
    <row r="29" spans="1:16" s="27" customFormat="1" ht="27.75" customHeight="1" x14ac:dyDescent="0.25">
      <c r="A29" s="4"/>
      <c r="B29" s="668" t="s">
        <v>116</v>
      </c>
      <c r="C29" s="669"/>
      <c r="D29" s="669"/>
      <c r="E29" s="670"/>
      <c r="F29" s="46">
        <v>48.252000000000002</v>
      </c>
      <c r="G29" s="21" t="s">
        <v>5</v>
      </c>
      <c r="H29" s="30">
        <v>380</v>
      </c>
      <c r="I29" s="31">
        <f>H29*F29</f>
        <v>18335.760000000002</v>
      </c>
      <c r="J29" s="32"/>
      <c r="K29" s="33">
        <f>L29-J29</f>
        <v>0</v>
      </c>
      <c r="L29" s="33"/>
      <c r="M29" s="33">
        <f t="shared" si="18"/>
        <v>0</v>
      </c>
      <c r="N29" s="33">
        <f t="shared" si="19"/>
        <v>0</v>
      </c>
      <c r="O29" s="31">
        <f t="shared" si="20"/>
        <v>0</v>
      </c>
      <c r="P29" s="665"/>
    </row>
    <row r="30" spans="1:16" s="27" customFormat="1" ht="23.25" customHeight="1" x14ac:dyDescent="0.25">
      <c r="A30" s="4" t="s">
        <v>108</v>
      </c>
      <c r="B30" s="674" t="s">
        <v>123</v>
      </c>
      <c r="C30" s="675"/>
      <c r="D30" s="675"/>
      <c r="E30" s="676"/>
      <c r="F30" s="46"/>
      <c r="G30" s="21"/>
      <c r="H30" s="30"/>
      <c r="I30" s="31"/>
      <c r="J30" s="32"/>
      <c r="K30" s="33"/>
      <c r="L30" s="33"/>
      <c r="M30" s="33"/>
      <c r="N30" s="33"/>
      <c r="O30" s="31"/>
      <c r="P30" s="665"/>
    </row>
    <row r="31" spans="1:16" s="27" customFormat="1" ht="19.5" customHeight="1" x14ac:dyDescent="0.25">
      <c r="A31" s="4"/>
      <c r="B31" s="668" t="s">
        <v>114</v>
      </c>
      <c r="C31" s="669"/>
      <c r="D31" s="669"/>
      <c r="E31" s="670"/>
      <c r="F31" s="46">
        <v>2236.4601769911501</v>
      </c>
      <c r="G31" s="21" t="s">
        <v>117</v>
      </c>
      <c r="H31" s="30">
        <v>16.95</v>
      </c>
      <c r="I31" s="31">
        <f>H31*F31</f>
        <v>37907.999999999993</v>
      </c>
      <c r="J31" s="32"/>
      <c r="K31" s="33">
        <f t="shared" ref="K31:K32" si="21">L31-J31</f>
        <v>0</v>
      </c>
      <c r="L31" s="33"/>
      <c r="M31" s="33">
        <f t="shared" ref="M31:M33" si="22">+J31*H31</f>
        <v>0</v>
      </c>
      <c r="N31" s="33">
        <f t="shared" ref="N31:N33" si="23">O31-M31</f>
        <v>0</v>
      </c>
      <c r="O31" s="31">
        <f t="shared" ref="O31:O33" si="24">H31*L31</f>
        <v>0</v>
      </c>
      <c r="P31" s="665"/>
    </row>
    <row r="32" spans="1:16" s="27" customFormat="1" ht="19.5" customHeight="1" x14ac:dyDescent="0.25">
      <c r="A32" s="4"/>
      <c r="B32" s="668" t="s">
        <v>115</v>
      </c>
      <c r="C32" s="669"/>
      <c r="D32" s="669"/>
      <c r="E32" s="670"/>
      <c r="F32" s="46">
        <v>35.853022222222201</v>
      </c>
      <c r="G32" s="21" t="s">
        <v>5</v>
      </c>
      <c r="H32" s="30">
        <v>225</v>
      </c>
      <c r="I32" s="31">
        <f>H32*F32</f>
        <v>8066.9299999999948</v>
      </c>
      <c r="J32" s="32"/>
      <c r="K32" s="33">
        <f t="shared" si="21"/>
        <v>0</v>
      </c>
      <c r="L32" s="33"/>
      <c r="M32" s="33">
        <f t="shared" si="22"/>
        <v>0</v>
      </c>
      <c r="N32" s="33">
        <f t="shared" si="23"/>
        <v>0</v>
      </c>
      <c r="O32" s="31">
        <f t="shared" si="24"/>
        <v>0</v>
      </c>
      <c r="P32" s="665"/>
    </row>
    <row r="33" spans="1:16" s="27" customFormat="1" ht="27.75" customHeight="1" x14ac:dyDescent="0.25">
      <c r="A33" s="4"/>
      <c r="B33" s="668" t="s">
        <v>116</v>
      </c>
      <c r="C33" s="669"/>
      <c r="D33" s="669"/>
      <c r="E33" s="670"/>
      <c r="F33" s="46">
        <v>48.252000000000002</v>
      </c>
      <c r="G33" s="21" t="s">
        <v>5</v>
      </c>
      <c r="H33" s="30">
        <v>380</v>
      </c>
      <c r="I33" s="31">
        <f>H33*F33</f>
        <v>18335.760000000002</v>
      </c>
      <c r="J33" s="32"/>
      <c r="K33" s="33">
        <f>L33-J33</f>
        <v>0</v>
      </c>
      <c r="L33" s="33"/>
      <c r="M33" s="33">
        <f t="shared" si="22"/>
        <v>0</v>
      </c>
      <c r="N33" s="33">
        <f t="shared" si="23"/>
        <v>0</v>
      </c>
      <c r="O33" s="31">
        <f t="shared" si="24"/>
        <v>0</v>
      </c>
      <c r="P33" s="665"/>
    </row>
    <row r="34" spans="1:16" s="27" customFormat="1" ht="23.25" customHeight="1" x14ac:dyDescent="0.25">
      <c r="A34" s="4" t="s">
        <v>124</v>
      </c>
      <c r="B34" s="674" t="s">
        <v>125</v>
      </c>
      <c r="C34" s="675"/>
      <c r="D34" s="675"/>
      <c r="E34" s="676"/>
      <c r="F34" s="46"/>
      <c r="G34" s="21"/>
      <c r="H34" s="30"/>
      <c r="I34" s="31"/>
      <c r="J34" s="32"/>
      <c r="K34" s="33"/>
      <c r="L34" s="33"/>
      <c r="M34" s="33"/>
      <c r="N34" s="33"/>
      <c r="O34" s="31"/>
      <c r="P34" s="665"/>
    </row>
    <row r="35" spans="1:16" s="27" customFormat="1" ht="19.5" customHeight="1" x14ac:dyDescent="0.25">
      <c r="A35" s="4"/>
      <c r="B35" s="668" t="s">
        <v>114</v>
      </c>
      <c r="C35" s="669"/>
      <c r="D35" s="669"/>
      <c r="E35" s="670"/>
      <c r="F35" s="46">
        <v>2236.4601769911501</v>
      </c>
      <c r="G35" s="21" t="s">
        <v>117</v>
      </c>
      <c r="H35" s="30">
        <v>16.95</v>
      </c>
      <c r="I35" s="31">
        <f>H35*F35</f>
        <v>37907.999999999993</v>
      </c>
      <c r="J35" s="32"/>
      <c r="K35" s="33">
        <f t="shared" ref="K35:K36" si="25">L35-J35</f>
        <v>0</v>
      </c>
      <c r="L35" s="33"/>
      <c r="M35" s="33">
        <f t="shared" ref="M35:M37" si="26">+J35*H35</f>
        <v>0</v>
      </c>
      <c r="N35" s="33">
        <f t="shared" ref="N35:N37" si="27">O35-M35</f>
        <v>0</v>
      </c>
      <c r="O35" s="31">
        <f t="shared" ref="O35:O37" si="28">H35*L35</f>
        <v>0</v>
      </c>
      <c r="P35" s="665"/>
    </row>
    <row r="36" spans="1:16" s="27" customFormat="1" ht="19.5" customHeight="1" x14ac:dyDescent="0.25">
      <c r="A36" s="4"/>
      <c r="B36" s="668" t="s">
        <v>115</v>
      </c>
      <c r="C36" s="669"/>
      <c r="D36" s="669"/>
      <c r="E36" s="670"/>
      <c r="F36" s="46">
        <v>35.853022222222201</v>
      </c>
      <c r="G36" s="21" t="s">
        <v>5</v>
      </c>
      <c r="H36" s="30">
        <v>225</v>
      </c>
      <c r="I36" s="31">
        <f>H36*F36</f>
        <v>8066.9299999999948</v>
      </c>
      <c r="J36" s="32"/>
      <c r="K36" s="33">
        <f t="shared" si="25"/>
        <v>0</v>
      </c>
      <c r="L36" s="33"/>
      <c r="M36" s="33">
        <f t="shared" si="26"/>
        <v>0</v>
      </c>
      <c r="N36" s="33">
        <f t="shared" si="27"/>
        <v>0</v>
      </c>
      <c r="O36" s="31">
        <f t="shared" si="28"/>
        <v>0</v>
      </c>
      <c r="P36" s="665"/>
    </row>
    <row r="37" spans="1:16" s="27" customFormat="1" ht="27.75" customHeight="1" x14ac:dyDescent="0.25">
      <c r="A37" s="4"/>
      <c r="B37" s="668" t="s">
        <v>116</v>
      </c>
      <c r="C37" s="669"/>
      <c r="D37" s="669"/>
      <c r="E37" s="670"/>
      <c r="F37" s="46">
        <v>48.252000000000002</v>
      </c>
      <c r="G37" s="21" t="s">
        <v>5</v>
      </c>
      <c r="H37" s="30">
        <v>380</v>
      </c>
      <c r="I37" s="31">
        <f>H37*F37</f>
        <v>18335.760000000002</v>
      </c>
      <c r="J37" s="32"/>
      <c r="K37" s="33">
        <f>L37-J37</f>
        <v>0</v>
      </c>
      <c r="L37" s="33"/>
      <c r="M37" s="33">
        <f t="shared" si="26"/>
        <v>0</v>
      </c>
      <c r="N37" s="33">
        <f t="shared" si="27"/>
        <v>0</v>
      </c>
      <c r="O37" s="31">
        <f t="shared" si="28"/>
        <v>0</v>
      </c>
      <c r="P37" s="665"/>
    </row>
    <row r="38" spans="1:16" s="27" customFormat="1" ht="23.25" customHeight="1" x14ac:dyDescent="0.25">
      <c r="A38" s="4" t="s">
        <v>126</v>
      </c>
      <c r="B38" s="674" t="s">
        <v>127</v>
      </c>
      <c r="C38" s="675"/>
      <c r="D38" s="675"/>
      <c r="E38" s="676"/>
      <c r="F38" s="46"/>
      <c r="G38" s="21"/>
      <c r="H38" s="30"/>
      <c r="I38" s="31"/>
      <c r="J38" s="32"/>
      <c r="K38" s="33"/>
      <c r="L38" s="33"/>
      <c r="M38" s="33"/>
      <c r="N38" s="33"/>
      <c r="O38" s="31"/>
      <c r="P38" s="665"/>
    </row>
    <row r="39" spans="1:16" s="27" customFormat="1" ht="19.5" customHeight="1" x14ac:dyDescent="0.25">
      <c r="A39" s="4"/>
      <c r="B39" s="668" t="s">
        <v>114</v>
      </c>
      <c r="C39" s="669"/>
      <c r="D39" s="669"/>
      <c r="E39" s="670"/>
      <c r="F39" s="46">
        <v>2236.4601769911501</v>
      </c>
      <c r="G39" s="21" t="s">
        <v>117</v>
      </c>
      <c r="H39" s="30">
        <v>16.95</v>
      </c>
      <c r="I39" s="31">
        <f>H39*F39</f>
        <v>37907.999999999993</v>
      </c>
      <c r="J39" s="32"/>
      <c r="K39" s="33">
        <f t="shared" ref="K39:K40" si="29">L39-J39</f>
        <v>0</v>
      </c>
      <c r="L39" s="33"/>
      <c r="M39" s="33">
        <f t="shared" ref="M39:M41" si="30">+J39*H39</f>
        <v>0</v>
      </c>
      <c r="N39" s="33">
        <f t="shared" ref="N39:N41" si="31">O39-M39</f>
        <v>0</v>
      </c>
      <c r="O39" s="31">
        <f t="shared" ref="O39:O41" si="32">H39*L39</f>
        <v>0</v>
      </c>
      <c r="P39" s="665"/>
    </row>
    <row r="40" spans="1:16" s="27" customFormat="1" ht="19.5" customHeight="1" x14ac:dyDescent="0.25">
      <c r="A40" s="4"/>
      <c r="B40" s="668" t="s">
        <v>115</v>
      </c>
      <c r="C40" s="669"/>
      <c r="D40" s="669"/>
      <c r="E40" s="670"/>
      <c r="F40" s="46">
        <v>35.853022222222201</v>
      </c>
      <c r="G40" s="21" t="s">
        <v>5</v>
      </c>
      <c r="H40" s="30">
        <v>225</v>
      </c>
      <c r="I40" s="31">
        <f>H40*F40</f>
        <v>8066.9299999999948</v>
      </c>
      <c r="J40" s="32"/>
      <c r="K40" s="33">
        <f t="shared" si="29"/>
        <v>0</v>
      </c>
      <c r="L40" s="33"/>
      <c r="M40" s="33">
        <f t="shared" si="30"/>
        <v>0</v>
      </c>
      <c r="N40" s="33">
        <f t="shared" si="31"/>
        <v>0</v>
      </c>
      <c r="O40" s="31">
        <f t="shared" si="32"/>
        <v>0</v>
      </c>
      <c r="P40" s="665"/>
    </row>
    <row r="41" spans="1:16" s="27" customFormat="1" ht="27.75" customHeight="1" x14ac:dyDescent="0.25">
      <c r="A41" s="4"/>
      <c r="B41" s="668" t="s">
        <v>116</v>
      </c>
      <c r="C41" s="669"/>
      <c r="D41" s="669"/>
      <c r="E41" s="670"/>
      <c r="F41" s="46">
        <v>48.252000000000002</v>
      </c>
      <c r="G41" s="21" t="s">
        <v>5</v>
      </c>
      <c r="H41" s="30">
        <v>380</v>
      </c>
      <c r="I41" s="31">
        <f>H41*F41</f>
        <v>18335.760000000002</v>
      </c>
      <c r="J41" s="32"/>
      <c r="K41" s="33">
        <f>L41-J41</f>
        <v>0</v>
      </c>
      <c r="L41" s="33"/>
      <c r="M41" s="33">
        <f t="shared" si="30"/>
        <v>0</v>
      </c>
      <c r="N41" s="33">
        <f t="shared" si="31"/>
        <v>0</v>
      </c>
      <c r="O41" s="31">
        <f t="shared" si="32"/>
        <v>0</v>
      </c>
      <c r="P41" s="665"/>
    </row>
    <row r="42" spans="1:16" s="68" customFormat="1" ht="12.75" customHeight="1" x14ac:dyDescent="0.25">
      <c r="A42" s="57"/>
      <c r="B42" s="79"/>
      <c r="C42" s="80"/>
      <c r="D42" s="80"/>
      <c r="E42" s="81"/>
      <c r="F42" s="82"/>
      <c r="G42" s="83"/>
      <c r="H42" s="84"/>
      <c r="I42" s="85"/>
      <c r="J42" s="86"/>
      <c r="K42" s="87"/>
      <c r="L42" s="87"/>
      <c r="M42" s="87"/>
      <c r="N42" s="87"/>
      <c r="O42" s="85"/>
      <c r="P42" s="665"/>
    </row>
    <row r="43" spans="1:16" s="26" customFormat="1" ht="21" customHeight="1" thickBot="1" x14ac:dyDescent="0.3">
      <c r="A43" s="6"/>
      <c r="B43" s="702" t="s">
        <v>86</v>
      </c>
      <c r="C43" s="703"/>
      <c r="D43" s="703"/>
      <c r="E43" s="704"/>
      <c r="F43" s="7"/>
      <c r="G43" s="7"/>
      <c r="H43" s="15"/>
      <c r="I43" s="16">
        <f>SUM(I7:I42)</f>
        <v>775672.12999999989</v>
      </c>
      <c r="J43" s="17"/>
      <c r="K43" s="18"/>
      <c r="L43" s="18"/>
      <c r="M43" s="18">
        <f>SUM(M7:M42)</f>
        <v>0</v>
      </c>
      <c r="N43" s="18">
        <f>SUM(N7:N42)</f>
        <v>0</v>
      </c>
      <c r="O43" s="19">
        <f>SUM(O7:O42)</f>
        <v>0</v>
      </c>
      <c r="P43" s="70">
        <f>SUM(P7:P42)</f>
        <v>775672.12999999989</v>
      </c>
    </row>
    <row r="44" spans="1:16" ht="13.8" thickTop="1" x14ac:dyDescent="0.25"/>
  </sheetData>
  <mergeCells count="48">
    <mergeCell ref="J4:L4"/>
    <mergeCell ref="M4:O4"/>
    <mergeCell ref="B6:E6"/>
    <mergeCell ref="A1:I1"/>
    <mergeCell ref="A3:I3"/>
    <mergeCell ref="A4:A5"/>
    <mergeCell ref="B4:E5"/>
    <mergeCell ref="F4:F5"/>
    <mergeCell ref="G4:G5"/>
    <mergeCell ref="H4:H5"/>
    <mergeCell ref="I4:I5"/>
    <mergeCell ref="B21:E21"/>
    <mergeCell ref="B7:E7"/>
    <mergeCell ref="P7:P42"/>
    <mergeCell ref="B8:E8"/>
    <mergeCell ref="B9:E9"/>
    <mergeCell ref="B10:E10"/>
    <mergeCell ref="B11:E11"/>
    <mergeCell ref="B12:E12"/>
    <mergeCell ref="B13:E13"/>
    <mergeCell ref="B14:E14"/>
    <mergeCell ref="B15:E15"/>
    <mergeCell ref="B16:E16"/>
    <mergeCell ref="B17:E17"/>
    <mergeCell ref="B18:E18"/>
    <mergeCell ref="B19:E19"/>
    <mergeCell ref="B20:E20"/>
    <mergeCell ref="B33:E33"/>
    <mergeCell ref="B22:E22"/>
    <mergeCell ref="B23:E23"/>
    <mergeCell ref="B24:E24"/>
    <mergeCell ref="B25:E25"/>
    <mergeCell ref="B26:E26"/>
    <mergeCell ref="B27:E27"/>
    <mergeCell ref="B28:E28"/>
    <mergeCell ref="B29:E29"/>
    <mergeCell ref="B30:E30"/>
    <mergeCell ref="B31:E31"/>
    <mergeCell ref="B32:E32"/>
    <mergeCell ref="B43:E43"/>
    <mergeCell ref="B40:E40"/>
    <mergeCell ref="B41:E41"/>
    <mergeCell ref="B34:E34"/>
    <mergeCell ref="B35:E35"/>
    <mergeCell ref="B36:E36"/>
    <mergeCell ref="B37:E37"/>
    <mergeCell ref="B38:E38"/>
    <mergeCell ref="B39:E39"/>
  </mergeCells>
  <printOptions horizontalCentered="1"/>
  <pageMargins left="0.2" right="0.2" top="0.3" bottom="0.3" header="0" footer="0"/>
  <pageSetup paperSize="9" scale="53" fitToHeight="5" orientation="portrait" r:id="rId1"/>
  <headerFoot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522C1-BB24-4CB4-A4D9-7831E3847E31}">
  <sheetPr>
    <tabColor theme="3" tint="0.59999389629810485"/>
  </sheetPr>
  <dimension ref="A1:P10"/>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B7" sqref="B7:E7"/>
    </sheetView>
  </sheetViews>
  <sheetFormatPr defaultColWidth="9.109375" defaultRowHeight="13.2" x14ac:dyDescent="0.25"/>
  <cols>
    <col min="1" max="1" width="5.88671875" style="25" customWidth="1"/>
    <col min="2" max="3" width="9.109375" style="25"/>
    <col min="4" max="4" width="9" style="25" customWidth="1"/>
    <col min="5" max="5" width="36.6640625" style="25" customWidth="1"/>
    <col min="6" max="7" width="11.5546875" style="21" customWidth="1"/>
    <col min="8" max="8" width="11.5546875" style="50" customWidth="1"/>
    <col min="9" max="9" width="13.44140625" style="21" bestFit="1" customWidth="1"/>
    <col min="10" max="11" width="9.44140625" style="24" customWidth="1"/>
    <col min="12" max="12" width="10.88671875" style="24" bestFit="1" customWidth="1"/>
    <col min="13" max="15" width="11.5546875" style="24" customWidth="1"/>
    <col min="16" max="16" width="25.109375" style="25" customWidth="1"/>
    <col min="17" max="16384" width="9.109375" style="25"/>
  </cols>
  <sheetData>
    <row r="1" spans="1:16" ht="16.5" customHeight="1" x14ac:dyDescent="0.25">
      <c r="A1" s="633" t="s">
        <v>29</v>
      </c>
      <c r="B1" s="633"/>
      <c r="C1" s="633"/>
      <c r="D1" s="633"/>
      <c r="E1" s="633"/>
      <c r="F1" s="633"/>
      <c r="G1" s="633"/>
      <c r="H1" s="633"/>
      <c r="I1" s="633"/>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35" t="s">
        <v>128</v>
      </c>
      <c r="B3" s="635"/>
      <c r="C3" s="635"/>
      <c r="D3" s="635"/>
      <c r="E3" s="635"/>
      <c r="F3" s="635"/>
      <c r="G3" s="635"/>
      <c r="H3" s="635"/>
      <c r="I3" s="635"/>
      <c r="J3" s="20"/>
      <c r="K3" s="20"/>
      <c r="L3" s="24"/>
      <c r="M3" s="20"/>
      <c r="N3" s="20"/>
      <c r="O3" s="24"/>
    </row>
    <row r="4" spans="1:16" ht="18" customHeight="1" thickTop="1" x14ac:dyDescent="0.25">
      <c r="A4" s="636" t="s">
        <v>32</v>
      </c>
      <c r="B4" s="638" t="s">
        <v>0</v>
      </c>
      <c r="C4" s="639"/>
      <c r="D4" s="639"/>
      <c r="E4" s="640"/>
      <c r="F4" s="644" t="s">
        <v>34</v>
      </c>
      <c r="G4" s="644" t="s">
        <v>31</v>
      </c>
      <c r="H4" s="646" t="s">
        <v>36</v>
      </c>
      <c r="I4" s="648" t="s">
        <v>35</v>
      </c>
      <c r="J4" s="650" t="s">
        <v>91</v>
      </c>
      <c r="K4" s="651"/>
      <c r="L4" s="652"/>
      <c r="M4" s="653" t="s">
        <v>92</v>
      </c>
      <c r="N4" s="651"/>
      <c r="O4" s="654"/>
    </row>
    <row r="5" spans="1:16" ht="36.75" customHeight="1" x14ac:dyDescent="0.25">
      <c r="A5" s="637"/>
      <c r="B5" s="641"/>
      <c r="C5" s="642"/>
      <c r="D5" s="642"/>
      <c r="E5" s="643"/>
      <c r="F5" s="645"/>
      <c r="G5" s="645"/>
      <c r="H5" s="647"/>
      <c r="I5" s="649"/>
      <c r="J5" s="8" t="s">
        <v>87</v>
      </c>
      <c r="K5" s="9" t="s">
        <v>88</v>
      </c>
      <c r="L5" s="9" t="s">
        <v>90</v>
      </c>
      <c r="M5" s="9" t="s">
        <v>87</v>
      </c>
      <c r="N5" s="9" t="s">
        <v>88</v>
      </c>
      <c r="O5" s="10" t="s">
        <v>89</v>
      </c>
    </row>
    <row r="6" spans="1:16" x14ac:dyDescent="0.25">
      <c r="A6" s="3"/>
      <c r="B6" s="655"/>
      <c r="C6" s="656"/>
      <c r="D6" s="656"/>
      <c r="E6" s="657"/>
      <c r="F6" s="28"/>
      <c r="G6" s="29"/>
      <c r="H6" s="30"/>
      <c r="I6" s="31"/>
      <c r="J6" s="32"/>
      <c r="K6" s="33"/>
      <c r="L6" s="33"/>
      <c r="M6" s="33"/>
      <c r="N6" s="33"/>
      <c r="O6" s="31"/>
    </row>
    <row r="7" spans="1:16" ht="71.25" customHeight="1" x14ac:dyDescent="0.25">
      <c r="A7" s="4">
        <v>4</v>
      </c>
      <c r="B7" s="658" t="s">
        <v>161</v>
      </c>
      <c r="C7" s="659"/>
      <c r="D7" s="659"/>
      <c r="E7" s="660"/>
      <c r="F7" s="28"/>
      <c r="G7" s="12"/>
      <c r="H7" s="30"/>
      <c r="I7" s="31"/>
      <c r="J7" s="32"/>
      <c r="K7" s="33"/>
      <c r="L7" s="33"/>
      <c r="M7" s="33"/>
      <c r="N7" s="33"/>
      <c r="O7" s="31"/>
      <c r="P7" s="664">
        <f>SUM(I8)</f>
        <v>4600</v>
      </c>
    </row>
    <row r="8" spans="1:16" s="27" customFormat="1" ht="53.25" customHeight="1" x14ac:dyDescent="0.25">
      <c r="A8" s="51" t="s">
        <v>3</v>
      </c>
      <c r="B8" s="689" t="s">
        <v>130</v>
      </c>
      <c r="C8" s="689"/>
      <c r="D8" s="689"/>
      <c r="E8" s="689"/>
      <c r="F8" s="52">
        <v>5</v>
      </c>
      <c r="G8" s="52" t="s">
        <v>20</v>
      </c>
      <c r="H8" s="53">
        <v>920</v>
      </c>
      <c r="I8" s="92">
        <f>H8*F8</f>
        <v>4600</v>
      </c>
      <c r="J8" s="55"/>
      <c r="K8" s="56">
        <f t="shared" ref="K8" si="0">L8-J8</f>
        <v>0</v>
      </c>
      <c r="L8" s="56"/>
      <c r="M8" s="56">
        <f t="shared" ref="M8" si="1">+J8*H8</f>
        <v>0</v>
      </c>
      <c r="N8" s="56">
        <f t="shared" ref="N8" si="2">O8-M8</f>
        <v>0</v>
      </c>
      <c r="O8" s="54">
        <f t="shared" ref="O8" si="3">H8*L8</f>
        <v>0</v>
      </c>
      <c r="P8" s="665"/>
    </row>
    <row r="9" spans="1:16" s="26" customFormat="1" ht="21" customHeight="1" thickBot="1" x14ac:dyDescent="0.3">
      <c r="A9" s="6"/>
      <c r="B9" s="702" t="s">
        <v>86</v>
      </c>
      <c r="C9" s="703"/>
      <c r="D9" s="703"/>
      <c r="E9" s="704"/>
      <c r="F9" s="7"/>
      <c r="G9" s="7"/>
      <c r="H9" s="15"/>
      <c r="I9" s="16">
        <f>SUM(I8)</f>
        <v>4600</v>
      </c>
      <c r="J9" s="17"/>
      <c r="K9" s="18"/>
      <c r="L9" s="18"/>
      <c r="M9" s="18">
        <f>SUM(M7:M8)</f>
        <v>0</v>
      </c>
      <c r="N9" s="18">
        <f>SUM(N7:N8)</f>
        <v>0</v>
      </c>
      <c r="O9" s="19">
        <f>SUM(O7:O8)</f>
        <v>0</v>
      </c>
      <c r="P9" s="70">
        <f>SUM(P7:P8)</f>
        <v>4600</v>
      </c>
    </row>
    <row r="10" spans="1:16" ht="13.8" thickTop="1" x14ac:dyDescent="0.25"/>
  </sheetData>
  <mergeCells count="15">
    <mergeCell ref="A1:I1"/>
    <mergeCell ref="A3:I3"/>
    <mergeCell ref="A4:A5"/>
    <mergeCell ref="B4:E5"/>
    <mergeCell ref="F4:F5"/>
    <mergeCell ref="G4:G5"/>
    <mergeCell ref="H4:H5"/>
    <mergeCell ref="I4:I5"/>
    <mergeCell ref="B9:E9"/>
    <mergeCell ref="B7:E7"/>
    <mergeCell ref="P7:P8"/>
    <mergeCell ref="B8:E8"/>
    <mergeCell ref="J4:L4"/>
    <mergeCell ref="M4:O4"/>
    <mergeCell ref="B6:E6"/>
  </mergeCells>
  <printOptions horizontalCentered="1"/>
  <pageMargins left="0.2" right="0.2" top="0.3" bottom="0.3" header="0" footer="0"/>
  <pageSetup paperSize="9" scale="53" fitToHeight="5" orientation="portrait" r:id="rId1"/>
  <headerFoot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d52836b-ce72-4b89-82f9-d65d5dfc828e">
      <Terms xmlns="http://schemas.microsoft.com/office/infopath/2007/PartnerControls"/>
    </lcf76f155ced4ddcb4097134ff3c332f>
    <TaxCatchAll xmlns="8182470c-9c64-4c0e-a68a-a1f556439e5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52C19EA790EB54A99A699BA62372528" ma:contentTypeVersion="15" ma:contentTypeDescription="Create a new document." ma:contentTypeScope="" ma:versionID="b92e8d07ddcb96500ad79536e213bba2">
  <xsd:schema xmlns:xsd="http://www.w3.org/2001/XMLSchema" xmlns:xs="http://www.w3.org/2001/XMLSchema" xmlns:p="http://schemas.microsoft.com/office/2006/metadata/properties" xmlns:ns2="8182470c-9c64-4c0e-a68a-a1f556439e59" xmlns:ns3="4d52836b-ce72-4b89-82f9-d65d5dfc828e" targetNamespace="http://schemas.microsoft.com/office/2006/metadata/properties" ma:root="true" ma:fieldsID="740b569e960f62d2154794bad3f43ad3" ns2:_="" ns3:_="">
    <xsd:import namespace="8182470c-9c64-4c0e-a68a-a1f556439e59"/>
    <xsd:import namespace="4d52836b-ce72-4b89-82f9-d65d5dfc82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2470c-9c64-4c0e-a68a-a1f556439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668e07-5b8d-4535-ba3d-9372a51266d2}" ma:internalName="TaxCatchAll" ma:showField="CatchAllData" ma:web="8182470c-9c64-4c0e-a68a-a1f556439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2836b-ce72-4b89-82f9-d65d5dfc82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417e60-6381-4e96-be2e-0834c651c8e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0B715C-1891-4533-99D7-AF4E4548B4A0}">
  <ds:schemaRefs>
    <ds:schemaRef ds:uri="http://schemas.microsoft.com/office/2006/metadata/properties"/>
    <ds:schemaRef ds:uri="http://schemas.microsoft.com/office/infopath/2007/PartnerControls"/>
    <ds:schemaRef ds:uri="4d52836b-ce72-4b89-82f9-d65d5dfc828e"/>
    <ds:schemaRef ds:uri="8182470c-9c64-4c0e-a68a-a1f556439e59"/>
  </ds:schemaRefs>
</ds:datastoreItem>
</file>

<file path=customXml/itemProps2.xml><?xml version="1.0" encoding="utf-8"?>
<ds:datastoreItem xmlns:ds="http://schemas.openxmlformats.org/officeDocument/2006/customXml" ds:itemID="{5854FB58-F4D6-45C2-8019-7A3A1516C6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82470c-9c64-4c0e-a68a-a1f556439e59"/>
    <ds:schemaRef ds:uri="4d52836b-ce72-4b89-82f9-d65d5dfc82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0739F03-859F-4A6B-8604-150D9652A5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36</vt:i4>
      </vt:variant>
    </vt:vector>
  </HeadingPairs>
  <TitlesOfParts>
    <vt:vector size="55" baseType="lpstr">
      <vt:lpstr>PA Summary Sheet </vt:lpstr>
      <vt:lpstr>Summary</vt:lpstr>
      <vt:lpstr>T1 - As per Contract</vt:lpstr>
      <vt:lpstr>T1 - VO additional Agreed Varia</vt:lpstr>
      <vt:lpstr>others</vt:lpstr>
      <vt:lpstr>VO - T1</vt:lpstr>
      <vt:lpstr>VO - T2</vt:lpstr>
      <vt:lpstr>VO - T3</vt:lpstr>
      <vt:lpstr>VO - T4</vt:lpstr>
      <vt:lpstr>VO - T5</vt:lpstr>
      <vt:lpstr>VO - T6</vt:lpstr>
      <vt:lpstr>VO - T7</vt:lpstr>
      <vt:lpstr>VO - T8</vt:lpstr>
      <vt:lpstr>VO - T9</vt:lpstr>
      <vt:lpstr>VO - T10</vt:lpstr>
      <vt:lpstr>VO - T11</vt:lpstr>
      <vt:lpstr>VO - T12</vt:lpstr>
      <vt:lpstr>VO - T13</vt:lpstr>
      <vt:lpstr>VO - T14</vt:lpstr>
      <vt:lpstr>others!Print_Area</vt:lpstr>
      <vt:lpstr>'PA Summary Sheet '!Print_Area</vt:lpstr>
      <vt:lpstr>Summary!Print_Area</vt:lpstr>
      <vt:lpstr>'T1 - As per Contract'!Print_Area</vt:lpstr>
      <vt:lpstr>'T1 - VO additional Agreed Varia'!Print_Area</vt:lpstr>
      <vt:lpstr>'VO - T1'!Print_Area</vt:lpstr>
      <vt:lpstr>'VO - T10'!Print_Area</vt:lpstr>
      <vt:lpstr>'VO - T11'!Print_Area</vt:lpstr>
      <vt:lpstr>'VO - T12'!Print_Area</vt:lpstr>
      <vt:lpstr>'VO - T13'!Print_Area</vt:lpstr>
      <vt:lpstr>'VO - T14'!Print_Area</vt:lpstr>
      <vt:lpstr>'VO - T2'!Print_Area</vt:lpstr>
      <vt:lpstr>'VO - T3'!Print_Area</vt:lpstr>
      <vt:lpstr>'VO - T4'!Print_Area</vt:lpstr>
      <vt:lpstr>'VO - T5'!Print_Area</vt:lpstr>
      <vt:lpstr>'VO - T6'!Print_Area</vt:lpstr>
      <vt:lpstr>'VO - T7'!Print_Area</vt:lpstr>
      <vt:lpstr>'VO - T8'!Print_Area</vt:lpstr>
      <vt:lpstr>'VO - T9'!Print_Area</vt:lpstr>
      <vt:lpstr>others!Print_Titles</vt:lpstr>
      <vt:lpstr>'T1 - As per Contract'!Print_Titles</vt:lpstr>
      <vt:lpstr>'T1 - VO additional Agreed Varia'!Print_Titles</vt:lpstr>
      <vt:lpstr>'VO - T1'!Print_Titles</vt:lpstr>
      <vt:lpstr>'VO - T10'!Print_Titles</vt:lpstr>
      <vt:lpstr>'VO - T11'!Print_Titles</vt:lpstr>
      <vt:lpstr>'VO - T12'!Print_Titles</vt:lpstr>
      <vt:lpstr>'VO - T13'!Print_Titles</vt:lpstr>
      <vt:lpstr>'VO - T14'!Print_Titles</vt:lpstr>
      <vt:lpstr>'VO - T2'!Print_Titles</vt:lpstr>
      <vt:lpstr>'VO - T3'!Print_Titles</vt:lpstr>
      <vt:lpstr>'VO - T4'!Print_Titles</vt:lpstr>
      <vt:lpstr>'VO - T5'!Print_Titles</vt:lpstr>
      <vt:lpstr>'VO - T6'!Print_Titles</vt:lpstr>
      <vt:lpstr>'VO - T7'!Print_Titles</vt:lpstr>
      <vt:lpstr>'VO - T8'!Print_Titles</vt:lpstr>
      <vt:lpstr>'VO - T9'!Print_Titles</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dc:creator>
  <cp:lastModifiedBy>Tharaka Rathnayaka</cp:lastModifiedBy>
  <cp:lastPrinted>2023-01-30T10:03:05Z</cp:lastPrinted>
  <dcterms:created xsi:type="dcterms:W3CDTF">2010-06-24T10:39:15Z</dcterms:created>
  <dcterms:modified xsi:type="dcterms:W3CDTF">2023-04-18T14:50:36Z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0x010100F52C19EA790EB54A99A699BA62372528</vt:lpwstr>
  </property>
  <property fmtid="{D5CDD505-2E9C-101B-9397-08002B2CF9AE}" pid="3" name="MediaServiceImageTags">
    <vt:lpwstr/>
  </property>
</Properties>
</file>