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nayana.weeraman\Desktop\"/>
    </mc:Choice>
  </mc:AlternateContent>
  <xr:revisionPtr revIDLastSave="0" documentId="13_ncr:1_{DEB72ECE-45E6-4976-A917-77810E75136D}" xr6:coauthVersionLast="47" xr6:coauthVersionMax="47" xr10:uidLastSave="{00000000-0000-0000-0000-000000000000}"/>
  <bookViews>
    <workbookView xWindow="-108" yWindow="-108" windowWidth="23256" windowHeight="12576" xr2:uid="{00000000-000D-0000-FFFF-FFFF00000000}"/>
  </bookViews>
  <sheets>
    <sheet name="KCE-PC 11" sheetId="2" r:id="rId1"/>
    <sheet name="KCE-PC 11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 Dec 22"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Dec 22" sheetId="21" r:id="rId17"/>
    <sheet name="KMEP -IPC" sheetId="18" r:id="rId18"/>
    <sheet name="Adjustments" sheetId="19" r:id="rId19"/>
    <sheet name="Historical Debts" sheetId="17" r:id="rId20"/>
  </sheets>
  <externalReferences>
    <externalReference r:id="rId21"/>
    <externalReference r:id="rId22"/>
    <externalReference r:id="rId23"/>
  </externalReferences>
  <definedNames>
    <definedName name="_1_">#REF!</definedName>
    <definedName name="_jj300">#REF!</definedName>
    <definedName name="a">[1]boq!#REF!</definedName>
    <definedName name="BuiltIn_Print_Area___0">#REF!</definedName>
    <definedName name="Comp_ME">#REF!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#REF!</definedName>
    <definedName name="P1R">'[2]Fill this out first...'!#REF!</definedName>
    <definedName name="P2R">'[2]Fill this out first...'!#REF!</definedName>
    <definedName name="P3R">'[2]Fill this out first...'!#REF!</definedName>
    <definedName name="P4R">'[2]Fill this out first...'!#REF!</definedName>
    <definedName name="P5R">'[2]Fill this out first...'!#REF!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Adjustments!$A$1:$F$60</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'!$A$1:$AE$105</definedName>
    <definedName name="_xlnm.Print_Area" localSheetId="8">'Annexure 7-Overhead Summary'!$A$1:$E$23</definedName>
    <definedName name="_xlnm.Print_Area" localSheetId="9">'Annexure 8-Committed Orders'!$A$1:$F$33</definedName>
    <definedName name="_xlnm.Print_Area" localSheetId="11">'Annexure 9-OHP'!$A$1:$G$43</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Dec 22'!$A$1:$AM$121</definedName>
    <definedName name="_xlnm.Print_Area" localSheetId="10">'Committed Orders - Dec 22'!$A$1:$E$59</definedName>
    <definedName name="_xlnm.Print_Area" localSheetId="0">'KCE-PC 11'!$A$1:$G$65</definedName>
    <definedName name="_xlnm.Print_Area" localSheetId="1">'KCE-PC 11 INT'!$A$1:$G$67</definedName>
    <definedName name="_xlnm.Print_Area" localSheetId="17">'KMEP -IPC'!$A$1:$M$35</definedName>
    <definedName name="_xlnm.Print_Area" localSheetId="15">'Staff Cost Summary'!$A$1:$E$27</definedName>
    <definedName name="_xlnm.Print_Area">#REF!</definedName>
    <definedName name="Print_Range">#REF!</definedName>
    <definedName name="_xlnm.Print_Titles" localSheetId="7">'Annexure 6-SC Summary '!$1:$6</definedName>
    <definedName name="_xlnm.Print_Titles" localSheetId="16">'Civil Staff Cost Dec 22'!$1:$7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5" l="1"/>
  <c r="E15" i="5" l="1"/>
  <c r="H17" i="10"/>
  <c r="I15" i="8" l="1"/>
  <c r="T15" i="8" s="1"/>
  <c r="T17" i="8"/>
  <c r="T23" i="8"/>
  <c r="Z16" i="8"/>
  <c r="V16" i="8" l="1"/>
  <c r="I61" i="8"/>
  <c r="I13" i="8"/>
  <c r="T13" i="8" s="1"/>
  <c r="I21" i="8"/>
  <c r="U12" i="8"/>
  <c r="S12" i="8"/>
  <c r="T14" i="8"/>
  <c r="Z13" i="8" l="1"/>
  <c r="AB13" i="8" s="1"/>
  <c r="AD13" i="8" s="1"/>
  <c r="K8" i="8" l="1"/>
  <c r="U11" i="8" l="1"/>
  <c r="T10" i="8" l="1"/>
  <c r="I9" i="8" l="1"/>
  <c r="T9" i="8" s="1"/>
  <c r="J9" i="8"/>
  <c r="H9" i="8" s="1"/>
  <c r="AC9" i="8"/>
  <c r="G18" i="11"/>
  <c r="G9" i="8" l="1"/>
  <c r="U9" i="8"/>
  <c r="AE9" i="8" s="1"/>
  <c r="D101" i="8" l="1"/>
  <c r="I17" i="18"/>
  <c r="H17" i="18"/>
  <c r="G17" i="18"/>
  <c r="I32" i="18"/>
  <c r="H32" i="18"/>
  <c r="G32" i="18"/>
  <c r="I31" i="18"/>
  <c r="H31" i="18"/>
  <c r="G31" i="18"/>
  <c r="I30" i="18"/>
  <c r="H30" i="18"/>
  <c r="G30" i="18"/>
  <c r="I29" i="18"/>
  <c r="H29" i="18"/>
  <c r="G29" i="18"/>
  <c r="I28" i="18"/>
  <c r="H28" i="18"/>
  <c r="G28" i="18"/>
  <c r="I25" i="18"/>
  <c r="H25" i="18"/>
  <c r="G25" i="18"/>
  <c r="I24" i="18"/>
  <c r="H24" i="18"/>
  <c r="G24" i="18"/>
  <c r="I23" i="18"/>
  <c r="H23" i="18"/>
  <c r="G23" i="18"/>
  <c r="I22" i="18"/>
  <c r="H22" i="18"/>
  <c r="G22" i="18"/>
  <c r="I21" i="18"/>
  <c r="H21" i="18"/>
  <c r="G21" i="18"/>
  <c r="I20" i="18"/>
  <c r="H20" i="18"/>
  <c r="G20" i="18"/>
  <c r="I19" i="18"/>
  <c r="H19" i="18"/>
  <c r="G19" i="18"/>
  <c r="I16" i="18"/>
  <c r="H16" i="18"/>
  <c r="G16" i="18"/>
  <c r="I13" i="18"/>
  <c r="H13" i="18"/>
  <c r="G13" i="18"/>
  <c r="I12" i="18"/>
  <c r="H12" i="18"/>
  <c r="G12" i="18"/>
  <c r="F32" i="18"/>
  <c r="F31" i="18"/>
  <c r="F30" i="18"/>
  <c r="F29" i="18"/>
  <c r="F28" i="18"/>
  <c r="F25" i="18"/>
  <c r="F24" i="18"/>
  <c r="F23" i="18"/>
  <c r="F22" i="18"/>
  <c r="F21" i="18"/>
  <c r="F20" i="18"/>
  <c r="F19" i="18"/>
  <c r="F16" i="18"/>
  <c r="F13" i="18"/>
  <c r="F12" i="18"/>
  <c r="L32" i="18"/>
  <c r="K32" i="18" s="1"/>
  <c r="K27" i="18" s="1"/>
  <c r="L31" i="18"/>
  <c r="K31" i="18"/>
  <c r="L30" i="18"/>
  <c r="K30" i="18"/>
  <c r="L29" i="18"/>
  <c r="K29" i="18"/>
  <c r="L28" i="18"/>
  <c r="K28" i="18"/>
  <c r="L27" i="18"/>
  <c r="J27" i="18"/>
  <c r="L25" i="18"/>
  <c r="K25" i="18" s="1"/>
  <c r="L24" i="18"/>
  <c r="K24" i="18"/>
  <c r="L23" i="18"/>
  <c r="K23" i="18"/>
  <c r="L22" i="18"/>
  <c r="K22" i="18" s="1"/>
  <c r="L21" i="18"/>
  <c r="K21" i="18"/>
  <c r="L20" i="18"/>
  <c r="K20" i="18" s="1"/>
  <c r="L19" i="18"/>
  <c r="K19" i="18"/>
  <c r="L18" i="18"/>
  <c r="K18" i="18"/>
  <c r="L17" i="18"/>
  <c r="K17" i="18" s="1"/>
  <c r="L16" i="18"/>
  <c r="K16" i="18"/>
  <c r="J15" i="18"/>
  <c r="L13" i="18"/>
  <c r="K13" i="18"/>
  <c r="L12" i="18"/>
  <c r="K12" i="18"/>
  <c r="L11" i="18"/>
  <c r="K11" i="18"/>
  <c r="J11" i="18"/>
  <c r="J34" i="18" s="1"/>
  <c r="L34" i="18" l="1"/>
  <c r="K34" i="18"/>
  <c r="K15" i="18"/>
  <c r="L15" i="18"/>
  <c r="U83" i="8" l="1"/>
  <c r="AE83" i="8" s="1"/>
  <c r="D91" i="8"/>
  <c r="D94" i="8"/>
  <c r="D92" i="8"/>
  <c r="D116" i="8"/>
  <c r="C116" i="8" s="1"/>
  <c r="E128" i="8"/>
  <c r="D126" i="8"/>
  <c r="C126" i="8" s="1"/>
  <c r="D119" i="8"/>
  <c r="C119" i="8" s="1"/>
  <c r="D117" i="8"/>
  <c r="J19" i="6"/>
  <c r="AM10" i="8" l="1"/>
  <c r="AM78" i="8"/>
  <c r="AM84" i="8"/>
  <c r="AC76" i="8" l="1"/>
  <c r="H76" i="8"/>
  <c r="G76" i="8"/>
  <c r="H75" i="8"/>
  <c r="G75" i="8"/>
  <c r="H74" i="8"/>
  <c r="G74" i="8"/>
  <c r="H72" i="8"/>
  <c r="G72" i="8"/>
  <c r="H68" i="8"/>
  <c r="G68" i="8"/>
  <c r="D85" i="8" l="1"/>
  <c r="T83" i="8"/>
  <c r="H83" i="8"/>
  <c r="G83" i="8"/>
  <c r="U82" i="8"/>
  <c r="AE82" i="8" s="1"/>
  <c r="T82" i="8"/>
  <c r="H82" i="8"/>
  <c r="G82" i="8"/>
  <c r="U81" i="8"/>
  <c r="AE81" i="8" s="1"/>
  <c r="T81" i="8"/>
  <c r="H81" i="8"/>
  <c r="G81" i="8"/>
  <c r="U80" i="8"/>
  <c r="AE80" i="8" s="1"/>
  <c r="T80" i="8"/>
  <c r="H80" i="8"/>
  <c r="G80" i="8"/>
  <c r="U79" i="8"/>
  <c r="AE79" i="8" s="1"/>
  <c r="T79" i="8"/>
  <c r="AC78" i="8"/>
  <c r="AE78" i="8" s="1"/>
  <c r="AB78" i="8"/>
  <c r="AD78" i="8" s="1"/>
  <c r="AC77" i="8"/>
  <c r="U77" i="8"/>
  <c r="T77" i="8"/>
  <c r="AM77" i="8" s="1"/>
  <c r="U76" i="8"/>
  <c r="AE76" i="8" s="1"/>
  <c r="T76" i="8"/>
  <c r="M75" i="8"/>
  <c r="U75" i="8" s="1"/>
  <c r="AE75" i="8" s="1"/>
  <c r="L75" i="8"/>
  <c r="T75" i="8" s="1"/>
  <c r="AC74" i="8"/>
  <c r="X74" i="8"/>
  <c r="U74" i="8"/>
  <c r="T74" i="8"/>
  <c r="U73" i="8"/>
  <c r="AE73" i="8" s="1"/>
  <c r="T73" i="8"/>
  <c r="AC72" i="8"/>
  <c r="X72" i="8"/>
  <c r="U72" i="8"/>
  <c r="T72" i="8"/>
  <c r="AM72" i="8" s="1"/>
  <c r="U71" i="8"/>
  <c r="AE71" i="8" s="1"/>
  <c r="T71" i="8"/>
  <c r="AM71" i="8" s="1"/>
  <c r="U70" i="8"/>
  <c r="AE70" i="8" s="1"/>
  <c r="T70" i="8"/>
  <c r="U69" i="8"/>
  <c r="AE69" i="8" s="1"/>
  <c r="T69" i="8"/>
  <c r="AC68" i="8"/>
  <c r="X68" i="8"/>
  <c r="U68" i="8"/>
  <c r="T68" i="8"/>
  <c r="Z67" i="8"/>
  <c r="AB67" i="8" s="1"/>
  <c r="AD67" i="8" s="1"/>
  <c r="U67" i="8"/>
  <c r="AE67" i="8" s="1"/>
  <c r="T67" i="8"/>
  <c r="H67" i="8"/>
  <c r="G67" i="8"/>
  <c r="AC66" i="8"/>
  <c r="X66" i="8"/>
  <c r="U66" i="8"/>
  <c r="T66" i="8"/>
  <c r="H66" i="8"/>
  <c r="G66" i="8"/>
  <c r="U65" i="8"/>
  <c r="AE65" i="8" s="1"/>
  <c r="T65" i="8"/>
  <c r="H65" i="8"/>
  <c r="G65" i="8"/>
  <c r="U64" i="8"/>
  <c r="AE64" i="8" s="1"/>
  <c r="T64" i="8"/>
  <c r="H64" i="8"/>
  <c r="G64" i="8"/>
  <c r="V63" i="8"/>
  <c r="U63" i="8"/>
  <c r="AE63" i="8" s="1"/>
  <c r="T63" i="8"/>
  <c r="H63" i="8"/>
  <c r="G63" i="8"/>
  <c r="T62" i="8"/>
  <c r="J62" i="8"/>
  <c r="H62" i="8" s="1"/>
  <c r="G62" i="8"/>
  <c r="AC61" i="8"/>
  <c r="U61" i="8"/>
  <c r="T61" i="8"/>
  <c r="H61" i="8"/>
  <c r="G61" i="8"/>
  <c r="V60" i="8"/>
  <c r="U60" i="8"/>
  <c r="AE60" i="8" s="1"/>
  <c r="T60" i="8"/>
  <c r="H60" i="8"/>
  <c r="G60" i="8"/>
  <c r="X59" i="8"/>
  <c r="U59" i="8"/>
  <c r="AE59" i="8" s="1"/>
  <c r="T59" i="8"/>
  <c r="H59" i="8"/>
  <c r="G59" i="8"/>
  <c r="X58" i="8"/>
  <c r="U58" i="8"/>
  <c r="AE58" i="8" s="1"/>
  <c r="T58" i="8"/>
  <c r="H58" i="8"/>
  <c r="G58" i="8"/>
  <c r="AB57" i="8"/>
  <c r="X57" i="8"/>
  <c r="U57" i="8"/>
  <c r="AE57" i="8" s="1"/>
  <c r="T57" i="8"/>
  <c r="H57" i="8"/>
  <c r="G57" i="8"/>
  <c r="Z56" i="8"/>
  <c r="AB56" i="8" s="1"/>
  <c r="AD56" i="8" s="1"/>
  <c r="U56" i="8"/>
  <c r="AE56" i="8" s="1"/>
  <c r="T56" i="8"/>
  <c r="H56" i="8"/>
  <c r="G56" i="8"/>
  <c r="U55" i="8"/>
  <c r="AE55" i="8" s="1"/>
  <c r="T55" i="8"/>
  <c r="H55" i="8"/>
  <c r="G55" i="8"/>
  <c r="Z54" i="8"/>
  <c r="AB54" i="8" s="1"/>
  <c r="AD54" i="8" s="1"/>
  <c r="U54" i="8"/>
  <c r="AE54" i="8" s="1"/>
  <c r="T54" i="8"/>
  <c r="AM54" i="8" s="1"/>
  <c r="H54" i="8"/>
  <c r="G54" i="8"/>
  <c r="U53" i="8"/>
  <c r="AE53" i="8" s="1"/>
  <c r="T53" i="8"/>
  <c r="H53" i="8"/>
  <c r="G53" i="8"/>
  <c r="U52" i="8"/>
  <c r="AE52" i="8" s="1"/>
  <c r="T52" i="8"/>
  <c r="Z52" i="8" s="1"/>
  <c r="AB52" i="8" s="1"/>
  <c r="H52" i="8"/>
  <c r="T51" i="8"/>
  <c r="J51" i="8"/>
  <c r="H51" i="8" s="1"/>
  <c r="I51" i="8"/>
  <c r="G51" i="8" s="1"/>
  <c r="U50" i="8"/>
  <c r="AE50" i="8" s="1"/>
  <c r="R50" i="8"/>
  <c r="T50" i="8" s="1"/>
  <c r="I50" i="8"/>
  <c r="H50" i="8"/>
  <c r="G50" i="8"/>
  <c r="U49" i="8"/>
  <c r="AE49" i="8" s="1"/>
  <c r="T49" i="8"/>
  <c r="AM49" i="8" s="1"/>
  <c r="H49" i="8"/>
  <c r="G49" i="8"/>
  <c r="U48" i="8"/>
  <c r="AE48" i="8" s="1"/>
  <c r="T48" i="8"/>
  <c r="H48" i="8"/>
  <c r="G48" i="8"/>
  <c r="U47" i="8"/>
  <c r="AE47" i="8" s="1"/>
  <c r="T47" i="8"/>
  <c r="H47" i="8"/>
  <c r="G47" i="8"/>
  <c r="U46" i="8"/>
  <c r="AE46" i="8" s="1"/>
  <c r="T46" i="8"/>
  <c r="H46" i="8"/>
  <c r="G46" i="8"/>
  <c r="AE45" i="8"/>
  <c r="AB45" i="8"/>
  <c r="U45" i="8"/>
  <c r="J45" i="8"/>
  <c r="I45" i="8"/>
  <c r="T45" i="8" s="1"/>
  <c r="H45" i="8"/>
  <c r="U44" i="8"/>
  <c r="AE44" i="8" s="1"/>
  <c r="T44" i="8"/>
  <c r="AM44" i="8" s="1"/>
  <c r="H44" i="8"/>
  <c r="G44" i="8"/>
  <c r="U43" i="8"/>
  <c r="AE43" i="8" s="1"/>
  <c r="T43" i="8"/>
  <c r="H43" i="8"/>
  <c r="G43" i="8"/>
  <c r="U42" i="8"/>
  <c r="AE42" i="8" s="1"/>
  <c r="T42" i="8"/>
  <c r="Z42" i="8" s="1"/>
  <c r="AB42" i="8" s="1"/>
  <c r="AD42" i="8" s="1"/>
  <c r="H42" i="8"/>
  <c r="G42" i="8"/>
  <c r="U41" i="8"/>
  <c r="T41" i="8"/>
  <c r="H41" i="8"/>
  <c r="G41" i="8"/>
  <c r="AB40" i="8"/>
  <c r="U40" i="8"/>
  <c r="AE40" i="8" s="1"/>
  <c r="T40" i="8"/>
  <c r="U39" i="8"/>
  <c r="AB38" i="8"/>
  <c r="U38" i="8"/>
  <c r="T38" i="8"/>
  <c r="AB37" i="8"/>
  <c r="U37" i="8"/>
  <c r="T37" i="8"/>
  <c r="AB36" i="8"/>
  <c r="U36" i="8"/>
  <c r="T36" i="8"/>
  <c r="AB35" i="8"/>
  <c r="U35" i="8"/>
  <c r="T35" i="8"/>
  <c r="AM35" i="8" s="1"/>
  <c r="AB33" i="8"/>
  <c r="V33" i="8"/>
  <c r="U33" i="8"/>
  <c r="T33" i="8"/>
  <c r="AB32" i="8"/>
  <c r="U32" i="8"/>
  <c r="T32" i="8"/>
  <c r="AE31" i="8"/>
  <c r="AB31" i="8"/>
  <c r="U31" i="8"/>
  <c r="T31" i="8"/>
  <c r="AM31" i="8" s="1"/>
  <c r="AB30" i="8"/>
  <c r="U30" i="8"/>
  <c r="AE30" i="8" s="1"/>
  <c r="T30" i="8"/>
  <c r="AC29" i="8"/>
  <c r="J29" i="8" s="1"/>
  <c r="V29" i="8"/>
  <c r="T29" i="8"/>
  <c r="G29" i="8"/>
  <c r="U28" i="8"/>
  <c r="AE28" i="8" s="1"/>
  <c r="T28" i="8"/>
  <c r="Z28" i="8" s="1"/>
  <c r="AB28" i="8" s="1"/>
  <c r="AD28" i="8" s="1"/>
  <c r="H28" i="8"/>
  <c r="G28" i="8"/>
  <c r="U27" i="8"/>
  <c r="AE27" i="8" s="1"/>
  <c r="I27" i="8"/>
  <c r="T27" i="8" s="1"/>
  <c r="H27" i="8"/>
  <c r="U26" i="8"/>
  <c r="T26" i="8"/>
  <c r="H26" i="8"/>
  <c r="G26" i="8"/>
  <c r="J25" i="8"/>
  <c r="S24" i="8"/>
  <c r="U24" i="8" s="1"/>
  <c r="I24" i="8"/>
  <c r="T24" i="8" s="1"/>
  <c r="H24" i="8"/>
  <c r="J23" i="8"/>
  <c r="U23" i="8" s="1"/>
  <c r="AE23" i="8" s="1"/>
  <c r="G23" i="8"/>
  <c r="AE22" i="8"/>
  <c r="U22" i="8"/>
  <c r="N22" i="8"/>
  <c r="T22" i="8" s="1"/>
  <c r="H22" i="8"/>
  <c r="G22" i="8"/>
  <c r="AC21" i="8"/>
  <c r="U21" i="8"/>
  <c r="G21" i="8"/>
  <c r="H21" i="8"/>
  <c r="U20" i="8"/>
  <c r="T20" i="8"/>
  <c r="H20" i="8"/>
  <c r="G20" i="8"/>
  <c r="S19" i="8"/>
  <c r="U19" i="8" s="1"/>
  <c r="AE19" i="8" s="1"/>
  <c r="R19" i="8"/>
  <c r="I19" i="8"/>
  <c r="G19" i="8" s="1"/>
  <c r="H19" i="8"/>
  <c r="U18" i="8"/>
  <c r="AE18" i="8" s="1"/>
  <c r="I18" i="8"/>
  <c r="T18" i="8" s="1"/>
  <c r="H18" i="8"/>
  <c r="AC17" i="8"/>
  <c r="J17" i="8" s="1"/>
  <c r="G17" i="8"/>
  <c r="AC16" i="8"/>
  <c r="AB16" i="8"/>
  <c r="T16" i="8"/>
  <c r="S16" i="8"/>
  <c r="N16" i="8"/>
  <c r="O16" i="8" s="1"/>
  <c r="L16" i="8"/>
  <c r="M16" i="8" s="1"/>
  <c r="G16" i="8"/>
  <c r="H16" i="8"/>
  <c r="U15" i="8"/>
  <c r="AE15" i="8" s="1"/>
  <c r="H15" i="8"/>
  <c r="G15" i="8"/>
  <c r="J14" i="8"/>
  <c r="H14" i="8" s="1"/>
  <c r="G14" i="8"/>
  <c r="U13" i="8"/>
  <c r="AE13" i="8" s="1"/>
  <c r="G13" i="8"/>
  <c r="H13" i="8"/>
  <c r="T12" i="8"/>
  <c r="H12" i="8"/>
  <c r="T11" i="8"/>
  <c r="H11" i="8"/>
  <c r="G11" i="8"/>
  <c r="Z10" i="8"/>
  <c r="AB10" i="8" s="1"/>
  <c r="AD10" i="8" s="1"/>
  <c r="AE10" i="8"/>
  <c r="H10" i="8"/>
  <c r="G10" i="8"/>
  <c r="AM33" i="8" l="1"/>
  <c r="G18" i="8"/>
  <c r="T19" i="8"/>
  <c r="AM47" i="8"/>
  <c r="AE66" i="8"/>
  <c r="AE77" i="8"/>
  <c r="AE61" i="8"/>
  <c r="AM30" i="8"/>
  <c r="AM32" i="8"/>
  <c r="AM38" i="8"/>
  <c r="Z44" i="8"/>
  <c r="AB44" i="8" s="1"/>
  <c r="AD44" i="8" s="1"/>
  <c r="AE72" i="8"/>
  <c r="AM36" i="8"/>
  <c r="AD16" i="8"/>
  <c r="AM27" i="8"/>
  <c r="Z27" i="8"/>
  <c r="AB27" i="8" s="1"/>
  <c r="AD27" i="8" s="1"/>
  <c r="H17" i="8"/>
  <c r="U17" i="8"/>
  <c r="D121" i="8" s="1"/>
  <c r="C121" i="8" s="1"/>
  <c r="H23" i="8"/>
  <c r="Z24" i="8"/>
  <c r="AB24" i="8" s="1"/>
  <c r="AD24" i="8" s="1"/>
  <c r="D97" i="8"/>
  <c r="AM24" i="8"/>
  <c r="Z22" i="8"/>
  <c r="AB22" i="8" s="1"/>
  <c r="AD22" i="8" s="1"/>
  <c r="AM22" i="8"/>
  <c r="AE24" i="8"/>
  <c r="D122" i="8"/>
  <c r="C122" i="8" s="1"/>
  <c r="Z60" i="8"/>
  <c r="AB60" i="8" s="1"/>
  <c r="AD60" i="8" s="1"/>
  <c r="AM60" i="8"/>
  <c r="Z66" i="8"/>
  <c r="AB66" i="8" s="1"/>
  <c r="AD66" i="8" s="1"/>
  <c r="AM66" i="8"/>
  <c r="T25" i="8"/>
  <c r="G12" i="8"/>
  <c r="G24" i="8"/>
  <c r="AE26" i="8"/>
  <c r="AD52" i="8"/>
  <c r="AM52" i="8"/>
  <c r="Z63" i="8"/>
  <c r="AB63" i="8" s="1"/>
  <c r="AD63" i="8" s="1"/>
  <c r="AM63" i="8"/>
  <c r="AE74" i="8"/>
  <c r="Z77" i="8"/>
  <c r="AB77" i="8" s="1"/>
  <c r="AD77" i="8" s="1"/>
  <c r="Z20" i="8"/>
  <c r="AB20" i="8" s="1"/>
  <c r="AD20" i="8" s="1"/>
  <c r="D99" i="8"/>
  <c r="AM20" i="8"/>
  <c r="Q85" i="8"/>
  <c r="AE20" i="8"/>
  <c r="D124" i="8"/>
  <c r="C124" i="8" s="1"/>
  <c r="U25" i="8"/>
  <c r="AM13" i="8"/>
  <c r="Z15" i="8"/>
  <c r="AB15" i="8" s="1"/>
  <c r="AD15" i="8" s="1"/>
  <c r="AM15" i="8"/>
  <c r="AE17" i="8"/>
  <c r="G27" i="8"/>
  <c r="AM28" i="8"/>
  <c r="Z41" i="8"/>
  <c r="AB41" i="8" s="1"/>
  <c r="AD41" i="8" s="1"/>
  <c r="D89" i="8"/>
  <c r="AM41" i="8"/>
  <c r="Z47" i="8"/>
  <c r="AB47" i="8" s="1"/>
  <c r="AD47" i="8" s="1"/>
  <c r="AM56" i="8"/>
  <c r="Z70" i="8"/>
  <c r="AB70" i="8" s="1"/>
  <c r="AD70" i="8" s="1"/>
  <c r="AM70" i="8"/>
  <c r="Z72" i="8"/>
  <c r="AB72" i="8" s="1"/>
  <c r="AD72" i="8" s="1"/>
  <c r="Z75" i="8"/>
  <c r="AB75" i="8" s="1"/>
  <c r="AD75" i="8" s="1"/>
  <c r="AM75" i="8"/>
  <c r="Z80" i="8"/>
  <c r="AB80" i="8" s="1"/>
  <c r="AD80" i="8" s="1"/>
  <c r="AM80" i="8"/>
  <c r="Z82" i="8"/>
  <c r="AB82" i="8" s="1"/>
  <c r="AD82" i="8" s="1"/>
  <c r="AM82" i="8"/>
  <c r="Z50" i="8"/>
  <c r="AB50" i="8" s="1"/>
  <c r="AD50" i="8" s="1"/>
  <c r="AM50" i="8"/>
  <c r="Z59" i="8"/>
  <c r="AB59" i="8" s="1"/>
  <c r="AD59" i="8" s="1"/>
  <c r="AM59" i="8"/>
  <c r="Z65" i="8"/>
  <c r="AB65" i="8" s="1"/>
  <c r="AD65" i="8" s="1"/>
  <c r="AM65" i="8"/>
  <c r="Z68" i="8"/>
  <c r="AB68" i="8" s="1"/>
  <c r="AD68" i="8" s="1"/>
  <c r="AM68" i="8"/>
  <c r="AE39" i="8"/>
  <c r="AM39" i="8"/>
  <c r="Z73" i="8"/>
  <c r="AB73" i="8" s="1"/>
  <c r="AD73" i="8" s="1"/>
  <c r="AM73" i="8"/>
  <c r="AE12" i="8"/>
  <c r="D127" i="8"/>
  <c r="C127" i="8" s="1"/>
  <c r="Z19" i="8"/>
  <c r="AB19" i="8" s="1"/>
  <c r="AD19" i="8" s="1"/>
  <c r="AM19" i="8"/>
  <c r="AE41" i="8"/>
  <c r="Z14" i="8"/>
  <c r="AB14" i="8" s="1"/>
  <c r="AD14" i="8" s="1"/>
  <c r="Z18" i="8"/>
  <c r="AB18" i="8" s="1"/>
  <c r="AD18" i="8" s="1"/>
  <c r="AM18" i="8"/>
  <c r="AE21" i="8"/>
  <c r="AD40" i="8"/>
  <c r="AM40" i="8"/>
  <c r="AM45" i="8"/>
  <c r="Z49" i="8"/>
  <c r="AB49" i="8" s="1"/>
  <c r="AD49" i="8" s="1"/>
  <c r="Z53" i="8"/>
  <c r="AB53" i="8" s="1"/>
  <c r="AD53" i="8" s="1"/>
  <c r="AM53" i="8"/>
  <c r="Z58" i="8"/>
  <c r="AB58" i="8" s="1"/>
  <c r="AD58" i="8" s="1"/>
  <c r="AM58" i="8"/>
  <c r="Z62" i="8"/>
  <c r="AB62" i="8" s="1"/>
  <c r="AD62" i="8" s="1"/>
  <c r="Z76" i="8"/>
  <c r="AB76" i="8" s="1"/>
  <c r="AD76" i="8" s="1"/>
  <c r="AM76" i="8"/>
  <c r="U16" i="8"/>
  <c r="AM16" i="8" s="1"/>
  <c r="Z23" i="8"/>
  <c r="AB23" i="8" s="1"/>
  <c r="AD23" i="8" s="1"/>
  <c r="AM23" i="8"/>
  <c r="Z29" i="8"/>
  <c r="AM37" i="8"/>
  <c r="Z55" i="8"/>
  <c r="AB55" i="8" s="1"/>
  <c r="AD55" i="8" s="1"/>
  <c r="AM55" i="8"/>
  <c r="U62" i="8"/>
  <c r="AE62" i="8" s="1"/>
  <c r="AM67" i="8"/>
  <c r="AE68" i="8"/>
  <c r="Z71" i="8"/>
  <c r="AB71" i="8" s="1"/>
  <c r="AD71" i="8" s="1"/>
  <c r="Z74" i="8"/>
  <c r="AB74" i="8" s="1"/>
  <c r="AD74" i="8" s="1"/>
  <c r="AM74" i="8"/>
  <c r="Z79" i="8"/>
  <c r="AB79" i="8" s="1"/>
  <c r="AD79" i="8" s="1"/>
  <c r="AM79" i="8"/>
  <c r="Z81" i="8"/>
  <c r="AB81" i="8" s="1"/>
  <c r="AD81" i="8" s="1"/>
  <c r="AM81" i="8"/>
  <c r="Z83" i="8"/>
  <c r="AB83" i="8" s="1"/>
  <c r="AD83" i="8" s="1"/>
  <c r="AM83" i="8"/>
  <c r="Z12" i="8"/>
  <c r="AB12" i="8" s="1"/>
  <c r="AD12" i="8" s="1"/>
  <c r="D102" i="8"/>
  <c r="AM12" i="8"/>
  <c r="Z43" i="8"/>
  <c r="AB43" i="8" s="1"/>
  <c r="AD43" i="8" s="1"/>
  <c r="AM43" i="8"/>
  <c r="Z46" i="8"/>
  <c r="AB46" i="8" s="1"/>
  <c r="AD46" i="8" s="1"/>
  <c r="AM46" i="8"/>
  <c r="U14" i="8"/>
  <c r="AE14" i="8" s="1"/>
  <c r="Z17" i="8"/>
  <c r="AB17" i="8" s="1"/>
  <c r="AD17" i="8" s="1"/>
  <c r="D96" i="8"/>
  <c r="AM17" i="8"/>
  <c r="G25" i="8"/>
  <c r="Z26" i="8"/>
  <c r="AB26" i="8" s="1"/>
  <c r="AD26" i="8" s="1"/>
  <c r="D90" i="8"/>
  <c r="AM26" i="8"/>
  <c r="AM42" i="8"/>
  <c r="Z48" i="8"/>
  <c r="AB48" i="8" s="1"/>
  <c r="AD48" i="8" s="1"/>
  <c r="AM48" i="8"/>
  <c r="Z51" i="8"/>
  <c r="AB51" i="8" s="1"/>
  <c r="AD51" i="8" s="1"/>
  <c r="AD57" i="8"/>
  <c r="AM57" i="8"/>
  <c r="Z61" i="8"/>
  <c r="AB61" i="8" s="1"/>
  <c r="AD61" i="8" s="1"/>
  <c r="AM61" i="8"/>
  <c r="Z64" i="8"/>
  <c r="AB64" i="8" s="1"/>
  <c r="AD64" i="8" s="1"/>
  <c r="AM64" i="8"/>
  <c r="Z69" i="8"/>
  <c r="AB69" i="8" s="1"/>
  <c r="AD69" i="8" s="1"/>
  <c r="AM69" i="8"/>
  <c r="AE11" i="8"/>
  <c r="Z11" i="8"/>
  <c r="AB11" i="8" s="1"/>
  <c r="AD11" i="8" s="1"/>
  <c r="AM11" i="8"/>
  <c r="H29" i="8"/>
  <c r="U29" i="8"/>
  <c r="AM29" i="8" s="1"/>
  <c r="AE16" i="8"/>
  <c r="AD45" i="8"/>
  <c r="T21" i="8"/>
  <c r="H25" i="8"/>
  <c r="AE29" i="8"/>
  <c r="G52" i="8"/>
  <c r="U51" i="8"/>
  <c r="AE51" i="8" s="1"/>
  <c r="G45" i="8"/>
  <c r="X63" i="8"/>
  <c r="AM117" i="21"/>
  <c r="D8" i="15" s="1"/>
  <c r="E8" i="15" s="1"/>
  <c r="D112" i="21"/>
  <c r="AJ110" i="21"/>
  <c r="AJ109" i="21"/>
  <c r="AK109" i="21" s="1"/>
  <c r="AM109" i="21" s="1"/>
  <c r="AJ108" i="21"/>
  <c r="AK108" i="21" s="1"/>
  <c r="AM108" i="21" s="1"/>
  <c r="A108" i="21"/>
  <c r="A109" i="21" s="1"/>
  <c r="A110" i="21" s="1"/>
  <c r="AK107" i="21"/>
  <c r="AM107" i="21" s="1"/>
  <c r="AJ107" i="21"/>
  <c r="A107" i="21"/>
  <c r="AJ104" i="21"/>
  <c r="AJ103" i="21"/>
  <c r="AK103" i="21" s="1"/>
  <c r="AM103" i="21" s="1"/>
  <c r="AJ102" i="21"/>
  <c r="AK102" i="21" s="1"/>
  <c r="AM102" i="21" s="1"/>
  <c r="AJ101" i="21"/>
  <c r="AK101" i="21" s="1"/>
  <c r="AM101" i="21" s="1"/>
  <c r="AK100" i="21"/>
  <c r="AM100" i="21" s="1"/>
  <c r="AJ100" i="21"/>
  <c r="AJ99" i="21"/>
  <c r="AK99" i="21" s="1"/>
  <c r="AM99" i="21" s="1"/>
  <c r="AK98" i="21"/>
  <c r="AM98" i="21" s="1"/>
  <c r="AJ98" i="21"/>
  <c r="AK97" i="21"/>
  <c r="AM97" i="21" s="1"/>
  <c r="AJ97" i="21"/>
  <c r="AM96" i="21"/>
  <c r="AJ95" i="21"/>
  <c r="AK95" i="21" s="1"/>
  <c r="AM95" i="21" s="1"/>
  <c r="AK94" i="21"/>
  <c r="AM94" i="21" s="1"/>
  <c r="AJ94" i="21"/>
  <c r="AJ93" i="21"/>
  <c r="AK93" i="21" s="1"/>
  <c r="AM93" i="21" s="1"/>
  <c r="AK92" i="21"/>
  <c r="AM92" i="21" s="1"/>
  <c r="AJ92" i="21"/>
  <c r="AK91" i="21"/>
  <c r="AM91" i="21" s="1"/>
  <c r="AJ91" i="21"/>
  <c r="AJ90" i="21"/>
  <c r="AK90" i="21" s="1"/>
  <c r="AM90" i="21" s="1"/>
  <c r="AJ89" i="21"/>
  <c r="AK89" i="21" s="1"/>
  <c r="AM89" i="21" s="1"/>
  <c r="AJ88" i="21"/>
  <c r="AK88" i="21" s="1"/>
  <c r="AM88" i="21" s="1"/>
  <c r="AJ87" i="21"/>
  <c r="AK87" i="21" s="1"/>
  <c r="AM87" i="21" s="1"/>
  <c r="AJ86" i="21"/>
  <c r="AK86" i="21" s="1"/>
  <c r="AM86" i="21" s="1"/>
  <c r="AJ85" i="21"/>
  <c r="AK85" i="21" s="1"/>
  <c r="AM85" i="21" s="1"/>
  <c r="AJ84" i="21"/>
  <c r="AK84" i="21" s="1"/>
  <c r="AM84" i="21" s="1"/>
  <c r="AJ83" i="21"/>
  <c r="AJ82" i="21"/>
  <c r="AK82" i="21" s="1"/>
  <c r="AM82" i="21" s="1"/>
  <c r="AJ81" i="21"/>
  <c r="AK81" i="21" s="1"/>
  <c r="AM81" i="21" s="1"/>
  <c r="AJ80" i="21"/>
  <c r="AK80" i="21" s="1"/>
  <c r="AM80" i="21" s="1"/>
  <c r="AJ79" i="21"/>
  <c r="AK79" i="21" s="1"/>
  <c r="AM79" i="21" s="1"/>
  <c r="AK78" i="21"/>
  <c r="AM78" i="21" s="1"/>
  <c r="AJ78" i="21"/>
  <c r="AJ77" i="21"/>
  <c r="AK77" i="21" s="1"/>
  <c r="AM77" i="21" s="1"/>
  <c r="AK76" i="21"/>
  <c r="AM76" i="21" s="1"/>
  <c r="AJ76" i="21"/>
  <c r="AK75" i="21"/>
  <c r="AM75" i="21" s="1"/>
  <c r="AJ75" i="21"/>
  <c r="AJ74" i="21"/>
  <c r="AK74" i="21" s="1"/>
  <c r="AM74" i="21" s="1"/>
  <c r="AJ73" i="21"/>
  <c r="AK73" i="21" s="1"/>
  <c r="AM73" i="21" s="1"/>
  <c r="AJ72" i="21"/>
  <c r="AK72" i="21" s="1"/>
  <c r="AM72" i="21" s="1"/>
  <c r="AJ71" i="21"/>
  <c r="AK71" i="21" s="1"/>
  <c r="AM71" i="21" s="1"/>
  <c r="AJ70" i="21"/>
  <c r="AK70" i="21" s="1"/>
  <c r="AM70" i="21" s="1"/>
  <c r="AJ69" i="21"/>
  <c r="AK69" i="21" s="1"/>
  <c r="AM69" i="21" s="1"/>
  <c r="AJ68" i="21"/>
  <c r="AK68" i="21" s="1"/>
  <c r="AM68" i="21" s="1"/>
  <c r="AJ67" i="21"/>
  <c r="AJ66" i="21"/>
  <c r="AK66" i="21" s="1"/>
  <c r="AM66" i="21" s="1"/>
  <c r="AJ65" i="21"/>
  <c r="AK65" i="21" s="1"/>
  <c r="AM65" i="21" s="1"/>
  <c r="AJ64" i="21"/>
  <c r="AK64" i="21" s="1"/>
  <c r="AM64" i="21" s="1"/>
  <c r="AJ61" i="21"/>
  <c r="AK61" i="21" s="1"/>
  <c r="AM61" i="21" s="1"/>
  <c r="AL59" i="21"/>
  <c r="AJ59" i="21"/>
  <c r="AL58" i="21"/>
  <c r="AJ58" i="21"/>
  <c r="AK58" i="21" s="1"/>
  <c r="AL57" i="21"/>
  <c r="AM57" i="21" s="1"/>
  <c r="AK57" i="21"/>
  <c r="AJ57" i="21"/>
  <c r="AL56" i="21"/>
  <c r="AJ56" i="21"/>
  <c r="AK56" i="21" s="1"/>
  <c r="AL55" i="21"/>
  <c r="AJ55" i="21"/>
  <c r="AL54" i="21"/>
  <c r="AJ54" i="21"/>
  <c r="AK54" i="21" s="1"/>
  <c r="AJ53" i="21"/>
  <c r="AK53" i="21" s="1"/>
  <c r="AM53" i="21" s="1"/>
  <c r="AJ52" i="21"/>
  <c r="AK52" i="21" s="1"/>
  <c r="AM52" i="21" s="1"/>
  <c r="AJ51" i="21"/>
  <c r="AK51" i="21" s="1"/>
  <c r="AM51" i="21" s="1"/>
  <c r="AJ50" i="21"/>
  <c r="AJ49" i="21"/>
  <c r="AK49" i="21" s="1"/>
  <c r="AM49" i="21" s="1"/>
  <c r="AJ48" i="21"/>
  <c r="AK48" i="21" s="1"/>
  <c r="AM48" i="21" s="1"/>
  <c r="AJ47" i="21"/>
  <c r="AK47" i="21" s="1"/>
  <c r="AM47" i="21" s="1"/>
  <c r="AJ46" i="21"/>
  <c r="AK46" i="21" s="1"/>
  <c r="AM46" i="21" s="1"/>
  <c r="AK45" i="21"/>
  <c r="AM45" i="21" s="1"/>
  <c r="AJ45" i="21"/>
  <c r="AJ44" i="21"/>
  <c r="AK44" i="21" s="1"/>
  <c r="AM44" i="21" s="1"/>
  <c r="AK43" i="21"/>
  <c r="AM43" i="21" s="1"/>
  <c r="AJ43" i="21"/>
  <c r="AK42" i="21"/>
  <c r="AM42" i="21" s="1"/>
  <c r="AJ42" i="21"/>
  <c r="AK41" i="21"/>
  <c r="AM41" i="21" s="1"/>
  <c r="AJ41" i="21"/>
  <c r="AJ40" i="21"/>
  <c r="AK40" i="21" s="1"/>
  <c r="AM40" i="21" s="1"/>
  <c r="AJ39" i="21"/>
  <c r="AJ38" i="21"/>
  <c r="AK38" i="21" s="1"/>
  <c r="AM38" i="21" s="1"/>
  <c r="AJ37" i="21"/>
  <c r="AK37" i="21" s="1"/>
  <c r="AM37" i="21" s="1"/>
  <c r="AJ36" i="21"/>
  <c r="AK36" i="21" s="1"/>
  <c r="AM36" i="21" s="1"/>
  <c r="AJ35" i="21"/>
  <c r="AK35" i="21" s="1"/>
  <c r="AM35" i="21" s="1"/>
  <c r="AJ34" i="21"/>
  <c r="AJ33" i="21"/>
  <c r="AK33" i="21" s="1"/>
  <c r="AM33" i="21" s="1"/>
  <c r="AJ32" i="21"/>
  <c r="AK32" i="21" s="1"/>
  <c r="AM32" i="21" s="1"/>
  <c r="AJ31" i="21"/>
  <c r="AK31" i="21" s="1"/>
  <c r="AM31" i="21" s="1"/>
  <c r="AJ30" i="21"/>
  <c r="AK30" i="21" s="1"/>
  <c r="AM30" i="21" s="1"/>
  <c r="AK29" i="21"/>
  <c r="AM29" i="21" s="1"/>
  <c r="AJ29" i="21"/>
  <c r="AJ28" i="21"/>
  <c r="AK28" i="21" s="1"/>
  <c r="AM28" i="21" s="1"/>
  <c r="AK27" i="21"/>
  <c r="AM27" i="21" s="1"/>
  <c r="AJ27" i="21"/>
  <c r="AK26" i="21"/>
  <c r="AM26" i="21" s="1"/>
  <c r="AJ26" i="21"/>
  <c r="AJ25" i="21"/>
  <c r="AK25" i="21" s="1"/>
  <c r="AM25" i="21" s="1"/>
  <c r="AJ24" i="21"/>
  <c r="AK24" i="21" s="1"/>
  <c r="AM24" i="21" s="1"/>
  <c r="AJ23" i="21"/>
  <c r="AJ22" i="21"/>
  <c r="AK22" i="21" s="1"/>
  <c r="AM22" i="21" s="1"/>
  <c r="AJ21" i="21"/>
  <c r="AK21" i="21" s="1"/>
  <c r="AM21" i="21" s="1"/>
  <c r="AJ20" i="21"/>
  <c r="AK20" i="21" s="1"/>
  <c r="AM20" i="21" s="1"/>
  <c r="AJ19" i="21"/>
  <c r="AK19" i="21" s="1"/>
  <c r="AM19" i="21" s="1"/>
  <c r="AM18" i="21"/>
  <c r="AK18" i="21"/>
  <c r="AJ18" i="21"/>
  <c r="AJ17" i="21"/>
  <c r="AK17" i="21" s="1"/>
  <c r="AM17" i="21" s="1"/>
  <c r="AJ16" i="21"/>
  <c r="AK16" i="21" s="1"/>
  <c r="AM16" i="21" s="1"/>
  <c r="AJ15" i="21"/>
  <c r="AK15" i="21" s="1"/>
  <c r="AM15" i="21" s="1"/>
  <c r="AJ12" i="21"/>
  <c r="AK12" i="21" s="1"/>
  <c r="AM12" i="21" s="1"/>
  <c r="AK11" i="21"/>
  <c r="AM11" i="21" s="1"/>
  <c r="AJ11" i="21"/>
  <c r="AJ10" i="21"/>
  <c r="AK10" i="21" s="1"/>
  <c r="AM10" i="21" s="1"/>
  <c r="AJ8" i="21"/>
  <c r="AK8" i="21" s="1"/>
  <c r="F7" i="21"/>
  <c r="G7" i="21" s="1"/>
  <c r="H7" i="21" s="1"/>
  <c r="I7" i="21" s="1"/>
  <c r="J7" i="21" s="1"/>
  <c r="K7" i="21" s="1"/>
  <c r="L7" i="21" s="1"/>
  <c r="M7" i="21" s="1"/>
  <c r="N7" i="21" s="1"/>
  <c r="O7" i="21" s="1"/>
  <c r="P7" i="21" s="1"/>
  <c r="Q7" i="21" s="1"/>
  <c r="R7" i="21" s="1"/>
  <c r="S7" i="21" s="1"/>
  <c r="T7" i="21" s="1"/>
  <c r="U7" i="21" s="1"/>
  <c r="V7" i="21" s="1"/>
  <c r="W7" i="21" s="1"/>
  <c r="X7" i="21" s="1"/>
  <c r="Y7" i="21" s="1"/>
  <c r="Z7" i="21" s="1"/>
  <c r="AA7" i="21" s="1"/>
  <c r="AB7" i="21" s="1"/>
  <c r="AC7" i="21" s="1"/>
  <c r="AD7" i="21" s="1"/>
  <c r="AE7" i="21" s="1"/>
  <c r="AF7" i="21" s="1"/>
  <c r="AG7" i="21" s="1"/>
  <c r="AH7" i="21" s="1"/>
  <c r="AI7" i="21" s="1"/>
  <c r="AJ3" i="21"/>
  <c r="AK83" i="21" s="1"/>
  <c r="AM83" i="21" s="1"/>
  <c r="D125" i="8" l="1"/>
  <c r="C125" i="8" s="1"/>
  <c r="AB29" i="8"/>
  <c r="AD29" i="8" s="1"/>
  <c r="Z21" i="8"/>
  <c r="AB21" i="8" s="1"/>
  <c r="AD21" i="8" s="1"/>
  <c r="AM21" i="8"/>
  <c r="D100" i="8"/>
  <c r="D115" i="8"/>
  <c r="C115" i="8" s="1"/>
  <c r="AM14" i="8"/>
  <c r="AM51" i="8"/>
  <c r="AE25" i="8"/>
  <c r="D123" i="8"/>
  <c r="C123" i="8" s="1"/>
  <c r="Z25" i="8"/>
  <c r="AB25" i="8" s="1"/>
  <c r="AD25" i="8" s="1"/>
  <c r="D98" i="8"/>
  <c r="AM25" i="8"/>
  <c r="AM62" i="8"/>
  <c r="D114" i="8"/>
  <c r="C114" i="8" s="1"/>
  <c r="D120" i="8"/>
  <c r="AB9" i="8"/>
  <c r="AD9" i="8" s="1"/>
  <c r="D95" i="8"/>
  <c r="AM9" i="8"/>
  <c r="AM58" i="21"/>
  <c r="AM54" i="21"/>
  <c r="AM56" i="21"/>
  <c r="AK104" i="21"/>
  <c r="AM104" i="21" s="1"/>
  <c r="AK110" i="21"/>
  <c r="AM110" i="21" s="1"/>
  <c r="AK23" i="21"/>
  <c r="AM23" i="21" s="1"/>
  <c r="AK39" i="21"/>
  <c r="AM39" i="21" s="1"/>
  <c r="AK34" i="21"/>
  <c r="AM34" i="21" s="1"/>
  <c r="AK50" i="21"/>
  <c r="AM50" i="21" s="1"/>
  <c r="AK55" i="21"/>
  <c r="AM55" i="21" s="1"/>
  <c r="AK59" i="21"/>
  <c r="AM59" i="21" s="1"/>
  <c r="AK67" i="21"/>
  <c r="AM67" i="21" s="1"/>
  <c r="AM85" i="8" l="1"/>
  <c r="C120" i="8"/>
  <c r="C128" i="8" s="1"/>
  <c r="D128" i="8"/>
  <c r="AM112" i="21"/>
  <c r="C59" i="13" l="1"/>
  <c r="D59" i="13"/>
  <c r="G3" i="2" l="1"/>
  <c r="D14" i="7" l="1"/>
  <c r="C16" i="5"/>
  <c r="E10" i="14"/>
  <c r="C12" i="14" l="1"/>
  <c r="D19" i="6"/>
  <c r="F17" i="6"/>
  <c r="I12" i="19" l="1"/>
  <c r="AI37" i="8"/>
  <c r="D15" i="5" l="1"/>
  <c r="E13" i="19"/>
  <c r="P85" i="8" l="1"/>
  <c r="I13" i="19" l="1"/>
  <c r="H18" i="6" s="1"/>
  <c r="F18" i="6" s="1"/>
  <c r="I14" i="19"/>
  <c r="F13" i="7" s="1"/>
  <c r="I15" i="19"/>
  <c r="E11" i="14" s="1"/>
  <c r="E50" i="19"/>
  <c r="D11" i="14" l="1"/>
  <c r="D12" i="14" s="1"/>
  <c r="E12" i="14"/>
  <c r="I16" i="19"/>
  <c r="G11" i="2" l="1"/>
  <c r="C44" i="3" l="1"/>
  <c r="C38" i="3"/>
  <c r="C29" i="3"/>
  <c r="D52" i="3" l="1"/>
  <c r="G40" i="3"/>
  <c r="D51" i="3"/>
  <c r="D14" i="20" l="1"/>
  <c r="H13" i="6" l="1"/>
  <c r="F6" i="19" l="1"/>
  <c r="E103" i="8" l="1"/>
  <c r="A10" i="8" l="1"/>
  <c r="A11" i="8" s="1"/>
  <c r="A12" i="8" s="1"/>
  <c r="A13" i="8" s="1"/>
  <c r="A14" i="8" s="1"/>
  <c r="A15" i="8" s="1"/>
  <c r="A16" i="8" s="1"/>
  <c r="A17" i="8" s="1"/>
  <c r="A18" i="8" s="1"/>
  <c r="A19" i="8" s="1"/>
  <c r="A20" i="8" s="1"/>
  <c r="A21" i="8" s="1"/>
  <c r="A22" i="8" s="1"/>
  <c r="A23" i="8" s="1"/>
  <c r="A24" i="8" s="1"/>
  <c r="A25" i="8" s="1"/>
  <c r="A26" i="8" s="1"/>
  <c r="A27" i="8" s="1"/>
  <c r="A28" i="8" s="1"/>
  <c r="A29" i="8" s="1"/>
  <c r="A32" i="8" s="1"/>
  <c r="A33" i="8" s="1"/>
  <c r="A35" i="8" s="1"/>
  <c r="A36" i="8" s="1"/>
  <c r="A37" i="8" s="1"/>
  <c r="A38"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l="1"/>
  <c r="A76" i="8" s="1"/>
  <c r="A77" i="8" s="1"/>
  <c r="A78" i="8" s="1"/>
  <c r="A80" i="8" s="1"/>
  <c r="A81" i="8" s="1"/>
  <c r="A82" i="8" s="1"/>
  <c r="A83" i="8" s="1"/>
  <c r="C12" i="4"/>
  <c r="C11" i="4"/>
  <c r="I7" i="9" l="1"/>
  <c r="F27" i="18" l="1"/>
  <c r="E27" i="18"/>
  <c r="F15" i="18"/>
  <c r="E15" i="18"/>
  <c r="E11" i="18"/>
  <c r="F11" i="18"/>
  <c r="F34" i="18" l="1"/>
  <c r="E34" i="18"/>
  <c r="F11" i="7" l="1"/>
  <c r="S16" i="1" s="1"/>
  <c r="E13" i="5"/>
  <c r="Q16" i="1" s="1"/>
  <c r="X13" i="1" l="1"/>
  <c r="X17" i="1" s="1"/>
  <c r="E12" i="7"/>
  <c r="E13" i="7"/>
  <c r="G39" i="12" l="1"/>
  <c r="AG32" i="8" l="1"/>
  <c r="AG33" i="8"/>
  <c r="AG35" i="8"/>
  <c r="AG36" i="8"/>
  <c r="AG37" i="8"/>
  <c r="AG38" i="8"/>
  <c r="AG39" i="8"/>
  <c r="AG78" i="8"/>
  <c r="S14" i="1" l="1"/>
  <c r="Q12" i="1"/>
  <c r="AG72" i="8" l="1"/>
  <c r="AG73" i="8"/>
  <c r="AG74" i="8"/>
  <c r="AG71" i="8"/>
  <c r="AG9" i="8"/>
  <c r="AG70" i="8" l="1"/>
  <c r="AG69" i="8"/>
  <c r="AG68" i="8"/>
  <c r="AG67" i="8"/>
  <c r="V11" i="1" l="1"/>
  <c r="W13" i="1"/>
  <c r="W17" i="1" s="1"/>
  <c r="H7" i="13"/>
  <c r="F12" i="20" s="1"/>
  <c r="D47" i="13"/>
  <c r="D39" i="13"/>
  <c r="F10" i="7"/>
  <c r="F14" i="7" s="1"/>
  <c r="H16" i="6"/>
  <c r="H15" i="6"/>
  <c r="H14" i="6"/>
  <c r="H12" i="6"/>
  <c r="H19" i="6" s="1"/>
  <c r="G13" i="6"/>
  <c r="G14" i="6"/>
  <c r="G15" i="6"/>
  <c r="G16" i="6"/>
  <c r="G12" i="6"/>
  <c r="E12" i="5"/>
  <c r="E12" i="20" l="1"/>
  <c r="S13" i="1"/>
  <c r="S17" i="1" s="1"/>
  <c r="E12" i="4"/>
  <c r="Q14" i="1"/>
  <c r="V17" i="1"/>
  <c r="V18" i="1" s="1"/>
  <c r="Y11" i="1"/>
  <c r="E9" i="15"/>
  <c r="D9" i="15" s="1"/>
  <c r="F19" i="6" l="1"/>
  <c r="F6" i="12" l="1"/>
  <c r="E5" i="4" s="1"/>
  <c r="E6" i="5" s="1"/>
  <c r="H5" i="6" s="1"/>
  <c r="F5" i="20" s="1"/>
  <c r="F5" i="11"/>
  <c r="C5" i="11"/>
  <c r="E5" i="14" s="1"/>
  <c r="M2" i="18" s="1"/>
  <c r="G6" i="10"/>
  <c r="I6" i="9" s="1"/>
  <c r="E13" i="4"/>
  <c r="D13" i="4"/>
  <c r="D12" i="4"/>
  <c r="C13" i="4"/>
  <c r="C10" i="4"/>
  <c r="H35" i="1"/>
  <c r="H34" i="1"/>
  <c r="H33" i="1"/>
  <c r="H32" i="1"/>
  <c r="H31" i="1"/>
  <c r="H27" i="1"/>
  <c r="H18" i="1"/>
  <c r="J13" i="9" s="1"/>
  <c r="H16" i="1"/>
  <c r="W18" i="1" l="1"/>
  <c r="F5" i="7"/>
  <c r="F5" i="19"/>
  <c r="C15" i="4"/>
  <c r="G15" i="1"/>
  <c r="Z11" i="1" s="1"/>
  <c r="G48" i="3"/>
  <c r="G22" i="3"/>
  <c r="G21" i="3"/>
  <c r="G12" i="3"/>
  <c r="G11" i="3"/>
  <c r="G10" i="3"/>
  <c r="G8" i="3"/>
  <c r="G5" i="3"/>
  <c r="G4" i="3"/>
  <c r="G2" i="3"/>
  <c r="I7" i="1" s="1"/>
  <c r="V107" i="8" l="1"/>
  <c r="C94" i="8"/>
  <c r="AA85" i="8"/>
  <c r="W85" i="8"/>
  <c r="S85" i="8"/>
  <c r="R85" i="8"/>
  <c r="O85" i="8"/>
  <c r="N85" i="8"/>
  <c r="M85" i="8"/>
  <c r="L85" i="8"/>
  <c r="J85" i="8"/>
  <c r="F85" i="8"/>
  <c r="G69" i="1" l="1"/>
  <c r="G27" i="12"/>
  <c r="AG24" i="8"/>
  <c r="C91" i="8"/>
  <c r="T12" i="1"/>
  <c r="AG52" i="8"/>
  <c r="AG11" i="8"/>
  <c r="AG43" i="8"/>
  <c r="AG45" i="8"/>
  <c r="AG31" i="8"/>
  <c r="C97" i="8"/>
  <c r="AG47" i="8"/>
  <c r="V85" i="8"/>
  <c r="H16" i="10" s="1"/>
  <c r="C102" i="8"/>
  <c r="AG20" i="8"/>
  <c r="AG61" i="8"/>
  <c r="AG42" i="8"/>
  <c r="AG81" i="8"/>
  <c r="AG84" i="8"/>
  <c r="AG56" i="8"/>
  <c r="AG10" i="8"/>
  <c r="C96" i="8"/>
  <c r="AG66" i="8"/>
  <c r="AG63" i="8"/>
  <c r="U85" i="8"/>
  <c r="AG27" i="8"/>
  <c r="G18" i="12"/>
  <c r="AG83" i="8"/>
  <c r="AG30" i="8"/>
  <c r="AG44" i="8"/>
  <c r="AG48" i="8"/>
  <c r="AG51" i="8"/>
  <c r="AG82" i="8"/>
  <c r="H85" i="8"/>
  <c r="AC85" i="8"/>
  <c r="G67" i="1" s="1"/>
  <c r="AG79" i="8" l="1"/>
  <c r="AG64" i="8"/>
  <c r="AG23" i="8"/>
  <c r="AG54" i="8"/>
  <c r="C98" i="8"/>
  <c r="G37" i="1"/>
  <c r="AG28" i="8"/>
  <c r="AG60" i="8"/>
  <c r="AG62" i="8"/>
  <c r="AG19" i="8"/>
  <c r="AG21" i="8"/>
  <c r="AG49" i="8"/>
  <c r="AG22" i="8"/>
  <c r="AG12" i="8"/>
  <c r="AG59" i="8"/>
  <c r="AG17" i="8"/>
  <c r="AG25" i="8"/>
  <c r="AG18" i="8"/>
  <c r="AG46" i="8"/>
  <c r="AG80" i="8"/>
  <c r="AG57" i="8"/>
  <c r="AG50" i="8"/>
  <c r="AG15" i="8"/>
  <c r="AG16" i="8"/>
  <c r="AG41" i="8"/>
  <c r="AG65" i="8"/>
  <c r="AG58" i="8"/>
  <c r="AG40" i="8"/>
  <c r="AG55" i="8"/>
  <c r="AG13" i="8"/>
  <c r="AG14" i="8"/>
  <c r="G45" i="1"/>
  <c r="AE85" i="8"/>
  <c r="G38" i="1"/>
  <c r="H26" i="1"/>
  <c r="C15" i="17"/>
  <c r="D14" i="17"/>
  <c r="D13" i="17"/>
  <c r="E12" i="17"/>
  <c r="E15" i="17" s="1"/>
  <c r="D11" i="17"/>
  <c r="D10" i="17"/>
  <c r="D9" i="17"/>
  <c r="C33" i="13"/>
  <c r="H8" i="13"/>
  <c r="C23" i="13"/>
  <c r="D6" i="13"/>
  <c r="G10" i="11"/>
  <c r="G41" i="11" s="1"/>
  <c r="G44" i="2" s="1"/>
  <c r="G44" i="3" s="1"/>
  <c r="E27" i="2"/>
  <c r="E27" i="3" s="1"/>
  <c r="S18" i="1"/>
  <c r="D15" i="17" l="1"/>
  <c r="H6" i="13"/>
  <c r="F11" i="20" s="1"/>
  <c r="E11" i="20" s="1"/>
  <c r="H5" i="13"/>
  <c r="U13" i="1" s="1"/>
  <c r="U15" i="1"/>
  <c r="F13" i="20"/>
  <c r="G24" i="1"/>
  <c r="I24" i="1" s="1"/>
  <c r="R12" i="1"/>
  <c r="E14" i="7"/>
  <c r="G23" i="2"/>
  <c r="J10" i="2"/>
  <c r="G9" i="2"/>
  <c r="G9" i="3" s="1"/>
  <c r="E63" i="1"/>
  <c r="C63" i="1"/>
  <c r="M60" i="1"/>
  <c r="M63" i="1" s="1"/>
  <c r="C57" i="1"/>
  <c r="F56" i="1"/>
  <c r="F55" i="1"/>
  <c r="M52" i="1"/>
  <c r="E52" i="1"/>
  <c r="C52" i="1"/>
  <c r="I50" i="1"/>
  <c r="J50" i="1" s="1"/>
  <c r="I49" i="1"/>
  <c r="F49" i="1" s="1"/>
  <c r="I47" i="1"/>
  <c r="F47" i="1" s="1"/>
  <c r="I45" i="1"/>
  <c r="I44" i="1"/>
  <c r="I43" i="1"/>
  <c r="F43" i="1" s="1"/>
  <c r="I42" i="1"/>
  <c r="J42" i="1" s="1"/>
  <c r="I40" i="1"/>
  <c r="I39" i="1"/>
  <c r="F39" i="1" s="1"/>
  <c r="I38" i="1"/>
  <c r="J38" i="1" s="1"/>
  <c r="I35" i="1"/>
  <c r="J35" i="1" s="1"/>
  <c r="I34" i="1"/>
  <c r="I33" i="1"/>
  <c r="I32" i="1"/>
  <c r="I31" i="1"/>
  <c r="M28" i="1"/>
  <c r="E28" i="1"/>
  <c r="C28" i="1"/>
  <c r="I27" i="1"/>
  <c r="H28" i="1"/>
  <c r="G16" i="12" s="1"/>
  <c r="M19" i="1"/>
  <c r="E19" i="1"/>
  <c r="C19" i="1"/>
  <c r="I18" i="1"/>
  <c r="I16" i="1"/>
  <c r="J15" i="9" s="1"/>
  <c r="U14" i="1" l="1"/>
  <c r="U17" i="1" s="1"/>
  <c r="U18" i="1" s="1"/>
  <c r="H9" i="13"/>
  <c r="E14" i="4"/>
  <c r="D14" i="4" s="1"/>
  <c r="F10" i="20"/>
  <c r="F14" i="20" s="1"/>
  <c r="M65" i="1"/>
  <c r="E13" i="20"/>
  <c r="C65" i="1"/>
  <c r="R17" i="1"/>
  <c r="R18" i="1" s="1"/>
  <c r="Y12" i="1"/>
  <c r="Z12" i="1" s="1"/>
  <c r="E65" i="1"/>
  <c r="H5" i="11"/>
  <c r="F5" i="12"/>
  <c r="G3" i="3"/>
  <c r="G5" i="10"/>
  <c r="I5" i="9" s="1"/>
  <c r="H19" i="1"/>
  <c r="G15" i="12"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I15" i="1"/>
  <c r="F35" i="1"/>
  <c r="F38" i="1"/>
  <c r="E10" i="20" l="1"/>
  <c r="E14" i="20" s="1"/>
  <c r="F4" i="20"/>
  <c r="I5" i="1"/>
  <c r="G20" i="12"/>
  <c r="H60" i="1" s="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I46" i="1" s="1"/>
  <c r="C95" i="8"/>
  <c r="F61" i="1" l="1"/>
  <c r="J61" i="1"/>
  <c r="F46" i="1"/>
  <c r="J46" i="1"/>
  <c r="AG26" i="8" l="1"/>
  <c r="Z85" i="8" l="1"/>
  <c r="H23" i="10" s="1"/>
  <c r="H24" i="10" s="1"/>
  <c r="E29" i="2" s="1"/>
  <c r="AG29" i="8" l="1"/>
  <c r="AB85" i="8"/>
  <c r="AC108" i="8" s="1"/>
  <c r="E31" i="2"/>
  <c r="G25" i="2" s="1"/>
  <c r="E29" i="3"/>
  <c r="E31" i="3" s="1"/>
  <c r="G25" i="3" s="1"/>
  <c r="T20" i="1" l="1"/>
  <c r="G37" i="12"/>
  <c r="G41" i="1"/>
  <c r="C100" i="8" l="1"/>
  <c r="I41" i="1" l="1"/>
  <c r="F41" i="1" l="1"/>
  <c r="J41" i="1"/>
  <c r="E10" i="4" l="1"/>
  <c r="T13" i="1"/>
  <c r="C89" i="8"/>
  <c r="D10" i="4" l="1"/>
  <c r="AG53" i="8" l="1"/>
  <c r="AG85" i="8" s="1"/>
  <c r="G77" i="1" s="1"/>
  <c r="AD85" i="8"/>
  <c r="T14" i="1"/>
  <c r="G78" i="1" l="1"/>
  <c r="G80" i="1" s="1"/>
  <c r="T23" i="1"/>
  <c r="Y14" i="1"/>
  <c r="G23" i="1"/>
  <c r="G28" i="1" s="1"/>
  <c r="C90" i="8"/>
  <c r="I23" i="1" l="1"/>
  <c r="Z14" i="1"/>
  <c r="N28" i="1" l="1"/>
  <c r="G35" i="12"/>
  <c r="F23" i="1"/>
  <c r="J23" i="1"/>
  <c r="I28" i="1"/>
  <c r="J28" i="1" s="1"/>
  <c r="F28" i="1" l="1"/>
  <c r="O28" i="1"/>
  <c r="C99" i="8" l="1"/>
  <c r="T85" i="8"/>
  <c r="U108" i="8" s="1"/>
  <c r="I85" i="8"/>
  <c r="G48" i="1"/>
  <c r="G52" i="1" s="1"/>
  <c r="J16" i="9" s="1"/>
  <c r="I48" i="1" l="1"/>
  <c r="T15" i="1"/>
  <c r="G85" i="8"/>
  <c r="D103" i="8"/>
  <c r="C101" i="8"/>
  <c r="C103" i="8" s="1"/>
  <c r="D107" i="8" l="1"/>
  <c r="C108" i="8"/>
  <c r="Y15" i="1"/>
  <c r="Z15" i="1" s="1"/>
  <c r="T17" i="1"/>
  <c r="T21" i="1" s="1"/>
  <c r="T25" i="1" s="1"/>
  <c r="J48" i="1"/>
  <c r="F48" i="1"/>
  <c r="I52" i="1"/>
  <c r="N52" i="1"/>
  <c r="J17" i="9"/>
  <c r="J20" i="9" s="1"/>
  <c r="G38" i="2" s="1"/>
  <c r="G38" i="3" s="1"/>
  <c r="G36" i="12"/>
  <c r="J52" i="1" l="1"/>
  <c r="F52" i="1"/>
  <c r="O52" i="1"/>
  <c r="T18" i="1"/>
  <c r="D11" i="4" l="1"/>
  <c r="D15" i="4" s="1"/>
  <c r="E11" i="5"/>
  <c r="G17" i="1" l="1"/>
  <c r="I17" i="1" s="1"/>
  <c r="E16" i="5"/>
  <c r="Q13" i="1"/>
  <c r="E11" i="4"/>
  <c r="E15" i="4" s="1"/>
  <c r="G19" i="1" l="1"/>
  <c r="D16" i="5"/>
  <c r="Y13" i="1"/>
  <c r="Z13" i="1" s="1"/>
  <c r="Q17" i="1"/>
  <c r="Q18" i="1"/>
  <c r="N19" i="1"/>
  <c r="G34" i="12"/>
  <c r="G41" i="12" s="1"/>
  <c r="G62" i="1" s="1"/>
  <c r="F17" i="1"/>
  <c r="I19" i="1"/>
  <c r="J17" i="1"/>
  <c r="G63" i="1" l="1"/>
  <c r="I62" i="1"/>
  <c r="F19" i="1"/>
  <c r="J19" i="1"/>
  <c r="O19" i="1"/>
  <c r="F62" i="1" l="1"/>
  <c r="J62" i="1"/>
  <c r="I63" i="1"/>
  <c r="G65" i="1"/>
  <c r="N63" i="1"/>
  <c r="O63" i="1" s="1"/>
  <c r="J63" i="1" l="1"/>
  <c r="I65" i="1"/>
  <c r="F63" i="1"/>
  <c r="N65" i="1"/>
  <c r="O65" i="1" s="1"/>
  <c r="G68" i="1"/>
  <c r="G70" i="1" s="1"/>
  <c r="G74" i="1" s="1"/>
  <c r="G34" i="2" l="1"/>
  <c r="G36" i="2" s="1"/>
  <c r="I36" i="2" s="1"/>
  <c r="J65" i="1"/>
  <c r="F65" i="1"/>
  <c r="G16" i="2" l="1"/>
  <c r="G16" i="3" s="1"/>
  <c r="G34" i="3"/>
  <c r="G36" i="3" s="1"/>
  <c r="G42" i="2" l="1"/>
  <c r="G17" i="2"/>
  <c r="G17" i="3" s="1"/>
  <c r="G46" i="2" l="1"/>
  <c r="G42" i="3"/>
  <c r="G47" i="2" l="1"/>
  <c r="G47" i="3" s="1"/>
  <c r="H19" i="11"/>
  <c r="H41" i="11" s="1"/>
  <c r="G46" i="3"/>
  <c r="G49" i="2" l="1"/>
  <c r="G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11" authorId="0" shapeId="0" xr:uid="{FA5EA663-99A4-45BE-AE03-0AB156B56500}">
      <text>
        <r>
          <rPr>
            <b/>
            <sz val="9"/>
            <color indexed="81"/>
            <rFont val="Tahoma"/>
            <family val="2"/>
          </rPr>
          <t>Himal Kosala:</t>
        </r>
        <r>
          <rPr>
            <sz val="9"/>
            <color indexed="81"/>
            <rFont val="Tahoma"/>
            <family val="2"/>
          </rPr>
          <t xml:space="preserve">
discount</t>
        </r>
      </text>
    </comment>
    <comment ref="I51" authorId="0" shapeId="0" xr:uid="{86A7807C-B9CC-405F-B323-EF6CF4E97E57}">
      <text>
        <r>
          <rPr>
            <b/>
            <sz val="9"/>
            <color indexed="81"/>
            <rFont val="Tahoma"/>
            <family val="2"/>
          </rPr>
          <t>Himal Kosala:</t>
        </r>
        <r>
          <rPr>
            <sz val="9"/>
            <color indexed="81"/>
            <rFont val="Tahoma"/>
            <family val="2"/>
          </rPr>
          <t xml:space="preserve">
here 130,492.69 is including VAT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4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<sst xmlns="http://schemas.openxmlformats.org/spreadsheetml/2006/main" count="1504" uniqueCount="947">
  <si>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</si>
  <si>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</si>
  <si>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</si>
  <si>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</si>
  <si>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</si>
  <si>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</si>
  <si>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</si>
  <si>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</si>
  <si>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</si>
  <si>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</si>
  <si>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</si>
  <si>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</si>
  <si>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</si>
  <si>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</si>
  <si>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</si>
  <si>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</si>
  <si>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</si>
  <si>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</si>
  <si>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</si>
  <si>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</si>
  <si>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</si>
  <si>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</si>
  <si>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</si>
  <si>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</si>
  <si>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</si>
  <si>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</si>
  <si>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</si>
  <si>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</si>
  <si>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</si>
  <si>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</si>
  <si>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</si>
  <si>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</si>
  <si>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</si>
  <si>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</si>
  <si>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</si>
  <si>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</si>
  <si>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</si>
  <si>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</si>
  <si>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</si>
  <si>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</si>
  <si>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</si>
  <si>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</si>
  <si>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</si>
  <si>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</si>
  <si>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</si>
  <si>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</si>
  <si>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</si>
  <si>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</si>
  <si>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</si>
  <si>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</si>
  <si>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</si>
  <si>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</si>
  <si>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</si>
  <si>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</si>
  <si>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</si>
  <si>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</si>
  <si>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</si>
  <si>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</si>
  <si>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</si>
  <si>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</si>
  <si>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</si>
  <si>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</si>
  <si>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</si>
  <si>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</si>
  <si>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</si>
  <si>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</si>
  <si>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</si>
  <si>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</si>
  <si>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</si>
  <si>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</si>
  <si>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</si>
  <si>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</si>
  <si>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</si>
  <si>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</si>
  <si>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</si>
  <si>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</si>
  <si>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</si>
  <si>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</si>
  <si>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</si>
  <si>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</si>
  <si>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</si>
  <si>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</si>
  <si>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</si>
  <si>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</si>
  <si>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</si>
  <si>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</si>
  <si>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</si>
  <si>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</si>
  <si>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</si>
  <si>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</si>
  <si>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</si>
  <si>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</si>
  <si>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</si>
  <si>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</si>
  <si>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</si>
  <si>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</si>
  <si>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</si>
  <si>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</si>
  <si>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</si>
  <si>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</si>
  <si>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</si>
  <si>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</si>
  <si>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</si>
  <si>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</si>
  <si>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</si>
  <si>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</si>
  <si>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</si>
  <si>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</si>
  <si>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</si>
  <si>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</si>
  <si>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</si>
  <si>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</si>
  <si>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</si>
  <si>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</si>
  <si>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</si>
  <si>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</si>
  <si>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</si>
  <si>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</si>
  <si>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</si>
  <si>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</si>
  <si>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</si>
  <si>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</si>
  <si>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</si>
  <si>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</si>
  <si>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</si>
  <si>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</si>
  <si>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</si>
  <si>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</si>
  <si>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</si>
  <si>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</si>
  <si>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</si>
  <si>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</si>
  <si>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</si>
  <si>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</si>
  <si>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</si>
  <si>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</si>
  <si>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</si>
  <si>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</si>
  <si>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</si>
  <si>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</si>
  <si>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</si>
  <si>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</si>
  <si>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</si>
  <si>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</si>
  <si>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</si>
  <si>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</si>
  <si>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</si>
  <si>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</si>
  <si>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</si>
  <si>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</si>
  <si>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</si>
  <si>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</si>
  <si>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</si>
  <si>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</si>
  <si>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</si>
  <si>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</si>
  <si>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</si>
  <si>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</si>
  <si>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</si>
  <si>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</si>
  <si>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</si>
  <si>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</si>
  <si>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</si>
  <si>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</si>
  <si>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</si>
  <si>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</si>
  <si>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</si>
  <si>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</si>
  <si>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</si>
  <si>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</si>
  <si>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</si>
  <si>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</si>
  <si>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</si>
  <si>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</si>
  <si>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</si>
  <si>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</si>
  <si>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</si>
  <si>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</si>
  <si>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</si>
  <si>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</si>
  <si>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</si>
  <si>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</si>
  <si>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</si>
  <si>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</si>
  <si>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</si>
  <si>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</si>
  <si>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</si>
  <si>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</si>
  <si>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</si>
  <si>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</si>
  <si>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</si>
  <si>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</si>
  <si>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</si>
  <si>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</si>
  <si>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</si>
  <si>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</si>
  <si>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</si>
  <si>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</si>
  <si>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</si>
  <si>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</si>
  <si>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</si>
  <si>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</si>
  <si>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</si>
  <si>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</si>
  <si>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</si>
  <si>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</si>
  <si>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</si>
  <si>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</si>
  <si>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</si>
  <si>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</si>
  <si>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</si>
  <si>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</si>
  <si>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</si>
  <si>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</si>
  <si>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</si>
  <si>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</si>
  <si>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</si>
  <si>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</si>
  <si>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</si>
  <si>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</si>
  <si>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</si>
  <si>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</si>
  <si>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</si>
  <si>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</si>
  <si>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</si>
  <si>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</si>
  <si>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</si>
  <si>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</si>
  <si>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</si>
  <si>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</si>
  <si>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</si>
  <si>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</si>
  <si>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</si>
  <si>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</si>
  <si>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</si>
  <si>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</si>
  <si>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</si>
  <si>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</si>
  <si>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</si>
  <si>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</si>
  <si>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</si>
  <si>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</si>
  <si>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</si>
  <si>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</si>
  <si>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</si>
  <si>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</si>
  <si>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</si>
  <si>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</si>
  <si>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</si>
  <si>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</si>
  <si>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</si>
  <si>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</si>
  <si>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</si>
  <si>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</si>
  <si>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</si>
  <si>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</si>
  <si>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</si>
  <si>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</si>
  <si>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</si>
  <si>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</si>
  <si>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</si>
  <si>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</si>
  <si>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</si>
  <si>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</si>
  <si>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</si>
  <si>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</si>
  <si>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</si>
  <si>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</si>
  <si>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</si>
  <si>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</si>
  <si>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</si>
  <si>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</si>
  <si>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</si>
  <si>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</si>
  <si>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High Class Decor &amp; Curtains Works LLC ( HM-201A22002/0080 )</t>
  </si>
  <si>
    <t>14</t>
  </si>
  <si>
    <t>High Glass Decore &amp; Curtain Works LLC (LPO HM-201A22002/0080)- Turkish Acrylic carpet</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</si>
  <si>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</si>
  <si>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</si>
  <si>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</si>
  <si>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</si>
  <si>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</si>
  <si>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</si>
  <si>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</si>
  <si>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</si>
  <si>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</si>
  <si>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</si>
  <si>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</si>
  <si>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Kone (LPO HM-201A22002/0002) - CTU use Lifts (2 Nos)- June 22</t>
  </si>
  <si>
    <t>21</t>
  </si>
  <si>
    <t>22</t>
  </si>
  <si>
    <t>Kone (LPO HM-201A22002/0086) - CTU use Lifts (1 Nos)- from 19.06.22</t>
  </si>
  <si>
    <t>23</t>
  </si>
  <si>
    <t>24</t>
  </si>
  <si>
    <t>Laidlow (LPO HM-201A22002/0176)- Ironmongery</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</si>
  <si>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</si>
  <si>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</si>
  <si>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</si>
  <si>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</si>
  <si>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</si>
  <si>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</si>
  <si>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</si>
  <si>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</si>
  <si>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</si>
  <si>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</si>
  <si>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</si>
  <si>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</si>
  <si>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</si>
  <si>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</si>
  <si>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</si>
  <si>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</si>
  <si>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</si>
  <si>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</si>
  <si>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</si>
  <si>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</si>
  <si>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</si>
  <si>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</si>
  <si>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</si>
  <si>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</si>
  <si>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</si>
  <si>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</si>
  <si>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</si>
  <si>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</si>
  <si>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</si>
  <si>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</si>
  <si>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</si>
  <si>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</si>
  <si>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</si>
  <si>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</si>
  <si>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</si>
  <si>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</si>
  <si>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</si>
  <si>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</si>
  <si>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</si>
  <si>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</si>
  <si>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</si>
  <si>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</si>
  <si>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</si>
  <si>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</si>
  <si>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</si>
  <si>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</si>
  <si>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</si>
  <si>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</si>
  <si>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</si>
  <si>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</si>
  <si>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</si>
  <si>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</si>
  <si>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</si>
  <si>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</si>
  <si>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Prabakaran Kuppusamy</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</si>
  <si>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</si>
  <si>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</si>
  <si>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</si>
  <si>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</si>
  <si>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</si>
  <si>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</si>
  <si>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</si>
  <si>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</si>
  <si>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</si>
  <si>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</si>
  <si>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</si>
  <si>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</si>
  <si>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</si>
  <si>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</si>
  <si>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</si>
  <si>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</si>
  <si>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</si>
  <si>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</si>
  <si>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</si>
  <si>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</si>
  <si>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</si>
  <si>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</si>
  <si>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</si>
  <si>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</si>
  <si>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</si>
  <si>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</si>
  <si>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</si>
  <si>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</si>
  <si>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</si>
  <si>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</si>
  <si>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</si>
  <si>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</si>
  <si>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</si>
  <si>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</si>
  <si>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</si>
  <si>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</si>
  <si>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</si>
  <si>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</si>
  <si>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</si>
  <si>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</si>
  <si>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</si>
  <si>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</si>
  <si>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</si>
  <si>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</si>
  <si>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</si>
  <si>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</si>
  <si>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</si>
  <si>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</si>
  <si>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</si>
  <si>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</si>
  <si>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</si>
  <si>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</si>
  <si>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</si>
  <si>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</si>
  <si>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</si>
  <si>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</si>
  <si>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</si>
  <si>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</si>
  <si>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</si>
  <si>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</si>
  <si>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</si>
  <si>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</si>
  <si>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</si>
  <si>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</si>
  <si>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</si>
  <si>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</si>
  <si>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</si>
  <si>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</si>
  <si>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</si>
  <si>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</si>
  <si>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</si>
  <si>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</si>
  <si>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</si>
  <si>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</si>
  <si>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</si>
  <si>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</si>
  <si>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</si>
  <si>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</si>
  <si>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</si>
  <si>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</si>
  <si>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</si>
  <si>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</si>
  <si>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</si>
  <si>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</si>
  <si>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</si>
  <si>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</si>
  <si>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</si>
  <si>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</si>
  <si>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</si>
  <si>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</si>
  <si>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</si>
  <si>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</si>
  <si>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</si>
  <si>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</si>
  <si>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</si>
  <si>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</si>
  <si>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</si>
  <si>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</si>
  <si>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</si>
  <si>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</si>
  <si>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</si>
  <si>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</si>
  <si>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</si>
  <si>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</si>
  <si>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</si>
  <si>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</si>
  <si>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</si>
  <si>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</si>
  <si>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</si>
  <si>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</si>
  <si>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</si>
  <si>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</si>
  <si>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</si>
  <si>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</si>
  <si>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</si>
  <si>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</si>
  <si>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</si>
  <si>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</si>
  <si>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</si>
  <si>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</si>
  <si>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</si>
  <si>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</si>
  <si>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</si>
  <si>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</si>
  <si>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</si>
  <si>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</si>
  <si>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</si>
  <si>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</si>
  <si>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</si>
  <si>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</si>
  <si>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</si>
  <si>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</si>
  <si>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</si>
  <si>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</si>
  <si>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</si>
  <si>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</si>
  <si>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</si>
  <si>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</si>
  <si>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</si>
  <si>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</si>
  <si>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</si>
  <si>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</si>
  <si>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</si>
  <si>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</si>
  <si>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</si>
  <si>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</si>
  <si>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</si>
  <si>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</si>
  <si>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</si>
  <si>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</si>
  <si>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</si>
  <si>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</si>
  <si>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</si>
  <si>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</si>
  <si>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</si>
  <si>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</si>
  <si>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</si>
  <si>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</si>
  <si>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</si>
  <si>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</si>
  <si>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</si>
  <si>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</si>
  <si>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</si>
  <si>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</si>
  <si>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</si>
  <si>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</si>
  <si>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</si>
  <si>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</si>
  <si>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</si>
  <si>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</si>
  <si>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</si>
  <si>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</si>
  <si>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</si>
  <si>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</si>
  <si>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</si>
  <si>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</si>
  <si>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</si>
  <si>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</si>
  <si>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</si>
  <si>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</si>
  <si>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</si>
  <si>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</si>
  <si>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</si>
  <si>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</si>
  <si>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</si>
  <si>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</si>
  <si>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</si>
  <si>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</si>
  <si>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</si>
  <si>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</si>
  <si>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</si>
  <si>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</si>
  <si>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</si>
  <si>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</si>
  <si>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</si>
  <si>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</si>
  <si>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</si>
  <si>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</si>
  <si>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</si>
  <si>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</si>
  <si>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</si>
  <si>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</si>
  <si>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</si>
  <si>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</si>
  <si>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</si>
  <si>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</si>
  <si>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</si>
  <si>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</si>
  <si>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</si>
  <si>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</si>
  <si>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</si>
  <si>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</si>
  <si>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</si>
  <si>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</si>
  <si>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</si>
  <si>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</si>
  <si>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</si>
  <si>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</si>
  <si>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</si>
  <si>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</si>
  <si>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</si>
  <si>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</si>
  <si>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</si>
  <si>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Value Complete</t>
  </si>
  <si>
    <t>BOQ Category</t>
  </si>
  <si>
    <t>Materials On Site</t>
  </si>
  <si>
    <t>Material Off site</t>
  </si>
  <si>
    <t>Sub-Total</t>
  </si>
  <si>
    <t>Advance Payment</t>
  </si>
  <si>
    <t xml:space="preserve">Total Certified </t>
  </si>
  <si>
    <t>Total Claimed</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</si>
  <si>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</si>
  <si>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</si>
  <si>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</si>
  <si>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</si>
  <si>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</si>
  <si>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</si>
  <si>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</si>
  <si>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</si>
  <si>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</si>
  <si>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</si>
  <si>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</si>
  <si>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</si>
  <si>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</si>
  <si>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</si>
  <si>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</si>
  <si>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</si>
  <si>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</si>
  <si>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</si>
  <si>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</si>
  <si>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</si>
  <si>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</si>
  <si>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</si>
  <si>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</si>
  <si>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</si>
  <si>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</si>
  <si>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</si>
  <si>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</si>
  <si>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</si>
  <si>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</si>
  <si>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</si>
  <si>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</si>
  <si>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</si>
  <si>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</si>
  <si>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</si>
  <si>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</si>
  <si>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</si>
  <si>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</si>
  <si>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</si>
  <si>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</si>
  <si>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</si>
  <si>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</si>
  <si>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</si>
  <si>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</si>
  <si>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</si>
  <si>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</si>
  <si>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</si>
  <si>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</si>
  <si>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</si>
  <si>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</si>
  <si>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</si>
  <si>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</si>
  <si>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</si>
  <si>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</si>
  <si>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</si>
  <si>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</si>
  <si>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</si>
  <si>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</si>
  <si>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</si>
  <si>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</si>
  <si>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</si>
  <si>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</si>
  <si>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</si>
  <si>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</si>
  <si>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</si>
  <si>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</si>
  <si>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</si>
  <si>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</si>
  <si>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</si>
  <si>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</si>
  <si>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</si>
  <si>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</si>
  <si>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</si>
  <si>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</si>
  <si>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</si>
  <si>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</si>
  <si>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</si>
  <si>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</si>
  <si>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</si>
  <si>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</si>
  <si>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</si>
  <si>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</si>
  <si>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</si>
  <si>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</si>
  <si>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</si>
  <si>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</si>
  <si>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</si>
  <si>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</si>
  <si>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</si>
  <si>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</si>
  <si>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</si>
  <si>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</si>
  <si>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</si>
  <si>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</si>
  <si>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</si>
  <si>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</si>
  <si>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</si>
  <si>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</si>
  <si>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</si>
  <si>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</si>
  <si>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</si>
  <si>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</si>
  <si>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</si>
  <si>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</si>
  <si>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</si>
  <si>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</si>
  <si>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</si>
  <si>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</si>
  <si>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</si>
  <si>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</si>
  <si>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</si>
  <si>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</si>
  <si>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</si>
  <si>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</si>
  <si>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</si>
  <si>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</si>
  <si>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</si>
  <si>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</si>
  <si>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</si>
  <si>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</si>
  <si>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</si>
  <si>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</si>
  <si>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</si>
  <si>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</si>
  <si>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</si>
  <si>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</si>
  <si>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</si>
  <si>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</si>
  <si>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</si>
  <si>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</si>
  <si>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</si>
  <si>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</si>
  <si>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</si>
  <si>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</si>
  <si>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</si>
  <si>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</si>
  <si>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</si>
  <si>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</si>
  <si>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</si>
  <si>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</si>
  <si>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</si>
  <si>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</si>
  <si>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</si>
  <si>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</si>
  <si>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</si>
  <si>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</si>
  <si>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</si>
  <si>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 xml:space="preserve">Direct Labour - Civil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</si>
  <si>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</si>
  <si>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</si>
  <si>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</si>
  <si>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</si>
  <si>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</si>
  <si>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</si>
  <si>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</si>
  <si>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</si>
  <si>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</si>
  <si>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</si>
  <si>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</si>
  <si>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</si>
  <si>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</si>
  <si>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</si>
  <si>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</si>
  <si>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</si>
  <si>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</si>
  <si>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</si>
  <si>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</si>
  <si>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</si>
  <si>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</si>
  <si>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</si>
  <si>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</si>
  <si>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</si>
  <si>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</si>
  <si>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</si>
  <si>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</si>
  <si>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</si>
  <si>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</si>
  <si>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</si>
  <si>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</si>
  <si>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</si>
  <si>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</si>
  <si>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</si>
  <si>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</si>
  <si>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</si>
  <si>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</si>
  <si>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</si>
  <si>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</si>
  <si>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</si>
  <si>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</si>
  <si>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</si>
  <si>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</si>
  <si>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</si>
  <si>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</si>
  <si>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</si>
  <si>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</si>
  <si>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</si>
  <si>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</si>
  <si>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</si>
  <si>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</si>
  <si>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</si>
  <si>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</si>
  <si>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</si>
  <si>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</si>
  <si>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</si>
  <si>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</si>
  <si>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</si>
  <si>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</si>
  <si>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</si>
  <si>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</si>
  <si>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</si>
  <si>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</si>
  <si>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</si>
  <si>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</si>
  <si>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</si>
  <si>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</si>
  <si>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</si>
  <si>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</si>
  <si>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</si>
  <si>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</si>
  <si>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</si>
  <si>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</si>
  <si>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</si>
  <si>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</si>
  <si>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</si>
  <si>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</si>
  <si>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</si>
  <si>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</si>
  <si>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</si>
  <si>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</si>
  <si>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</si>
  <si>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</si>
  <si>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</si>
  <si>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</si>
  <si>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</si>
  <si>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</si>
  <si>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</si>
  <si>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</si>
  <si>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</si>
  <si>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</si>
  <si>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</si>
  <si>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</si>
  <si>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</si>
  <si>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</si>
  <si>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</si>
  <si>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</si>
  <si>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</si>
  <si>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</si>
  <si>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</si>
  <si>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</si>
  <si>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</si>
  <si>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</si>
  <si>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</si>
  <si>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</si>
  <si>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</si>
  <si>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</si>
  <si>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</si>
  <si>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</si>
  <si>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</si>
  <si>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</si>
  <si>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</si>
  <si>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</si>
  <si>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</si>
  <si>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</si>
  <si>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</si>
  <si>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</si>
  <si>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</si>
  <si>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</si>
  <si>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</si>
  <si>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</si>
  <si>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</si>
  <si>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</si>
  <si>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</si>
  <si>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</si>
  <si>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</si>
  <si>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</si>
  <si>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</si>
  <si>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</si>
  <si>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</si>
  <si>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</si>
  <si>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</si>
  <si>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</si>
  <si>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</si>
  <si>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</si>
  <si>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</si>
  <si>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</si>
  <si>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</si>
  <si>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</si>
  <si>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Neotech Engineering (HM-201A22002/228)</t>
  </si>
  <si>
    <t>Neotech Engineering (HM-201A22002/229)</t>
  </si>
  <si>
    <t>Hilti RE 500V4 (HM-201A22002/0231)</t>
  </si>
  <si>
    <t>Styro polystyrene (HM-201A22002/0234)</t>
  </si>
  <si>
    <t>Arabuild Tiles (HM-201A22002/0237)</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</si>
  <si>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</si>
  <si>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</si>
  <si>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</si>
  <si>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</si>
  <si>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</si>
  <si>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</si>
  <si>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</si>
  <si>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</si>
  <si>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</si>
  <si>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</si>
  <si>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</si>
  <si>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</si>
  <si>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</si>
  <si>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</si>
  <si>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</si>
  <si>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</si>
  <si>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</si>
  <si>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</si>
  <si>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</si>
  <si>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</si>
  <si>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KCE-11</t>
  </si>
  <si>
    <t>Khansaheb IPA -11</t>
  </si>
  <si>
    <t>December 2022</t>
  </si>
  <si>
    <t>PC-11</t>
  </si>
  <si>
    <t>Application No. 11</t>
  </si>
  <si>
    <t>IPA No.11 -Period Ending December 2022</t>
  </si>
  <si>
    <t>TXM Manpower cost adjustment from material transaction- December 22</t>
  </si>
  <si>
    <t>IPA 11</t>
  </si>
  <si>
    <t>Kone (LPO HM-201A22002/0048)- CTU use Lifts no 10 &amp; 21 (2 Nos)- Dec 22</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</si>
  <si>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</si>
  <si>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</si>
  <si>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</si>
  <si>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</si>
  <si>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</si>
  <si>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</si>
  <si>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Kone (LPO HM-201A22002/0138) - CTU Lifts (2 Nos)- for Dec 22</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</si>
  <si>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</si>
  <si>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</si>
  <si>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</si>
  <si>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</si>
  <si>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</si>
  <si>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</si>
  <si>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</si>
  <si>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</si>
  <si>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STAFF ALLOCATION - DECEMBER 2022</t>
  </si>
  <si>
    <t>6j</t>
  </si>
  <si>
    <t>Mani Kandan</t>
  </si>
  <si>
    <t xml:space="preserve">Sawaf Manamkandath </t>
  </si>
  <si>
    <t xml:space="preserve">Anuj Johnson </t>
  </si>
  <si>
    <t>6m</t>
  </si>
  <si>
    <t xml:space="preserve">Ahmed Hosny </t>
  </si>
  <si>
    <t>6n</t>
  </si>
  <si>
    <t>6p</t>
  </si>
  <si>
    <t>7v</t>
  </si>
  <si>
    <t>Anoop R P</t>
  </si>
  <si>
    <t>This IPC is issued for the KHANSAHAB IPA No.11</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</si>
  <si>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</si>
  <si>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</si>
  <si>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</si>
  <si>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</si>
  <si>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</si>
  <si>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</si>
  <si>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</si>
  <si>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</si>
  <si>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</si>
  <si>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</si>
  <si>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</si>
  <si>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</si>
  <si>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TOTAL STAFF COST BILLED FOR DEC-22 (KCE IPA 11)</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</si>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</sst>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s>
  <fills count="21">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s>
  <borders count="1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thin">
        <color indexed="64"/>
      </top>
      <bottom style="medium">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right style="double">
        <color indexed="64"/>
      </right>
      <top/>
      <bottom/>
      <diagonal/>
    </border>
    <border>
      <left style="medium">
        <color indexed="64"/>
      </left>
      <right style="double">
        <color indexed="64"/>
      </right>
      <top style="medium">
        <color indexed="64"/>
      </top>
      <bottom/>
      <diagonal/>
    </border>
    <border>
      <left style="medium">
        <color indexed="64"/>
      </left>
      <right style="double">
        <color indexed="64"/>
      </right>
      <top/>
      <bottom/>
      <diagonal/>
    </border>
    <border>
      <left style="medium">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diagonal/>
    </border>
    <border>
      <left style="double">
        <color indexed="64"/>
      </left>
      <right style="medium">
        <color indexed="64"/>
      </right>
      <top/>
      <bottom/>
      <diagonal/>
    </border>
    <border>
      <left style="thin">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thin">
        <color indexed="64"/>
      </left>
      <right style="double">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double">
        <color indexed="64"/>
      </left>
      <right/>
      <top style="medium">
        <color indexed="64"/>
      </top>
      <bottom/>
      <diagonal/>
    </border>
    <border>
      <left/>
      <right style="double">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cellStyleXfs>
  <cellXfs count="1180">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10" fontId="20" fillId="0" borderId="6" xfId="6" applyNumberFormat="1" applyFont="1" applyBorder="1" applyAlignment="1">
      <alignment horizontal="righ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4" xfId="11" applyNumberFormat="1" applyFont="1" applyBorder="1" applyAlignment="1">
      <alignment horizontal="left" vertical="center"/>
    </xf>
    <xf numFmtId="37" fontId="50" fillId="0" borderId="84" xfId="3" applyNumberFormat="1" applyFont="1" applyBorder="1" applyAlignment="1">
      <alignment horizontal="left" vertical="center"/>
    </xf>
    <xf numFmtId="39" fontId="50" fillId="0" borderId="84" xfId="3" applyNumberFormat="1" applyFont="1" applyBorder="1" applyAlignment="1">
      <alignment vertical="center"/>
    </xf>
    <xf numFmtId="0" fontId="0" fillId="0" borderId="71" xfId="0" applyBorder="1"/>
    <xf numFmtId="43" fontId="0" fillId="0" borderId="84" xfId="1" applyFont="1" applyBorder="1"/>
    <xf numFmtId="0" fontId="48" fillId="0" borderId="85" xfId="12" applyFont="1" applyBorder="1" applyAlignment="1">
      <alignment horizontal="center"/>
    </xf>
    <xf numFmtId="0" fontId="48" fillId="0" borderId="86" xfId="12" applyFont="1" applyBorder="1"/>
    <xf numFmtId="168" fontId="48" fillId="0" borderId="87" xfId="4" applyNumberFormat="1" applyFont="1" applyBorder="1"/>
    <xf numFmtId="0" fontId="48" fillId="0" borderId="89" xfId="12" applyFont="1" applyBorder="1"/>
    <xf numFmtId="168" fontId="48" fillId="0" borderId="78" xfId="4" applyNumberFormat="1"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90" xfId="12" applyFont="1" applyBorder="1"/>
    <xf numFmtId="168" fontId="48" fillId="0" borderId="81" xfId="4" applyNumberFormat="1" applyFont="1" applyBorder="1"/>
    <xf numFmtId="168" fontId="48" fillId="0" borderId="82" xfId="4" applyNumberFormat="1" applyFont="1" applyBorder="1"/>
    <xf numFmtId="0" fontId="48" fillId="0" borderId="8" xfId="12" applyFont="1" applyBorder="1" applyAlignment="1">
      <alignment horizontal="center"/>
    </xf>
    <xf numFmtId="0" fontId="51" fillId="0" borderId="91"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3" xfId="0" applyFont="1" applyBorder="1"/>
    <xf numFmtId="168" fontId="2" fillId="0" borderId="93"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4"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5" xfId="4" quotePrefix="1" applyNumberFormat="1" applyFont="1" applyBorder="1" applyAlignment="1">
      <alignment horizontal="center" vertical="center"/>
    </xf>
    <xf numFmtId="43" fontId="48" fillId="0" borderId="87" xfId="4" applyFont="1" applyBorder="1"/>
    <xf numFmtId="43" fontId="48" fillId="0" borderId="88" xfId="4" applyFont="1" applyBorder="1"/>
    <xf numFmtId="43" fontId="48" fillId="0" borderId="78" xfId="4" applyFont="1" applyBorder="1"/>
    <xf numFmtId="168" fontId="48" fillId="0" borderId="97"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4"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4" xfId="3" applyFont="1" applyBorder="1" applyAlignment="1">
      <alignment vertical="center"/>
    </xf>
    <xf numFmtId="0" fontId="30" fillId="0" borderId="71" xfId="3" applyFont="1" applyBorder="1" applyAlignment="1">
      <alignment vertical="center"/>
    </xf>
    <xf numFmtId="164" fontId="0" fillId="0" borderId="84" xfId="5" quotePrefix="1" applyFont="1" applyBorder="1" applyAlignment="1">
      <alignment vertical="center"/>
    </xf>
    <xf numFmtId="43" fontId="0" fillId="0" borderId="84" xfId="4" quotePrefix="1" applyFont="1" applyBorder="1" applyAlignment="1">
      <alignment vertical="center"/>
    </xf>
    <xf numFmtId="43" fontId="0" fillId="0" borderId="84" xfId="5" applyNumberFormat="1" applyFont="1" applyBorder="1" applyAlignment="1">
      <alignment vertical="center"/>
    </xf>
    <xf numFmtId="39" fontId="0" fillId="0" borderId="98"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4"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4"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4"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4"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4"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4"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4"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100" xfId="3" applyFont="1" applyBorder="1" applyAlignment="1">
      <alignment vertical="center"/>
    </xf>
    <xf numFmtId="0" fontId="25" fillId="0" borderId="100" xfId="3" applyFont="1" applyBorder="1" applyAlignment="1">
      <alignment vertical="center" wrapText="1"/>
    </xf>
    <xf numFmtId="0" fontId="25" fillId="0" borderId="101" xfId="3" applyFont="1" applyBorder="1" applyAlignment="1">
      <alignment vertical="center"/>
    </xf>
    <xf numFmtId="0" fontId="25" fillId="0" borderId="102" xfId="3" applyFont="1" applyBorder="1" applyAlignment="1">
      <alignment vertical="center"/>
    </xf>
    <xf numFmtId="0" fontId="25" fillId="0" borderId="100" xfId="3" applyFont="1" applyBorder="1" applyAlignment="1">
      <alignment horizontal="left" vertical="center"/>
    </xf>
    <xf numFmtId="0" fontId="25" fillId="0" borderId="100" xfId="3" applyFont="1" applyBorder="1" applyAlignment="1">
      <alignment horizontal="left" vertical="center" wrapText="1"/>
    </xf>
    <xf numFmtId="0" fontId="25" fillId="0" borderId="101" xfId="3" applyFont="1" applyBorder="1" applyAlignment="1">
      <alignment horizontal="left" vertical="center"/>
    </xf>
    <xf numFmtId="164" fontId="25" fillId="0" borderId="101" xfId="5" applyFont="1" applyBorder="1" applyAlignment="1">
      <alignment horizontal="left" vertical="center"/>
    </xf>
    <xf numFmtId="0" fontId="25" fillId="0" borderId="102"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1" xfId="3" applyFont="1" applyBorder="1" applyAlignment="1">
      <alignment horizontal="left" vertical="center"/>
    </xf>
    <xf numFmtId="164" fontId="22" fillId="0" borderId="101" xfId="5" applyFont="1" applyBorder="1" applyAlignment="1">
      <alignment horizontal="left" vertical="center"/>
    </xf>
    <xf numFmtId="0" fontId="22" fillId="0" borderId="102"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100" xfId="3" applyFont="1" applyFill="1" applyBorder="1" applyAlignment="1">
      <alignment horizontal="center" vertical="center" wrapText="1"/>
    </xf>
    <xf numFmtId="164" fontId="25" fillId="7" borderId="100" xfId="5" applyFont="1" applyFill="1" applyBorder="1" applyAlignment="1">
      <alignment horizontal="center" vertical="center" wrapText="1"/>
    </xf>
    <xf numFmtId="0" fontId="60" fillId="0" borderId="100" xfId="3" applyFont="1" applyBorder="1" applyAlignment="1">
      <alignment horizontal="center" vertical="center"/>
    </xf>
    <xf numFmtId="0" fontId="60" fillId="0" borderId="100" xfId="3" quotePrefix="1" applyFont="1" applyBorder="1" applyAlignment="1">
      <alignment horizontal="center" vertical="center"/>
    </xf>
    <xf numFmtId="164" fontId="60" fillId="0" borderId="100" xfId="5" applyFont="1" applyBorder="1" applyAlignment="1">
      <alignment vertical="center"/>
    </xf>
    <xf numFmtId="43" fontId="22" fillId="0" borderId="0" xfId="3" applyNumberFormat="1" applyFont="1" applyAlignment="1">
      <alignment vertical="center"/>
    </xf>
    <xf numFmtId="164" fontId="22" fillId="0" borderId="100" xfId="5" applyFont="1" applyBorder="1" applyAlignment="1">
      <alignment vertical="center"/>
    </xf>
    <xf numFmtId="0" fontId="22" fillId="0" borderId="100" xfId="3" applyFont="1" applyBorder="1" applyAlignment="1">
      <alignment horizontal="center" vertical="center"/>
    </xf>
    <xf numFmtId="1" fontId="60" fillId="0" borderId="100" xfId="3" quotePrefix="1" applyNumberFormat="1" applyFont="1" applyBorder="1" applyAlignment="1">
      <alignment horizontal="center" vertical="center"/>
    </xf>
    <xf numFmtId="164" fontId="60" fillId="0" borderId="100" xfId="5" applyFont="1" applyFill="1" applyBorder="1" applyAlignment="1">
      <alignment vertical="center"/>
    </xf>
    <xf numFmtId="0" fontId="25" fillId="4" borderId="104" xfId="3" applyFont="1" applyFill="1" applyBorder="1" applyAlignment="1">
      <alignment vertical="center"/>
    </xf>
    <xf numFmtId="0" fontId="25" fillId="4" borderId="101" xfId="3" applyFont="1" applyFill="1" applyBorder="1" applyAlignment="1">
      <alignment vertical="center"/>
    </xf>
    <xf numFmtId="0" fontId="25" fillId="4" borderId="102" xfId="3" applyFont="1" applyFill="1" applyBorder="1" applyAlignment="1">
      <alignment vertical="center"/>
    </xf>
    <xf numFmtId="164" fontId="25" fillId="4" borderId="100"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4"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4" xfId="3" applyNumberFormat="1" applyFont="1" applyBorder="1" applyAlignment="1">
      <alignment horizontal="center" vertical="center" wrapText="1"/>
    </xf>
    <xf numFmtId="39" fontId="60" fillId="0" borderId="84"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1" fillId="0" borderId="102" xfId="14" applyFont="1" applyFill="1" applyBorder="1" applyAlignment="1">
      <alignment horizontal="center" vertical="center" wrapText="1"/>
    </xf>
    <xf numFmtId="43" fontId="70" fillId="0" borderId="78" xfId="15" applyFont="1" applyFill="1" applyBorder="1" applyAlignment="1">
      <alignment horizontal="left" vertical="center"/>
    </xf>
    <xf numFmtId="164" fontId="70" fillId="0" borderId="78" xfId="16" applyFont="1" applyFill="1" applyBorder="1" applyAlignment="1">
      <alignment horizontal="left" vertical="center"/>
    </xf>
    <xf numFmtId="43" fontId="51" fillId="8" borderId="104" xfId="4" applyFont="1" applyFill="1" applyBorder="1" applyAlignment="1">
      <alignment horizontal="center" vertical="center"/>
    </xf>
    <xf numFmtId="43" fontId="51" fillId="8" borderId="100" xfId="4" applyFont="1" applyFill="1" applyBorder="1" applyAlignment="1">
      <alignment horizontal="center" vertical="center"/>
    </xf>
    <xf numFmtId="43" fontId="70" fillId="0" borderId="78" xfId="4" applyFont="1" applyBorder="1"/>
    <xf numFmtId="43" fontId="70" fillId="0" borderId="78" xfId="15" applyFont="1" applyFill="1" applyBorder="1" applyAlignment="1">
      <alignment horizontal="left" vertical="center" wrapText="1"/>
    </xf>
    <xf numFmtId="43" fontId="70" fillId="0" borderId="78" xfId="14" applyFont="1" applyFill="1" applyBorder="1" applyAlignment="1">
      <alignment horizontal="left" vertical="center"/>
    </xf>
    <xf numFmtId="0" fontId="70" fillId="0" borderId="89" xfId="3" applyFont="1" applyBorder="1"/>
    <xf numFmtId="0" fontId="70" fillId="0" borderId="105" xfId="3" applyFont="1" applyBorder="1"/>
    <xf numFmtId="0" fontId="71" fillId="0" borderId="100" xfId="3" applyFont="1" applyBorder="1"/>
    <xf numFmtId="43" fontId="71" fillId="0" borderId="100" xfId="4" applyFont="1" applyBorder="1"/>
    <xf numFmtId="164" fontId="70" fillId="0" borderId="78" xfId="16" applyFont="1" applyFill="1" applyBorder="1" applyAlignment="1">
      <alignment horizontal="left" vertical="center" wrapText="1"/>
    </xf>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4" xfId="4" applyFont="1" applyBorder="1"/>
    <xf numFmtId="0" fontId="2" fillId="2" borderId="94"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6"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68" fontId="51" fillId="0" borderId="21" xfId="12" applyNumberFormat="1" applyFont="1" applyBorder="1"/>
    <xf numFmtId="168" fontId="51" fillId="0" borderId="23" xfId="12" applyNumberFormat="1"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4" xfId="0" applyFont="1" applyFill="1" applyBorder="1"/>
    <xf numFmtId="43" fontId="2" fillId="2" borderId="72" xfId="4" applyFont="1" applyFill="1" applyBorder="1" applyAlignment="1">
      <alignment horizontal="center"/>
    </xf>
    <xf numFmtId="0" fontId="0" fillId="0" borderId="108"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2" xfId="4" applyFont="1" applyBorder="1" applyAlignment="1">
      <alignment horizontal="center" vertical="center"/>
    </xf>
    <xf numFmtId="43" fontId="0" fillId="0" borderId="92"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100" xfId="17" applyNumberFormat="1" applyFont="1" applyBorder="1" applyAlignment="1">
      <alignment horizontal="center" vertical="center" wrapText="1"/>
    </xf>
    <xf numFmtId="1" fontId="69" fillId="10" borderId="100"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164" fontId="61" fillId="0" borderId="0" xfId="5" applyFont="1"/>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100" xfId="0" applyFont="1" applyBorder="1" applyAlignment="1">
      <alignment horizontal="center" vertical="center" wrapText="1"/>
    </xf>
    <xf numFmtId="0" fontId="2" fillId="0" borderId="100" xfId="0" applyFont="1" applyBorder="1" applyAlignment="1">
      <alignment horizontal="center" vertical="center"/>
    </xf>
    <xf numFmtId="43" fontId="2" fillId="0" borderId="100" xfId="4" applyFont="1" applyBorder="1" applyAlignment="1">
      <alignment horizontal="center" vertical="center"/>
    </xf>
    <xf numFmtId="0" fontId="2" fillId="0" borderId="0" xfId="0" applyFont="1" applyAlignment="1">
      <alignment horizontal="center" vertical="center"/>
    </xf>
    <xf numFmtId="0" fontId="0" fillId="0" borderId="100" xfId="0" quotePrefix="1" applyBorder="1" applyAlignment="1">
      <alignment horizontal="center"/>
    </xf>
    <xf numFmtId="0" fontId="0" fillId="0" borderId="100" xfId="0" applyBorder="1"/>
    <xf numFmtId="43" fontId="0" fillId="0" borderId="100" xfId="4" applyFont="1" applyBorder="1" applyAlignment="1">
      <alignment horizontal="center" vertical="center"/>
    </xf>
    <xf numFmtId="43" fontId="0" fillId="0" borderId="100" xfId="4" applyFont="1" applyBorder="1"/>
    <xf numFmtId="43" fontId="0" fillId="0" borderId="100" xfId="4" applyFont="1" applyFill="1" applyBorder="1" applyAlignment="1">
      <alignment horizontal="center" vertical="center"/>
    </xf>
    <xf numFmtId="43" fontId="2" fillId="0" borderId="100"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100" xfId="0" applyFont="1" applyFill="1" applyBorder="1" applyAlignment="1">
      <alignment horizontal="center" vertical="center"/>
    </xf>
    <xf numFmtId="164" fontId="75" fillId="13" borderId="100"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9" xfId="0" applyFont="1" applyBorder="1" applyAlignment="1">
      <alignment horizontal="center" vertical="center" wrapText="1"/>
    </xf>
    <xf numFmtId="0" fontId="47" fillId="0" borderId="87"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100" xfId="0" applyFont="1" applyBorder="1"/>
    <xf numFmtId="164" fontId="47" fillId="0" borderId="100" xfId="16" applyFont="1" applyBorder="1"/>
    <xf numFmtId="0" fontId="76" fillId="13" borderId="100" xfId="0" applyFont="1" applyFill="1" applyBorder="1" applyAlignment="1">
      <alignment vertical="center"/>
    </xf>
    <xf numFmtId="4" fontId="76" fillId="13" borderId="100" xfId="0" applyNumberFormat="1" applyFont="1" applyFill="1" applyBorder="1" applyAlignment="1">
      <alignment vertical="center"/>
    </xf>
    <xf numFmtId="164" fontId="76" fillId="13" borderId="100"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17" borderId="25" xfId="13" applyFont="1" applyFill="1" applyBorder="1" applyAlignment="1">
      <alignment horizontal="center" vertical="center" wrapText="1"/>
    </xf>
    <xf numFmtId="0" fontId="71" fillId="2" borderId="110" xfId="13" applyFont="1" applyFill="1" applyBorder="1" applyAlignment="1">
      <alignment horizontal="center" vertical="center" wrapText="1"/>
    </xf>
    <xf numFmtId="9" fontId="71" fillId="0" borderId="28" xfId="2" applyFont="1" applyBorder="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10" xfId="18" applyNumberFormat="1" applyFont="1" applyFill="1" applyBorder="1" applyAlignment="1">
      <alignment horizontal="center" vertical="center"/>
    </xf>
    <xf numFmtId="176" fontId="70" fillId="17" borderId="28" xfId="20" applyFont="1" applyFill="1" applyBorder="1" applyAlignment="1">
      <alignment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2" borderId="110" xfId="20" applyFont="1" applyFill="1" applyBorder="1" applyAlignment="1">
      <alignment vertical="center"/>
    </xf>
    <xf numFmtId="176" fontId="70" fillId="0" borderId="27" xfId="20" applyFont="1" applyFill="1" applyBorder="1" applyAlignment="1">
      <alignment vertical="center"/>
    </xf>
    <xf numFmtId="9" fontId="70" fillId="0" borderId="28" xfId="2" applyFont="1" applyFill="1" applyBorder="1" applyAlignment="1">
      <alignment vertical="center"/>
    </xf>
    <xf numFmtId="176" fontId="70" fillId="17" borderId="110" xfId="20" applyFont="1" applyFill="1" applyBorder="1" applyAlignment="1">
      <alignment vertical="center"/>
    </xf>
    <xf numFmtId="10" fontId="70" fillId="0" borderId="28" xfId="2" applyNumberFormat="1" applyFont="1" applyFill="1" applyBorder="1" applyAlignment="1">
      <alignment vertical="center"/>
    </xf>
    <xf numFmtId="0" fontId="70" fillId="0" borderId="28" xfId="19" applyFont="1" applyBorder="1" applyAlignment="1">
      <alignment vertical="center"/>
    </xf>
    <xf numFmtId="176" fontId="70" fillId="17" borderId="25" xfId="20" applyFont="1" applyFill="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0" fontId="81" fillId="0" borderId="25" xfId="19" applyFont="1" applyBorder="1" applyAlignment="1">
      <alignment horizontal="left" vertical="center"/>
    </xf>
    <xf numFmtId="164" fontId="70" fillId="0" borderId="28" xfId="22" applyFont="1" applyFill="1" applyBorder="1" applyAlignment="1">
      <alignment vertical="center"/>
    </xf>
    <xf numFmtId="164" fontId="70" fillId="0" borderId="110"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100" xfId="13" applyFont="1" applyFill="1" applyBorder="1" applyAlignment="1">
      <alignment horizontal="center" vertical="center"/>
    </xf>
    <xf numFmtId="43" fontId="71" fillId="8" borderId="100"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9" xfId="13" applyFont="1" applyBorder="1" applyAlignment="1">
      <alignment horizontal="left" vertical="center" indent="1"/>
    </xf>
    <xf numFmtId="43" fontId="70" fillId="0" borderId="109" xfId="4" applyFont="1" applyFill="1" applyBorder="1" applyAlignment="1">
      <alignment vertical="center"/>
    </xf>
    <xf numFmtId="43" fontId="70" fillId="0" borderId="109"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100" xfId="13" applyFont="1" applyBorder="1" applyAlignment="1">
      <alignment vertical="center"/>
    </xf>
    <xf numFmtId="43" fontId="71" fillId="0" borderId="100"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100" xfId="17" applyFont="1" applyFill="1" applyBorder="1" applyAlignment="1">
      <alignment horizontal="center" vertical="center"/>
    </xf>
    <xf numFmtId="0" fontId="86" fillId="3" borderId="100" xfId="17" applyFont="1" applyFill="1" applyBorder="1" applyAlignment="1">
      <alignment horizontal="right" vertical="center"/>
    </xf>
    <xf numFmtId="0" fontId="86" fillId="3" borderId="100" xfId="17" applyFont="1" applyFill="1" applyBorder="1" applyAlignment="1">
      <alignment vertical="center"/>
    </xf>
    <xf numFmtId="0" fontId="86" fillId="3" borderId="99" xfId="17" applyFont="1" applyFill="1" applyBorder="1" applyAlignment="1">
      <alignment vertical="center"/>
    </xf>
    <xf numFmtId="0" fontId="69" fillId="3" borderId="100" xfId="17" applyFont="1" applyFill="1" applyBorder="1" applyAlignment="1">
      <alignment vertical="center"/>
    </xf>
    <xf numFmtId="43" fontId="86" fillId="3" borderId="100"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100"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1" xfId="4" applyFont="1" applyBorder="1" applyAlignment="1">
      <alignment horizontal="center" vertical="center"/>
    </xf>
    <xf numFmtId="43" fontId="0" fillId="0" borderId="111" xfId="0" applyNumberFormat="1" applyBorder="1" applyAlignment="1">
      <alignment horizontal="center"/>
    </xf>
    <xf numFmtId="43" fontId="0" fillId="0" borderId="100"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1" xfId="1" applyFont="1" applyBorder="1" applyAlignment="1">
      <alignment horizontal="center"/>
    </xf>
    <xf numFmtId="43" fontId="0" fillId="0" borderId="0" xfId="0" applyNumberFormat="1" applyAlignment="1">
      <alignment vertical="center"/>
    </xf>
    <xf numFmtId="43" fontId="2" fillId="0" borderId="100" xfId="4" applyFont="1" applyBorder="1" applyAlignment="1">
      <alignment horizontal="center"/>
    </xf>
    <xf numFmtId="43" fontId="2" fillId="0" borderId="100"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0" fontId="71" fillId="2" borderId="47" xfId="13" applyFont="1" applyFill="1" applyBorder="1" applyAlignment="1">
      <alignment horizontal="center" vertical="center" wrapText="1"/>
    </xf>
    <xf numFmtId="38" fontId="70" fillId="2" borderId="47" xfId="18" applyNumberFormat="1" applyFont="1" applyFill="1" applyBorder="1" applyAlignment="1">
      <alignment vertical="center"/>
    </xf>
    <xf numFmtId="40" fontId="70" fillId="2" borderId="47" xfId="18" applyNumberFormat="1" applyFont="1" applyFill="1" applyBorder="1" applyAlignment="1">
      <alignment vertical="center"/>
    </xf>
    <xf numFmtId="164" fontId="70" fillId="2" borderId="47" xfId="21" applyFont="1" applyFill="1" applyBorder="1" applyAlignment="1">
      <alignment vertical="center"/>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3" xfId="13" applyFont="1" applyFill="1" applyBorder="1" applyAlignment="1">
      <alignment horizontal="center" vertical="center" wrapText="1"/>
    </xf>
    <xf numFmtId="38" fontId="70" fillId="2" borderId="113" xfId="18" applyNumberFormat="1" applyFont="1" applyFill="1" applyBorder="1" applyAlignment="1">
      <alignment vertical="center"/>
    </xf>
    <xf numFmtId="176" fontId="70" fillId="2" borderId="113" xfId="20" applyFont="1" applyFill="1" applyBorder="1" applyAlignment="1">
      <alignment vertical="center"/>
    </xf>
    <xf numFmtId="40" fontId="70" fillId="2" borderId="113" xfId="18" applyNumberFormat="1" applyFont="1" applyFill="1" applyBorder="1" applyAlignment="1">
      <alignment vertical="center"/>
    </xf>
    <xf numFmtId="164" fontId="70" fillId="2" borderId="113" xfId="21" applyFont="1" applyFill="1" applyBorder="1" applyAlignment="1">
      <alignment vertical="center"/>
    </xf>
    <xf numFmtId="38" fontId="71" fillId="17" borderId="114" xfId="13" applyNumberFormat="1" applyFont="1" applyFill="1" applyBorder="1" applyAlignment="1">
      <alignment horizontal="right" vertical="center"/>
    </xf>
    <xf numFmtId="43" fontId="70" fillId="2" borderId="113" xfId="1" applyFont="1" applyFill="1" applyBorder="1" applyAlignment="1">
      <alignment vertical="center"/>
    </xf>
    <xf numFmtId="40" fontId="71" fillId="2" borderId="107" xfId="13" applyNumberFormat="1" applyFont="1" applyFill="1" applyBorder="1" applyAlignment="1">
      <alignment horizontal="righ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2" borderId="117" xfId="13" applyFont="1" applyFill="1" applyBorder="1" applyAlignment="1">
      <alignment horizontal="center" vertical="center" wrapText="1"/>
    </xf>
    <xf numFmtId="0" fontId="71" fillId="17" borderId="6" xfId="13" applyFont="1" applyFill="1" applyBorder="1" applyAlignment="1">
      <alignment horizontal="center" vertical="center" wrapText="1"/>
    </xf>
    <xf numFmtId="176" fontId="70" fillId="2" borderId="117" xfId="20" applyFont="1" applyFill="1" applyBorder="1" applyAlignment="1">
      <alignment vertical="center"/>
    </xf>
    <xf numFmtId="40" fontId="71" fillId="2" borderId="118" xfId="13" applyNumberFormat="1" applyFont="1" applyFill="1" applyBorder="1" applyAlignment="1">
      <alignment horizontal="right" vertical="center"/>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40" fontId="71" fillId="2" borderId="114" xfId="13" applyNumberFormat="1" applyFont="1" applyFill="1" applyBorder="1" applyAlignment="1">
      <alignment horizontal="right" vertical="center"/>
    </xf>
    <xf numFmtId="40" fontId="71" fillId="2" borderId="48" xfId="13" applyNumberFormat="1" applyFont="1" applyFill="1" applyBorder="1" applyAlignment="1">
      <alignment horizontal="right" vertical="center"/>
    </xf>
    <xf numFmtId="0" fontId="71" fillId="0" borderId="2" xfId="13" applyFont="1" applyBorder="1" applyAlignment="1">
      <alignment horizontal="center" vertical="center"/>
    </xf>
    <xf numFmtId="0" fontId="71" fillId="0" borderId="5" xfId="13" applyFont="1" applyBorder="1" applyAlignment="1">
      <alignment horizontal="center" vertical="center" wrapText="1"/>
    </xf>
    <xf numFmtId="0" fontId="70" fillId="0" borderId="5" xfId="19" applyFont="1" applyBorder="1" applyAlignment="1">
      <alignment horizontal="center" vertical="center"/>
    </xf>
    <xf numFmtId="176" fontId="70" fillId="17" borderId="120" xfId="20" applyFont="1" applyFill="1" applyBorder="1" applyAlignment="1">
      <alignment vertical="center"/>
    </xf>
    <xf numFmtId="0" fontId="81" fillId="0" borderId="5" xfId="19" applyFont="1" applyBorder="1" applyAlignment="1">
      <alignment horizontal="center" vertical="center"/>
    </xf>
    <xf numFmtId="0" fontId="70" fillId="0" borderId="113" xfId="19" applyFont="1" applyBorder="1" applyAlignment="1">
      <alignment vertical="center"/>
    </xf>
    <xf numFmtId="0" fontId="70" fillId="18" borderId="107" xfId="13" applyFont="1" applyFill="1" applyBorder="1" applyAlignment="1">
      <alignment horizontal="right" vertical="center"/>
    </xf>
    <xf numFmtId="0" fontId="70" fillId="18" borderId="22" xfId="13" applyFont="1" applyFill="1" applyBorder="1" applyAlignment="1">
      <alignment horizontal="right" vertical="center"/>
    </xf>
    <xf numFmtId="0" fontId="70" fillId="18" borderId="22" xfId="13" applyFont="1" applyFill="1" applyBorder="1" applyAlignment="1">
      <alignment vertical="center"/>
    </xf>
    <xf numFmtId="43" fontId="71" fillId="18" borderId="121" xfId="4" applyFont="1" applyFill="1" applyBorder="1" applyAlignment="1">
      <alignment horizontal="center" vertical="center"/>
    </xf>
    <xf numFmtId="40" fontId="71" fillId="18" borderId="51" xfId="13" applyNumberFormat="1" applyFont="1" applyFill="1" applyBorder="1" applyAlignment="1">
      <alignment horizontal="right" vertical="center"/>
    </xf>
    <xf numFmtId="9" fontId="71" fillId="18" borderId="21" xfId="2" applyFont="1" applyFill="1" applyBorder="1" applyAlignment="1">
      <alignment horizontal="right" vertical="center"/>
    </xf>
    <xf numFmtId="40" fontId="71" fillId="17" borderId="121" xfId="13" applyNumberFormat="1" applyFont="1" applyFill="1" applyBorder="1" applyAlignment="1">
      <alignment horizontal="right" vertical="center"/>
    </xf>
    <xf numFmtId="40" fontId="71" fillId="17" borderId="21" xfId="13" applyNumberFormat="1" applyFont="1" applyFill="1" applyBorder="1" applyAlignment="1">
      <alignment horizontal="right" vertical="center"/>
    </xf>
    <xf numFmtId="40" fontId="71" fillId="2" borderId="121" xfId="13" applyNumberFormat="1" applyFont="1" applyFill="1" applyBorder="1" applyAlignment="1">
      <alignment horizontal="right" vertical="center"/>
    </xf>
    <xf numFmtId="40" fontId="71" fillId="17" borderId="122" xfId="13" applyNumberFormat="1" applyFont="1" applyFill="1" applyBorder="1" applyAlignment="1">
      <alignment horizontal="right" vertical="center"/>
    </xf>
    <xf numFmtId="0" fontId="71" fillId="0" borderId="25" xfId="13" applyFont="1" applyBorder="1" applyAlignment="1">
      <alignment vertical="center" wrapText="1"/>
    </xf>
    <xf numFmtId="0" fontId="71" fillId="17" borderId="110" xfId="13" applyFont="1" applyFill="1" applyBorder="1" applyAlignment="1">
      <alignment horizontal="center" vertical="center" wrapText="1"/>
    </xf>
    <xf numFmtId="0" fontId="71" fillId="17" borderId="28" xfId="13" applyFont="1" applyFill="1" applyBorder="1" applyAlignment="1">
      <alignment horizontal="center" vertical="center" wrapText="1"/>
    </xf>
    <xf numFmtId="0" fontId="71" fillId="17" borderId="120" xfId="13" applyFont="1" applyFill="1" applyBorder="1" applyAlignment="1">
      <alignment horizontal="center" vertical="center" wrapText="1"/>
    </xf>
    <xf numFmtId="9" fontId="71" fillId="0" borderId="21" xfId="2" applyFont="1" applyBorder="1" applyAlignment="1">
      <alignment horizontal="center" vertical="center" wrapText="1"/>
    </xf>
    <xf numFmtId="0" fontId="71" fillId="17" borderId="22" xfId="13" applyFont="1" applyFill="1" applyBorder="1" applyAlignment="1">
      <alignment horizontal="center" vertical="center" wrapText="1"/>
    </xf>
    <xf numFmtId="0" fontId="71" fillId="17" borderId="21" xfId="13" applyFont="1" applyFill="1" applyBorder="1" applyAlignment="1">
      <alignment horizontal="center" vertical="center" wrapText="1"/>
    </xf>
    <xf numFmtId="0" fontId="71" fillId="0" borderId="125"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40" fontId="71" fillId="2" borderId="23" xfId="13" applyNumberFormat="1" applyFont="1" applyFill="1" applyBorder="1" applyAlignment="1">
      <alignment horizontal="right" vertical="center"/>
    </xf>
    <xf numFmtId="40" fontId="70" fillId="0" borderId="5" xfId="18" applyNumberFormat="1" applyFont="1" applyFill="1" applyBorder="1" applyAlignment="1">
      <alignment vertical="center"/>
    </xf>
    <xf numFmtId="40" fontId="71" fillId="18" borderId="48" xfId="13" applyNumberFormat="1" applyFont="1" applyFill="1" applyBorder="1" applyAlignment="1">
      <alignment horizontal="right" vertical="center"/>
    </xf>
    <xf numFmtId="38" fontId="71" fillId="2" borderId="83" xfId="13" applyNumberFormat="1" applyFont="1" applyFill="1" applyBorder="1" applyAlignment="1">
      <alignment horizontal="right" vertical="center"/>
    </xf>
    <xf numFmtId="0" fontId="71" fillId="17" borderId="115" xfId="13" applyFont="1" applyFill="1" applyBorder="1" applyAlignment="1">
      <alignment horizontal="center" vertical="center" wrapText="1"/>
    </xf>
    <xf numFmtId="43" fontId="70" fillId="17" borderId="115" xfId="1" applyFont="1" applyFill="1" applyBorder="1" applyAlignment="1">
      <alignment vertical="center"/>
    </xf>
    <xf numFmtId="164" fontId="70" fillId="17" borderId="115" xfId="21" applyFont="1" applyFill="1" applyBorder="1" applyAlignment="1">
      <alignment vertical="center"/>
    </xf>
    <xf numFmtId="38" fontId="71" fillId="2" borderId="20" xfId="13" applyNumberFormat="1" applyFont="1" applyFill="1" applyBorder="1" applyAlignment="1">
      <alignment horizontal="right" vertical="center"/>
    </xf>
    <xf numFmtId="40" fontId="71" fillId="17" borderId="129" xfId="13" applyNumberFormat="1" applyFont="1" applyFill="1" applyBorder="1" applyAlignment="1">
      <alignment horizontal="right" vertical="center"/>
    </xf>
    <xf numFmtId="43" fontId="70" fillId="17" borderId="28" xfId="4" applyFont="1" applyFill="1" applyBorder="1" applyAlignment="1">
      <alignment vertical="center"/>
    </xf>
    <xf numFmtId="43" fontId="84" fillId="17" borderId="28" xfId="1" applyFont="1" applyFill="1" applyBorder="1" applyAlignment="1">
      <alignment vertical="center"/>
    </xf>
    <xf numFmtId="0" fontId="70" fillId="17" borderId="28" xfId="13" applyFont="1" applyFill="1" applyBorder="1" applyAlignment="1">
      <alignment vertical="center"/>
    </xf>
    <xf numFmtId="40" fontId="71" fillId="17" borderId="50" xfId="13" applyNumberFormat="1" applyFont="1" applyFill="1" applyBorder="1" applyAlignment="1">
      <alignment horizontal="right" vertical="center"/>
    </xf>
    <xf numFmtId="40" fontId="71" fillId="17" borderId="22" xfId="13" applyNumberFormat="1" applyFont="1" applyFill="1" applyBorder="1" applyAlignment="1">
      <alignment horizontal="right" vertical="center"/>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9"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2" xfId="1" applyFont="1" applyFill="1" applyBorder="1"/>
    <xf numFmtId="43" fontId="51" fillId="0" borderId="92" xfId="1" applyFont="1" applyBorder="1"/>
    <xf numFmtId="43" fontId="51" fillId="0" borderId="56" xfId="1" applyFont="1" applyBorder="1"/>
    <xf numFmtId="43" fontId="2" fillId="0" borderId="93" xfId="1" applyFont="1" applyBorder="1"/>
    <xf numFmtId="43" fontId="2" fillId="0" borderId="60" xfId="1" applyFont="1" applyBorder="1"/>
    <xf numFmtId="43" fontId="48" fillId="0" borderId="87"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8"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31" xfId="0" applyFont="1" applyFill="1" applyBorder="1" applyAlignment="1">
      <alignment horizontal="center" vertical="center"/>
    </xf>
    <xf numFmtId="0" fontId="2" fillId="2" borderId="93"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30" xfId="0" quotePrefix="1" applyBorder="1" applyAlignment="1">
      <alignment horizontal="center"/>
    </xf>
    <xf numFmtId="0" fontId="0" fillId="0" borderId="130" xfId="0" applyBorder="1" applyAlignment="1">
      <alignment horizontal="center"/>
    </xf>
    <xf numFmtId="43" fontId="48" fillId="0" borderId="0" xfId="1" applyFont="1"/>
    <xf numFmtId="3" fontId="18" fillId="0" borderId="84" xfId="9" applyNumberFormat="1" applyFont="1" applyBorder="1"/>
    <xf numFmtId="166" fontId="0" fillId="0" borderId="84" xfId="0" applyNumberFormat="1" applyBorder="1" applyAlignment="1">
      <alignment horizontal="left"/>
    </xf>
    <xf numFmtId="0" fontId="0" fillId="0" borderId="84"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9" xfId="0" quotePrefix="1" applyBorder="1" applyAlignment="1">
      <alignment horizontal="center"/>
    </xf>
    <xf numFmtId="43" fontId="0" fillId="0" borderId="112" xfId="1" applyFont="1" applyBorder="1" applyAlignment="1">
      <alignment horizontal="center"/>
    </xf>
    <xf numFmtId="164" fontId="48" fillId="0" borderId="79" xfId="1" applyNumberFormat="1" applyFont="1" applyBorder="1"/>
    <xf numFmtId="0" fontId="0" fillId="0" borderId="113" xfId="0" applyBorder="1" applyAlignment="1">
      <alignment horizontal="center"/>
    </xf>
    <xf numFmtId="0" fontId="48" fillId="0" borderId="130" xfId="12" applyFont="1" applyBorder="1" applyAlignment="1">
      <alignment horizontal="center"/>
    </xf>
    <xf numFmtId="0" fontId="2" fillId="0" borderId="131" xfId="0" applyFont="1" applyBorder="1"/>
    <xf numFmtId="176" fontId="70" fillId="0" borderId="45" xfId="20" applyFont="1" applyFill="1" applyBorder="1" applyAlignment="1">
      <alignment vertical="center"/>
    </xf>
    <xf numFmtId="0" fontId="0" fillId="0" borderId="54" xfId="0" applyBorder="1"/>
    <xf numFmtId="43" fontId="0" fillId="0" borderId="111" xfId="0" applyNumberFormat="1" applyBorder="1"/>
    <xf numFmtId="3" fontId="18" fillId="0" borderId="0" xfId="10" applyNumberFormat="1" applyFont="1" applyAlignment="1">
      <alignment vertical="top" wrapText="1"/>
    </xf>
    <xf numFmtId="43" fontId="37" fillId="0" borderId="0" xfId="1" applyFont="1"/>
    <xf numFmtId="0" fontId="69" fillId="0" borderId="0" xfId="17" applyFont="1" applyAlignment="1">
      <alignment horizontal="center" vertical="center"/>
    </xf>
    <xf numFmtId="43" fontId="89" fillId="3" borderId="100" xfId="17" applyNumberFormat="1" applyFont="1" applyFill="1" applyBorder="1" applyAlignment="1">
      <alignment vertical="center"/>
    </xf>
    <xf numFmtId="0" fontId="70" fillId="0" borderId="78" xfId="3" quotePrefix="1" applyFont="1" applyBorder="1" applyAlignment="1">
      <alignment horizontal="center"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71" fillId="0" borderId="100" xfId="3" applyFont="1" applyBorder="1" applyAlignment="1">
      <alignment horizontal="center" vertical="center" wrapText="1"/>
    </xf>
    <xf numFmtId="0" fontId="71" fillId="0" borderId="100" xfId="3" applyFont="1" applyBorder="1" applyAlignment="1">
      <alignment horizontal="center" vertical="center"/>
    </xf>
    <xf numFmtId="0" fontId="71" fillId="0" borderId="102" xfId="3" applyFont="1" applyBorder="1" applyAlignment="1">
      <alignment horizontal="center" vertical="center" wrapText="1"/>
    </xf>
    <xf numFmtId="0" fontId="70" fillId="0" borderId="100" xfId="3" applyFont="1" applyBorder="1" applyAlignment="1">
      <alignment horizontal="center" vertical="center"/>
    </xf>
    <xf numFmtId="0" fontId="71" fillId="0" borderId="104" xfId="3" applyFont="1" applyBorder="1" applyAlignment="1">
      <alignment horizontal="center" vertical="center" wrapText="1"/>
    </xf>
    <xf numFmtId="43" fontId="71" fillId="0" borderId="100" xfId="14" applyFont="1" applyFill="1" applyBorder="1" applyAlignment="1">
      <alignment horizontal="center" vertical="center" wrapText="1"/>
    </xf>
    <xf numFmtId="0" fontId="69" fillId="0" borderId="0" xfId="3" applyFont="1" applyAlignment="1">
      <alignment horizontal="center" vertical="center"/>
    </xf>
    <xf numFmtId="0" fontId="70" fillId="0" borderId="71" xfId="19" applyFont="1" applyBorder="1" applyAlignment="1">
      <alignment horizontal="center" vertical="center"/>
    </xf>
    <xf numFmtId="176" fontId="70" fillId="0" borderId="71" xfId="20" applyFont="1" applyFill="1" applyBorder="1" applyAlignment="1">
      <alignment vertical="center"/>
    </xf>
    <xf numFmtId="40" fontId="70" fillId="17" borderId="84" xfId="18" applyNumberFormat="1" applyFont="1" applyFill="1" applyBorder="1" applyAlignment="1">
      <alignment vertical="center"/>
    </xf>
    <xf numFmtId="0" fontId="0" fillId="0" borderId="132" xfId="0" applyBorder="1" applyAlignment="1">
      <alignment horizontal="center"/>
    </xf>
    <xf numFmtId="0" fontId="0" fillId="0" borderId="109" xfId="0" applyBorder="1"/>
    <xf numFmtId="43" fontId="0" fillId="0" borderId="109" xfId="1" applyFont="1" applyBorder="1"/>
    <xf numFmtId="0" fontId="0" fillId="0" borderId="133" xfId="0" applyBorder="1"/>
    <xf numFmtId="0" fontId="0" fillId="0" borderId="131" xfId="0" applyBorder="1" applyAlignment="1">
      <alignment horizontal="center"/>
    </xf>
    <xf numFmtId="0" fontId="0" fillId="0" borderId="93" xfId="0" applyBorder="1"/>
    <xf numFmtId="43" fontId="0" fillId="0" borderId="93" xfId="1" applyFont="1" applyBorder="1"/>
    <xf numFmtId="0" fontId="0" fillId="0" borderId="60" xfId="0" applyBorder="1"/>
    <xf numFmtId="0" fontId="0" fillId="0" borderId="87" xfId="0" applyBorder="1"/>
    <xf numFmtId="43" fontId="0" fillId="0" borderId="87" xfId="1" applyFont="1" applyBorder="1"/>
    <xf numFmtId="0" fontId="2" fillId="0" borderId="100" xfId="0" applyFont="1" applyBorder="1"/>
    <xf numFmtId="43" fontId="2" fillId="0" borderId="100" xfId="1" applyFont="1" applyBorder="1"/>
    <xf numFmtId="10" fontId="70" fillId="0" borderId="0" xfId="2" applyNumberFormat="1" applyFont="1" applyAlignment="1">
      <alignment vertical="center"/>
    </xf>
    <xf numFmtId="10" fontId="71" fillId="0" borderId="21" xfId="2" applyNumberFormat="1" applyFont="1" applyBorder="1" applyAlignment="1">
      <alignment horizontal="center" vertical="center" wrapText="1"/>
    </xf>
    <xf numFmtId="10" fontId="71" fillId="0" borderId="28" xfId="2" applyNumberFormat="1" applyFont="1" applyBorder="1" applyAlignment="1">
      <alignment horizontal="center" vertical="center" wrapText="1"/>
    </xf>
    <xf numFmtId="10" fontId="71" fillId="18" borderId="21" xfId="2" applyNumberFormat="1" applyFont="1" applyFill="1" applyBorder="1" applyAlignment="1">
      <alignment horizontal="right" vertical="center"/>
    </xf>
    <xf numFmtId="164" fontId="70" fillId="17" borderId="84" xfId="21" applyFont="1" applyFill="1" applyBorder="1" applyAlignment="1">
      <alignment vertical="center"/>
    </xf>
    <xf numFmtId="0" fontId="48" fillId="0" borderId="113"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34" xfId="12" applyFont="1" applyBorder="1" applyAlignment="1">
      <alignment horizontal="center"/>
    </xf>
    <xf numFmtId="0" fontId="48" fillId="0" borderId="97" xfId="12" applyFont="1" applyBorder="1" applyAlignment="1">
      <alignment horizontal="center"/>
    </xf>
    <xf numFmtId="43" fontId="69" fillId="0" borderId="0" xfId="1" applyFont="1" applyAlignment="1">
      <alignment vertical="center"/>
    </xf>
    <xf numFmtId="43" fontId="69" fillId="0" borderId="0" xfId="15" applyFont="1" applyAlignment="1">
      <alignment horizontal="right" vertical="center"/>
    </xf>
    <xf numFmtId="43" fontId="86" fillId="0" borderId="111" xfId="1" applyFont="1" applyBorder="1" applyAlignment="1">
      <alignment vertical="center"/>
    </xf>
    <xf numFmtId="43" fontId="0" fillId="0" borderId="75" xfId="1" applyFont="1" applyFill="1" applyBorder="1"/>
    <xf numFmtId="49" fontId="70" fillId="0" borderId="89" xfId="3" applyNumberFormat="1" applyFont="1" applyBorder="1" applyAlignment="1">
      <alignment vertical="center"/>
    </xf>
    <xf numFmtId="164" fontId="70" fillId="0" borderId="28" xfId="16" applyFont="1" applyFill="1" applyBorder="1" applyAlignment="1">
      <alignment horizontal="left" vertical="center"/>
    </xf>
    <xf numFmtId="49" fontId="70" fillId="0" borderId="25" xfId="3" applyNumberFormat="1" applyFont="1" applyBorder="1" applyAlignment="1">
      <alignment vertical="center"/>
    </xf>
    <xf numFmtId="17" fontId="70" fillId="0" borderId="89" xfId="3" applyNumberFormat="1" applyFont="1" applyBorder="1" applyAlignment="1">
      <alignment vertical="center"/>
    </xf>
    <xf numFmtId="49" fontId="70" fillId="0" borderId="78" xfId="3" applyNumberFormat="1" applyFont="1" applyBorder="1" applyAlignment="1">
      <alignment horizontal="left" vertical="center"/>
    </xf>
    <xf numFmtId="43" fontId="83" fillId="0" borderId="78" xfId="14" applyFont="1" applyFill="1" applyBorder="1" applyAlignment="1">
      <alignment horizontal="left" vertical="center"/>
    </xf>
    <xf numFmtId="43" fontId="83" fillId="0" borderId="28" xfId="14" applyFont="1" applyFill="1" applyBorder="1" applyAlignment="1">
      <alignment horizontal="left" vertical="center"/>
    </xf>
    <xf numFmtId="173" fontId="3" fillId="0" borderId="0" xfId="24"/>
    <xf numFmtId="173" fontId="61" fillId="0" borderId="0" xfId="24" applyFont="1"/>
    <xf numFmtId="0" fontId="73" fillId="10" borderId="0" xfId="17" applyFont="1" applyFill="1" applyAlignment="1">
      <alignment vertical="center"/>
    </xf>
    <xf numFmtId="43" fontId="73" fillId="0" borderId="78" xfId="15" applyFont="1" applyFill="1" applyBorder="1" applyAlignment="1">
      <alignment horizontal="center"/>
    </xf>
    <xf numFmtId="0" fontId="69" fillId="0" borderId="0" xfId="17" applyFont="1" applyAlignment="1">
      <alignment horizontal="right" vertical="top"/>
    </xf>
    <xf numFmtId="176" fontId="83" fillId="0" borderId="27" xfId="20" applyFont="1" applyFill="1" applyBorder="1" applyAlignment="1">
      <alignment vertical="center"/>
    </xf>
    <xf numFmtId="38" fontId="70" fillId="17" borderId="84" xfId="18" applyNumberFormat="1" applyFont="1" applyFill="1" applyBorder="1" applyAlignment="1">
      <alignment vertical="center"/>
    </xf>
    <xf numFmtId="164" fontId="70" fillId="0" borderId="71" xfId="21" applyFont="1" applyFill="1" applyBorder="1" applyAlignment="1">
      <alignment vertical="center"/>
    </xf>
    <xf numFmtId="176" fontId="83" fillId="0" borderId="71" xfId="20"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70" fillId="0" borderId="39" xfId="4" applyFont="1" applyBorder="1" applyAlignment="1">
      <alignment vertical="center"/>
    </xf>
    <xf numFmtId="43" fontId="70" fillId="0" borderId="87" xfId="4" applyFont="1" applyBorder="1" applyAlignment="1">
      <alignment vertical="center"/>
    </xf>
    <xf numFmtId="43" fontId="0" fillId="0" borderId="27" xfId="0" quotePrefix="1" applyNumberFormat="1" applyBorder="1"/>
    <xf numFmtId="43" fontId="0" fillId="0" borderId="28" xfId="0" applyNumberFormat="1" applyBorder="1"/>
    <xf numFmtId="40" fontId="0" fillId="0" borderId="27" xfId="0" quotePrefix="1"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20" xfId="20" applyFont="1" applyFill="1" applyBorder="1" applyAlignment="1">
      <alignment vertical="center"/>
    </xf>
    <xf numFmtId="176" fontId="68" fillId="0" borderId="0" xfId="13" applyNumberFormat="1" applyFont="1" applyAlignment="1">
      <alignment horizontal="left" vertical="center"/>
    </xf>
    <xf numFmtId="0" fontId="71" fillId="2" borderId="51" xfId="13" applyFont="1" applyFill="1" applyBorder="1" applyAlignment="1">
      <alignment horizontal="center" vertical="center" wrapText="1"/>
    </xf>
    <xf numFmtId="0" fontId="71" fillId="2" borderId="27" xfId="13" applyFont="1" applyFill="1" applyBorder="1" applyAlignment="1">
      <alignment horizontal="center" vertical="center" wrapText="1"/>
    </xf>
    <xf numFmtId="176" fontId="70" fillId="2" borderId="27" xfId="20" applyFont="1" applyFill="1" applyBorder="1" applyAlignment="1">
      <alignment vertical="center"/>
    </xf>
    <xf numFmtId="40" fontId="71" fillId="2" borderId="51" xfId="13" applyNumberFormat="1" applyFont="1" applyFill="1" applyBorder="1" applyAlignment="1">
      <alignment horizontal="right" vertical="center"/>
    </xf>
    <xf numFmtId="0" fontId="71" fillId="2" borderId="22" xfId="13" applyFont="1" applyFill="1" applyBorder="1" applyAlignment="1">
      <alignment horizontal="center" vertical="center" wrapText="1"/>
    </xf>
    <xf numFmtId="0" fontId="71" fillId="2" borderId="25" xfId="13" applyFont="1" applyFill="1" applyBorder="1" applyAlignment="1">
      <alignment horizontal="center" vertical="center" wrapText="1"/>
    </xf>
    <xf numFmtId="176" fontId="70" fillId="2" borderId="25" xfId="20" applyFont="1" applyFill="1" applyBorder="1" applyAlignment="1">
      <alignment vertical="center"/>
    </xf>
    <xf numFmtId="176" fontId="70" fillId="2" borderId="28" xfId="20" applyFont="1" applyFill="1" applyBorder="1" applyAlignment="1">
      <alignment vertical="center"/>
    </xf>
    <xf numFmtId="40" fontId="71" fillId="2" borderId="22" xfId="13" applyNumberFormat="1" applyFont="1" applyFill="1" applyBorder="1" applyAlignment="1">
      <alignment horizontal="right" vertical="center"/>
    </xf>
    <xf numFmtId="43" fontId="70" fillId="2" borderId="27" xfId="4" applyFont="1" applyFill="1" applyBorder="1" applyAlignment="1">
      <alignment vertical="center"/>
    </xf>
    <xf numFmtId="43" fontId="83" fillId="2" borderId="27" xfId="4" applyFont="1" applyFill="1" applyBorder="1" applyAlignment="1">
      <alignment vertical="center"/>
    </xf>
    <xf numFmtId="43" fontId="84" fillId="2" borderId="27" xfId="1" applyFont="1" applyFill="1" applyBorder="1" applyAlignment="1">
      <alignment vertical="center"/>
    </xf>
    <xf numFmtId="0" fontId="70" fillId="2" borderId="27" xfId="13" applyFont="1" applyFill="1" applyBorder="1" applyAlignment="1">
      <alignment vertical="center"/>
    </xf>
    <xf numFmtId="164" fontId="70" fillId="2" borderId="27" xfId="21" applyFont="1" applyFill="1" applyBorder="1" applyAlignment="1">
      <alignment vertical="center"/>
    </xf>
    <xf numFmtId="43" fontId="68" fillId="0" borderId="0" xfId="13" applyNumberFormat="1" applyFont="1" applyAlignment="1">
      <alignment horizontal="left" vertical="center"/>
    </xf>
    <xf numFmtId="176" fontId="70" fillId="2" borderId="47" xfId="20" applyFont="1" applyFill="1" applyBorder="1" applyAlignment="1">
      <alignment vertical="center"/>
    </xf>
    <xf numFmtId="43" fontId="48" fillId="0" borderId="78" xfId="1" applyFont="1" applyFill="1" applyBorder="1"/>
    <xf numFmtId="38" fontId="84" fillId="2" borderId="64" xfId="18" applyNumberFormat="1" applyFont="1" applyFill="1" applyBorder="1" applyAlignment="1">
      <alignment vertical="center"/>
    </xf>
    <xf numFmtId="176" fontId="84" fillId="2" borderId="113" xfId="20" applyFont="1" applyFill="1" applyBorder="1" applyAlignment="1">
      <alignment vertical="center"/>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90" xfId="4" applyFont="1" applyBorder="1"/>
    <xf numFmtId="43" fontId="48" fillId="0" borderId="80" xfId="4" applyFont="1" applyBorder="1"/>
    <xf numFmtId="43" fontId="51" fillId="0" borderId="18" xfId="4" applyFont="1" applyBorder="1" applyAlignment="1">
      <alignment horizontal="left"/>
    </xf>
    <xf numFmtId="43" fontId="51" fillId="0" borderId="91" xfId="4" applyFont="1" applyBorder="1" applyAlignment="1">
      <alignment horizontal="left"/>
    </xf>
    <xf numFmtId="43" fontId="48" fillId="0" borderId="96" xfId="4" applyFont="1" applyBorder="1"/>
    <xf numFmtId="43" fontId="48" fillId="0" borderId="74" xfId="4" applyFont="1" applyBorder="1"/>
    <xf numFmtId="43" fontId="48" fillId="0" borderId="89" xfId="4" applyFont="1" applyBorder="1"/>
    <xf numFmtId="43" fontId="48" fillId="0" borderId="77" xfId="4" applyFont="1" applyBorder="1"/>
    <xf numFmtId="0" fontId="71" fillId="2" borderId="128" xfId="13" applyFont="1" applyFill="1" applyBorder="1" applyAlignment="1">
      <alignment horizontal="center" vertical="center" wrapText="1"/>
    </xf>
    <xf numFmtId="0" fontId="71" fillId="2" borderId="125" xfId="13" applyFont="1" applyFill="1" applyBorder="1" applyAlignment="1">
      <alignment horizontal="center" vertical="center" wrapText="1"/>
    </xf>
    <xf numFmtId="0" fontId="71" fillId="0" borderId="1" xfId="13" applyFont="1" applyBorder="1" applyAlignment="1">
      <alignment horizontal="center" vertical="center" wrapText="1"/>
    </xf>
    <xf numFmtId="0" fontId="71" fillId="0" borderId="8" xfId="13" applyFont="1" applyBorder="1" applyAlignment="1">
      <alignment horizontal="center" vertical="center" wrapText="1"/>
    </xf>
    <xf numFmtId="0" fontId="71" fillId="0" borderId="11" xfId="13" applyFont="1" applyBorder="1" applyAlignment="1">
      <alignment horizontal="center" vertical="center" wrapText="1"/>
    </xf>
    <xf numFmtId="0" fontId="71" fillId="0" borderId="18" xfId="13" applyFont="1" applyBorder="1" applyAlignment="1">
      <alignment horizontal="center" vertical="center" wrapText="1"/>
    </xf>
    <xf numFmtId="0" fontId="71" fillId="0" borderId="123" xfId="13" applyFont="1" applyBorder="1" applyAlignment="1">
      <alignment horizontal="center" vertical="center" wrapText="1"/>
    </xf>
    <xf numFmtId="0" fontId="70" fillId="0" borderId="61" xfId="13" applyFont="1" applyBorder="1" applyAlignment="1">
      <alignment horizontal="center" vertical="center"/>
    </xf>
    <xf numFmtId="0" fontId="70" fillId="0" borderId="48" xfId="13" applyFont="1" applyBorder="1" applyAlignment="1">
      <alignment horizontal="center" vertical="center"/>
    </xf>
    <xf numFmtId="0" fontId="71" fillId="0" borderId="57" xfId="13" applyFont="1" applyBorder="1" applyAlignment="1">
      <alignment horizontal="center" vertical="center"/>
    </xf>
    <xf numFmtId="0" fontId="71" fillId="0" borderId="58" xfId="13" applyFont="1" applyBorder="1" applyAlignment="1">
      <alignment horizontal="center" vertical="center"/>
    </xf>
    <xf numFmtId="0" fontId="71" fillId="0" borderId="65" xfId="13" applyFont="1" applyBorder="1" applyAlignment="1">
      <alignment horizontal="center" vertical="center"/>
    </xf>
    <xf numFmtId="0" fontId="71" fillId="0" borderId="126" xfId="13" applyFont="1" applyBorder="1" applyAlignment="1">
      <alignment horizontal="center" vertical="center" wrapText="1"/>
    </xf>
    <xf numFmtId="0" fontId="71" fillId="0" borderId="92" xfId="13" applyFont="1" applyBorder="1" applyAlignment="1">
      <alignment horizontal="center" vertical="center" wrapText="1"/>
    </xf>
    <xf numFmtId="0" fontId="71" fillId="17" borderId="11" xfId="13" applyFont="1" applyFill="1" applyBorder="1" applyAlignment="1">
      <alignment horizontal="center" vertical="center"/>
    </xf>
    <xf numFmtId="0" fontId="71" fillId="17" borderId="18" xfId="13" applyFont="1" applyFill="1" applyBorder="1" applyAlignment="1">
      <alignment horizontal="center" vertical="center"/>
    </xf>
    <xf numFmtId="0" fontId="71" fillId="0" borderId="13" xfId="13" applyFont="1" applyBorder="1" applyAlignment="1">
      <alignment horizontal="center" vertical="center"/>
    </xf>
    <xf numFmtId="0" fontId="71" fillId="0" borderId="14" xfId="13" applyFont="1" applyBorder="1" applyAlignment="1">
      <alignment horizontal="center" vertical="center"/>
    </xf>
    <xf numFmtId="0" fontId="71" fillId="2" borderId="119" xfId="13" applyFont="1" applyFill="1" applyBorder="1" applyAlignment="1">
      <alignment horizontal="center" vertical="center"/>
    </xf>
    <xf numFmtId="0" fontId="71" fillId="2" borderId="123" xfId="13" applyFont="1" applyFill="1" applyBorder="1" applyAlignment="1">
      <alignment horizontal="center" vertical="center"/>
    </xf>
    <xf numFmtId="0" fontId="71" fillId="17" borderId="112" xfId="13" applyFont="1" applyFill="1" applyBorder="1" applyAlignment="1">
      <alignment horizontal="center" vertical="center"/>
    </xf>
    <xf numFmtId="0" fontId="71" fillId="17" borderId="56" xfId="13" applyFont="1" applyFill="1" applyBorder="1" applyAlignment="1">
      <alignment horizontal="center" vertical="center"/>
    </xf>
    <xf numFmtId="0" fontId="71" fillId="17" borderId="112" xfId="13" applyFont="1" applyFill="1" applyBorder="1" applyAlignment="1">
      <alignment horizontal="center" vertical="center" wrapText="1"/>
    </xf>
    <xf numFmtId="0" fontId="71" fillId="17" borderId="56" xfId="13" applyFont="1" applyFill="1" applyBorder="1" applyAlignment="1">
      <alignment horizontal="center" vertical="center" wrapText="1"/>
    </xf>
    <xf numFmtId="0" fontId="71" fillId="2" borderId="10" xfId="13" applyFont="1" applyFill="1" applyBorder="1" applyAlignment="1">
      <alignment horizontal="center" vertical="center" wrapText="1"/>
    </xf>
    <xf numFmtId="0" fontId="71" fillId="2" borderId="17" xfId="13" applyFont="1" applyFill="1" applyBorder="1" applyAlignment="1">
      <alignment horizontal="center" vertical="center" wrapText="1"/>
    </xf>
    <xf numFmtId="0" fontId="71" fillId="17" borderId="119" xfId="13" applyFont="1" applyFill="1" applyBorder="1" applyAlignment="1">
      <alignment horizontal="center" vertical="center" wrapText="1"/>
    </xf>
    <xf numFmtId="0" fontId="71" fillId="17" borderId="123" xfId="13" applyFont="1" applyFill="1" applyBorder="1" applyAlignment="1">
      <alignment horizontal="center" vertical="center" wrapText="1"/>
    </xf>
    <xf numFmtId="0" fontId="71" fillId="2" borderId="127" xfId="13" applyFont="1" applyFill="1" applyBorder="1" applyAlignment="1">
      <alignment horizontal="center" vertical="center" wrapText="1"/>
    </xf>
    <xf numFmtId="0" fontId="71" fillId="2" borderId="91" xfId="13" applyFont="1" applyFill="1" applyBorder="1" applyAlignment="1">
      <alignment horizontal="center" vertical="center"/>
    </xf>
    <xf numFmtId="0" fontId="71" fillId="2" borderId="116" xfId="13" applyFont="1" applyFill="1" applyBorder="1" applyAlignment="1">
      <alignment horizontal="center" vertical="center"/>
    </xf>
    <xf numFmtId="0" fontId="71" fillId="2" borderId="124" xfId="13" applyFont="1" applyFill="1" applyBorder="1" applyAlignment="1">
      <alignment horizontal="center" vertical="center"/>
    </xf>
    <xf numFmtId="0" fontId="51" fillId="0" borderId="107"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4"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4"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4" xfId="3" applyFont="1" applyBorder="1" applyAlignment="1">
      <alignment horizontal="left" vertical="center" wrapText="1"/>
    </xf>
    <xf numFmtId="172" fontId="60" fillId="0" borderId="104" xfId="3" applyNumberFormat="1" applyFont="1" applyBorder="1" applyAlignment="1">
      <alignment horizontal="center" vertical="center" wrapText="1"/>
    </xf>
    <xf numFmtId="172" fontId="60" fillId="0" borderId="102"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9" xfId="3" applyFont="1" applyBorder="1" applyAlignment="1">
      <alignment horizontal="center" vertical="center"/>
    </xf>
    <xf numFmtId="0" fontId="25" fillId="0" borderId="31" xfId="3" applyFont="1" applyBorder="1" applyAlignment="1">
      <alignment horizontal="center" vertical="center"/>
    </xf>
    <xf numFmtId="0" fontId="25" fillId="0" borderId="103" xfId="3" applyFont="1" applyBorder="1" applyAlignment="1">
      <alignment horizontal="center" vertical="center"/>
    </xf>
    <xf numFmtId="0" fontId="22" fillId="0" borderId="104" xfId="3" applyFont="1" applyBorder="1" applyAlignment="1">
      <alignment horizontal="left" vertical="center" indent="2"/>
    </xf>
    <xf numFmtId="0" fontId="22" fillId="0" borderId="101" xfId="3" applyFont="1" applyBorder="1" applyAlignment="1">
      <alignment horizontal="left" vertical="center" indent="2"/>
    </xf>
    <xf numFmtId="0" fontId="25" fillId="7" borderId="104" xfId="3" applyFont="1" applyFill="1" applyBorder="1" applyAlignment="1">
      <alignment horizontal="center" vertical="center" wrapText="1"/>
    </xf>
    <xf numFmtId="0" fontId="25" fillId="7" borderId="102"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17" fontId="69" fillId="10" borderId="104" xfId="17" quotePrefix="1" applyNumberFormat="1" applyFont="1" applyFill="1" applyBorder="1" applyAlignment="1">
      <alignment horizontal="center" vertical="center"/>
    </xf>
    <xf numFmtId="17" fontId="69" fillId="10" borderId="101" xfId="17" quotePrefix="1" applyNumberFormat="1" applyFont="1" applyFill="1" applyBorder="1" applyAlignment="1">
      <alignment horizontal="center" vertical="center"/>
    </xf>
    <xf numFmtId="0" fontId="47" fillId="0" borderId="0" xfId="0" applyFont="1"/>
    <xf numFmtId="4" fontId="47" fillId="0" borderId="109" xfId="0" applyNumberFormat="1" applyFont="1" applyBorder="1" applyAlignment="1">
      <alignment horizontal="right" vertical="center"/>
    </xf>
    <xf numFmtId="4" fontId="47" fillId="0" borderId="87" xfId="0" applyNumberFormat="1" applyFont="1" applyBorder="1" applyAlignment="1">
      <alignment horizontal="right"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4" xfId="0" applyFont="1" applyFill="1" applyBorder="1" applyAlignment="1">
      <alignment horizontal="center" vertical="center"/>
    </xf>
    <xf numFmtId="0" fontId="75" fillId="13" borderId="101" xfId="0" applyFont="1" applyFill="1" applyBorder="1" applyAlignment="1">
      <alignment horizontal="center" vertical="center"/>
    </xf>
    <xf numFmtId="0" fontId="75" fillId="13" borderId="102" xfId="0" applyFont="1" applyFill="1" applyBorder="1" applyAlignment="1">
      <alignment horizontal="center" vertical="center"/>
    </xf>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4" fontId="47" fillId="0" borderId="109" xfId="0" applyNumberFormat="1" applyFont="1" applyBorder="1" applyAlignment="1">
      <alignment horizontal="center" vertical="center"/>
    </xf>
    <xf numFmtId="4" fontId="47" fillId="0" borderId="87" xfId="0" applyNumberFormat="1" applyFont="1" applyBorder="1" applyAlignment="1">
      <alignment horizontal="center" vertical="center"/>
    </xf>
    <xf numFmtId="10" fontId="47" fillId="0" borderId="109" xfId="0" applyNumberFormat="1" applyFont="1" applyBorder="1" applyAlignment="1">
      <alignment horizontal="center" vertical="center"/>
    </xf>
    <xf numFmtId="10" fontId="47" fillId="0" borderId="87" xfId="0" applyNumberFormat="1" applyFont="1" applyBorder="1" applyAlignment="1">
      <alignment horizontal="center" vertical="center"/>
    </xf>
    <xf numFmtId="0" fontId="2" fillId="0" borderId="100" xfId="0" applyFont="1" applyBorder="1" applyAlignment="1">
      <alignment horizontal="center"/>
    </xf>
  </cellXfs>
  <cellStyles count="25">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5" xfId="9" xr:uid="{00000000-0005-0000-0000-000011000000}"/>
    <cellStyle name="Normal 35 2" xfId="10" xr:uid="{00000000-0005-0000-0000-000012000000}"/>
    <cellStyle name="Normal 37" xfId="7" xr:uid="{00000000-0005-0000-0000-000013000000}"/>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imal/OneDrive/Desktop/IPC11%20Dec'22_KMEP%20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
      <sheetName val="A. Staff"/>
      <sheetName val="B. Prelims"/>
      <sheetName val="C. Labor"/>
      <sheetName val="D. WA-M"/>
      <sheetName val="E. Material"/>
      <sheetName val="G. FP"/>
      <sheetName val="FF"/>
      <sheetName val="FA"/>
      <sheetName val="H. BMS"/>
      <sheetName val="JCI"/>
      <sheetName val="I. Gas"/>
      <sheetName val="J. HWS"/>
      <sheetName val="K. ELV"/>
      <sheetName val="SIS"/>
      <sheetName val="L. Fire Stop"/>
      <sheetName val="FS Progress"/>
      <sheetName val="FS Work done"/>
      <sheetName val="M. PS Lift"/>
      <sheetName val="Kone"/>
      <sheetName val="N. PS GRMS"/>
      <sheetName val="CGT"/>
      <sheetName val="O. FOH ELV"/>
      <sheetName val="SIS (FOH)"/>
    </sheetNames>
    <sheetDataSet>
      <sheetData sheetId="0">
        <row r="12">
          <cell r="G12">
            <v>10059900</v>
          </cell>
          <cell r="M12">
            <v>8588278.1771612894</v>
          </cell>
        </row>
        <row r="13">
          <cell r="G13">
            <v>1487337.94</v>
          </cell>
          <cell r="M13">
            <v>1487337.94</v>
          </cell>
        </row>
        <row r="16">
          <cell r="G16">
            <v>15122050.734999999</v>
          </cell>
          <cell r="M16">
            <v>15122050.734999999</v>
          </cell>
        </row>
        <row r="17">
          <cell r="M17">
            <v>7131178.450000002</v>
          </cell>
        </row>
        <row r="18">
          <cell r="M18">
            <v>28431.17</v>
          </cell>
        </row>
        <row r="19">
          <cell r="G19">
            <v>892511.93</v>
          </cell>
          <cell r="M19">
            <v>799748.29</v>
          </cell>
        </row>
        <row r="20">
          <cell r="G20">
            <v>2012658</v>
          </cell>
          <cell r="M20">
            <v>1235100.6905236191</v>
          </cell>
        </row>
        <row r="21">
          <cell r="G21">
            <v>413786</v>
          </cell>
          <cell r="M21">
            <v>65964.589899999992</v>
          </cell>
        </row>
        <row r="22">
          <cell r="G22">
            <v>374640</v>
          </cell>
          <cell r="M22">
            <v>189448</v>
          </cell>
        </row>
        <row r="23">
          <cell r="G23">
            <v>1158100</v>
          </cell>
          <cell r="M23">
            <v>0</v>
          </cell>
        </row>
        <row r="24">
          <cell r="G24">
            <v>2274721.7579199998</v>
          </cell>
          <cell r="M24">
            <v>233217.36967877916</v>
          </cell>
        </row>
        <row r="25">
          <cell r="G25">
            <v>192105</v>
          </cell>
          <cell r="M25">
            <v>173701.63759999999</v>
          </cell>
        </row>
        <row r="28">
          <cell r="G28">
            <v>918410.63400000031</v>
          </cell>
          <cell r="M28">
            <v>60750</v>
          </cell>
        </row>
        <row r="29">
          <cell r="G29">
            <v>730823.99999999953</v>
          </cell>
          <cell r="M29">
            <v>105770.58690035013</v>
          </cell>
        </row>
        <row r="30">
          <cell r="G30">
            <v>1873397.3837574399</v>
          </cell>
          <cell r="M30">
            <v>287513.62446844904</v>
          </cell>
        </row>
        <row r="31">
          <cell r="G31">
            <v>1746063.9600000002</v>
          </cell>
          <cell r="M31">
            <v>233562.86</v>
          </cell>
        </row>
        <row r="32">
          <cell r="G32">
            <v>4417716.18</v>
          </cell>
          <cell r="M32">
            <v>1656074.9400000002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tabSelected="1" view="pageBreakPreview" topLeftCell="A10" zoomScale="70" zoomScaleNormal="70" zoomScaleSheetLayoutView="70" workbookViewId="0">
      <selection activeCell="I50" sqref="I50"/>
    </sheetView>
  </sheetViews>
  <sheetFormatPr defaultColWidth="9.109375" defaultRowHeight="13.8"/>
  <cols>
    <col min="1" max="2" width="1.5546875" style="124" customWidth="1"/>
    <col min="3" max="3" width="34.5546875" style="124" customWidth="1"/>
    <col min="4" max="4" width="31.109375" style="124" customWidth="1"/>
    <col min="5" max="5" width="31.33203125" style="124" customWidth="1"/>
    <col min="6" max="7" width="35" style="124" customWidth="1"/>
    <col min="8" max="9" width="26.6640625" style="123" customWidth="1"/>
    <col min="10" max="10" width="22.6640625" style="123" customWidth="1"/>
    <col min="11" max="11" width="17.33203125" style="123" customWidth="1"/>
    <col min="12" max="12" width="23.88671875" style="123" customWidth="1"/>
    <col min="13" max="13" width="29.5546875" style="123" customWidth="1"/>
    <col min="14" max="14" width="20.109375" style="123" customWidth="1"/>
    <col min="15" max="16384" width="9.109375" style="124"/>
  </cols>
  <sheetData>
    <row r="1" spans="1:14" ht="35.25" customHeight="1">
      <c r="A1" s="122"/>
      <c r="B1" s="1026" t="s">
        <v>75</v>
      </c>
      <c r="C1" s="1027"/>
      <c r="D1" s="1027"/>
      <c r="E1" s="1027"/>
      <c r="F1" s="1027"/>
      <c r="G1" s="1028"/>
    </row>
    <row r="2" spans="1:14" s="125" customFormat="1" ht="21">
      <c r="B2" s="126" t="s">
        <v>76</v>
      </c>
      <c r="C2" s="127"/>
      <c r="D2" s="127" t="s">
        <v>77</v>
      </c>
      <c r="E2" s="128"/>
      <c r="F2" s="129" t="s">
        <v>78</v>
      </c>
      <c r="G2" s="130" t="s">
        <v>892</v>
      </c>
      <c r="H2" s="131"/>
      <c r="I2" s="131"/>
      <c r="J2" s="131"/>
      <c r="K2" s="131"/>
      <c r="L2" s="131"/>
      <c r="M2" s="131"/>
      <c r="N2" s="131"/>
    </row>
    <row r="3" spans="1:14" s="125" customFormat="1" ht="18.600000000000001" thickBot="1">
      <c r="B3" s="132"/>
      <c r="C3" s="133"/>
      <c r="D3" s="133"/>
      <c r="E3" s="133"/>
      <c r="F3" s="134" t="s">
        <v>79</v>
      </c>
      <c r="G3" s="135">
        <f ca="1">TODAY()</f>
        <v>44949</v>
      </c>
      <c r="H3" s="131"/>
      <c r="I3" s="131"/>
      <c r="J3" s="131"/>
      <c r="K3" s="131"/>
      <c r="L3" s="131"/>
      <c r="M3" s="131"/>
      <c r="N3" s="131"/>
    </row>
    <row r="4" spans="1:14" ht="16.8">
      <c r="A4" s="122"/>
      <c r="B4" s="136"/>
      <c r="C4" s="137" t="s">
        <v>80</v>
      </c>
      <c r="D4" s="138" t="s">
        <v>81</v>
      </c>
      <c r="E4" s="139"/>
      <c r="F4" s="139" t="s">
        <v>82</v>
      </c>
      <c r="G4" s="140" t="s">
        <v>893</v>
      </c>
    </row>
    <row r="5" spans="1:14" ht="16.8">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8">
      <c r="A9" s="122"/>
      <c r="B9" s="141"/>
      <c r="C9" s="142"/>
      <c r="D9" s="142"/>
      <c r="E9" s="139"/>
      <c r="F9" s="139" t="s">
        <v>88</v>
      </c>
      <c r="G9" s="146">
        <f>J9</f>
        <v>44932</v>
      </c>
      <c r="J9" s="144">
        <v>44932</v>
      </c>
      <c r="L9" s="144"/>
    </row>
    <row r="10" spans="1:14" ht="16.8">
      <c r="A10" s="122"/>
      <c r="B10" s="141"/>
      <c r="C10" s="145" t="s">
        <v>89</v>
      </c>
      <c r="D10" s="142" t="s">
        <v>0</v>
      </c>
      <c r="E10" s="147"/>
      <c r="F10" s="139" t="s">
        <v>90</v>
      </c>
      <c r="G10" s="143" t="s">
        <v>894</v>
      </c>
      <c r="J10" s="144">
        <f>J9+10</f>
        <v>44942</v>
      </c>
    </row>
    <row r="11" spans="1:14" ht="16.8">
      <c r="A11" s="122"/>
      <c r="B11" s="141"/>
      <c r="C11" s="142"/>
      <c r="D11" s="142" t="s">
        <v>91</v>
      </c>
      <c r="E11" s="139"/>
      <c r="F11" s="139" t="s">
        <v>92</v>
      </c>
      <c r="G11" s="146">
        <f>J9+28-7</f>
        <v>44953</v>
      </c>
      <c r="H11" s="148"/>
      <c r="I11" s="148"/>
      <c r="J11" s="148"/>
    </row>
    <row r="12" spans="1:14" ht="16.8">
      <c r="A12" s="122"/>
      <c r="B12" s="141"/>
      <c r="C12" s="142"/>
      <c r="D12" s="142" t="s">
        <v>86</v>
      </c>
      <c r="E12" s="139"/>
      <c r="F12" s="139" t="s">
        <v>93</v>
      </c>
      <c r="G12" s="140" t="s">
        <v>9</v>
      </c>
      <c r="J12" s="144"/>
      <c r="L12" s="144"/>
    </row>
    <row r="13" spans="1:14" ht="20.399999999999999"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51">
        <f>G34/G23</f>
        <v>0.66832767280999572</v>
      </c>
    </row>
    <row r="17" spans="1:14" ht="18" customHeight="1">
      <c r="A17" s="122"/>
      <c r="B17" s="141"/>
      <c r="C17" s="145"/>
      <c r="D17" s="142"/>
      <c r="E17" s="147"/>
      <c r="F17" s="152" t="s">
        <v>99</v>
      </c>
      <c r="G17" s="151">
        <f>G36/G23</f>
        <v>0.77634939869885633</v>
      </c>
    </row>
    <row r="18" spans="1:14" ht="18" customHeight="1">
      <c r="A18" s="122"/>
      <c r="B18" s="141"/>
      <c r="C18" s="145"/>
      <c r="D18" s="142"/>
      <c r="E18" s="147"/>
      <c r="F18" s="150" t="s">
        <v>100</v>
      </c>
      <c r="G18" s="153"/>
    </row>
    <row r="19" spans="1:14" ht="4.5" customHeight="1" thickBot="1">
      <c r="A19" s="122"/>
      <c r="B19" s="154"/>
      <c r="C19" s="155"/>
      <c r="D19" s="156"/>
      <c r="E19" s="157"/>
      <c r="F19" s="158"/>
      <c r="G19" s="159"/>
    </row>
    <row r="20" spans="1:14" ht="16.8">
      <c r="A20" s="122"/>
      <c r="B20" s="160"/>
      <c r="C20" s="161"/>
      <c r="D20" s="162"/>
      <c r="E20" s="163"/>
      <c r="F20" s="164" t="s">
        <v>101</v>
      </c>
      <c r="G20" s="165" t="s">
        <v>9</v>
      </c>
      <c r="H20" s="123" t="s">
        <v>102</v>
      </c>
    </row>
    <row r="21" spans="1:14" s="166" customFormat="1" ht="16.8">
      <c r="B21" s="167"/>
      <c r="E21" s="168"/>
      <c r="F21" s="169" t="s">
        <v>103</v>
      </c>
      <c r="G21" s="170">
        <v>194951735</v>
      </c>
      <c r="H21" s="148"/>
      <c r="I21" s="171"/>
      <c r="J21" s="123"/>
      <c r="K21" s="123"/>
      <c r="L21" s="123"/>
      <c r="M21" s="123"/>
      <c r="N21" s="171"/>
    </row>
    <row r="22" spans="1:14" s="166" customFormat="1" ht="16.8">
      <c r="B22" s="167"/>
      <c r="E22" s="168"/>
      <c r="F22" s="169" t="s">
        <v>104</v>
      </c>
      <c r="G22" s="170">
        <v>0</v>
      </c>
      <c r="H22" s="171"/>
      <c r="J22" s="123"/>
      <c r="K22" s="123"/>
      <c r="L22" s="123"/>
      <c r="M22" s="123"/>
      <c r="N22" s="171"/>
    </row>
    <row r="23" spans="1:14" s="166" customFormat="1" ht="22.2" customHeight="1" thickBot="1">
      <c r="B23" s="167"/>
      <c r="E23" s="168"/>
      <c r="F23" s="169" t="s">
        <v>105</v>
      </c>
      <c r="G23" s="172">
        <f>SUM(G21:G22)</f>
        <v>194951735</v>
      </c>
      <c r="H23" s="171"/>
      <c r="I23" s="171"/>
      <c r="J23" s="123"/>
      <c r="K23" s="123"/>
      <c r="L23" s="123"/>
      <c r="M23" s="123"/>
      <c r="N23" s="171"/>
    </row>
    <row r="24" spans="1:14" ht="3.75" customHeight="1" thickTop="1" thickBot="1">
      <c r="A24" s="122"/>
      <c r="B24" s="173"/>
      <c r="C24" s="174"/>
      <c r="D24" s="175"/>
      <c r="E24" s="176"/>
      <c r="F24" s="177"/>
      <c r="G24" s="178"/>
    </row>
    <row r="25" spans="1:14" ht="16.8">
      <c r="A25" s="122"/>
      <c r="B25" s="154"/>
      <c r="C25" s="145" t="s">
        <v>106</v>
      </c>
      <c r="D25" s="142"/>
      <c r="E25" s="142"/>
      <c r="F25" s="139"/>
      <c r="G25" s="179">
        <f>E31</f>
        <v>21059022.879727807</v>
      </c>
    </row>
    <row r="26" spans="1:14" ht="16.8">
      <c r="A26" s="122"/>
      <c r="B26" s="154"/>
      <c r="C26" s="180"/>
      <c r="D26" s="142"/>
      <c r="E26" s="181"/>
      <c r="F26" s="139"/>
      <c r="G26" s="182"/>
    </row>
    <row r="27" spans="1:14" ht="24.75" customHeight="1">
      <c r="A27" s="122"/>
      <c r="B27" s="183"/>
      <c r="C27" s="184" t="s">
        <v>107</v>
      </c>
      <c r="D27" s="185"/>
      <c r="E27" s="186">
        <f>'Annexure 11-Advance Recovery'!H17</f>
        <v>23638476.020000003</v>
      </c>
      <c r="F27" s="139"/>
      <c r="G27" s="182"/>
    </row>
    <row r="28" spans="1:14" ht="6" customHeight="1">
      <c r="A28" s="122"/>
      <c r="B28" s="183"/>
      <c r="C28" s="184"/>
      <c r="D28" s="185"/>
      <c r="E28" s="186"/>
      <c r="F28" s="139"/>
      <c r="G28" s="182"/>
      <c r="H28" s="187"/>
      <c r="I28" s="187"/>
    </row>
    <row r="29" spans="1:14" ht="16.8">
      <c r="A29" s="122"/>
      <c r="B29" s="183"/>
      <c r="C29" s="184" t="s">
        <v>839</v>
      </c>
      <c r="D29" s="185"/>
      <c r="E29" s="186">
        <f>'Annexure 11-Advance Recovery'!H24</f>
        <v>2579453.140272195</v>
      </c>
      <c r="F29" s="139"/>
      <c r="G29" s="182"/>
    </row>
    <row r="30" spans="1:14" s="123" customFormat="1" ht="5.25" customHeight="1">
      <c r="A30" s="122"/>
      <c r="B30" s="183"/>
      <c r="C30" s="184"/>
      <c r="D30" s="185"/>
      <c r="E30" s="188"/>
      <c r="F30" s="139"/>
      <c r="G30" s="182"/>
    </row>
    <row r="31" spans="1:14" s="123" customFormat="1" ht="16.8">
      <c r="A31" s="122"/>
      <c r="B31" s="183"/>
      <c r="C31" s="184" t="s">
        <v>108</v>
      </c>
      <c r="D31" s="185"/>
      <c r="E31" s="186">
        <f>E27-E29</f>
        <v>21059022.879727807</v>
      </c>
      <c r="F31" s="139"/>
      <c r="G31" s="182"/>
    </row>
    <row r="32" spans="1:14" s="123" customFormat="1" ht="9.75" customHeight="1">
      <c r="A32" s="122"/>
      <c r="B32" s="183"/>
      <c r="C32" s="184"/>
      <c r="D32" s="185"/>
      <c r="E32" s="189"/>
      <c r="F32" s="139"/>
      <c r="G32" s="182"/>
      <c r="H32" s="171"/>
      <c r="I32" s="171"/>
    </row>
    <row r="33" spans="1:14" s="123" customFormat="1" ht="20.399999999999999">
      <c r="A33" s="122"/>
      <c r="B33" s="190"/>
      <c r="C33" s="191"/>
      <c r="D33" s="192"/>
      <c r="E33" s="193"/>
      <c r="F33" s="194"/>
      <c r="G33" s="195"/>
      <c r="H33" s="187"/>
      <c r="I33" s="187"/>
    </row>
    <row r="34" spans="1:14" s="123" customFormat="1" ht="18">
      <c r="A34" s="125"/>
      <c r="B34" s="196"/>
      <c r="C34" s="145" t="s">
        <v>109</v>
      </c>
      <c r="D34" s="142"/>
      <c r="E34" s="197"/>
      <c r="F34" s="198"/>
      <c r="G34" s="179">
        <f>'Annexure-1 Est. Contract Price '!I65</f>
        <v>130291639.36282098</v>
      </c>
    </row>
    <row r="35" spans="1:14" s="123" customFormat="1" ht="3" customHeight="1">
      <c r="A35" s="166"/>
      <c r="B35" s="199"/>
      <c r="C35" s="200"/>
      <c r="D35" s="201"/>
      <c r="E35" s="201"/>
      <c r="F35" s="202"/>
      <c r="G35" s="195"/>
    </row>
    <row r="36" spans="1:14" s="123" customFormat="1" ht="20.399999999999999">
      <c r="A36" s="125"/>
      <c r="B36" s="196"/>
      <c r="C36" s="145" t="s">
        <v>110</v>
      </c>
      <c r="D36" s="142"/>
      <c r="E36" s="142"/>
      <c r="F36" s="198"/>
      <c r="G36" s="179">
        <f>G25+G34</f>
        <v>151350662.24254879</v>
      </c>
      <c r="I36" s="734">
        <f>G36-12000000</f>
        <v>139350662.24254879</v>
      </c>
      <c r="M36" s="187"/>
    </row>
    <row r="37" spans="1:14" s="123" customFormat="1" ht="9.6" customHeight="1">
      <c r="A37" s="166"/>
      <c r="B37" s="167"/>
      <c r="C37" s="1029"/>
      <c r="D37" s="1029"/>
      <c r="E37" s="142"/>
      <c r="F37" s="198"/>
      <c r="G37" s="203"/>
      <c r="K37" s="123" t="s">
        <v>891</v>
      </c>
    </row>
    <row r="38" spans="1:14" s="123" customFormat="1" ht="16.8">
      <c r="A38" s="166"/>
      <c r="B38" s="167"/>
      <c r="C38" s="145" t="s">
        <v>840</v>
      </c>
      <c r="D38" s="204"/>
      <c r="E38" s="142"/>
      <c r="F38" s="198"/>
      <c r="G38" s="205">
        <f>-'Annexure 10-Retention'!J20</f>
        <v>-5896303.4575111428</v>
      </c>
    </row>
    <row r="39" spans="1:14" s="123" customFormat="1" ht="9.6" customHeight="1">
      <c r="A39" s="166"/>
      <c r="B39" s="167"/>
      <c r="C39" s="145"/>
      <c r="D39" s="204"/>
      <c r="E39" s="142"/>
      <c r="F39" s="198"/>
      <c r="G39" s="206"/>
    </row>
    <row r="40" spans="1:14" s="123" customFormat="1" ht="20.399999999999999">
      <c r="A40" s="166"/>
      <c r="B40" s="167"/>
      <c r="C40" s="207" t="s">
        <v>111</v>
      </c>
      <c r="D40" s="208"/>
      <c r="E40" s="142"/>
      <c r="F40" s="198"/>
      <c r="G40" s="209">
        <v>0</v>
      </c>
      <c r="M40" s="187"/>
    </row>
    <row r="41" spans="1:14" s="123" customFormat="1" ht="9.6" customHeight="1">
      <c r="A41" s="166"/>
      <c r="B41" s="199"/>
      <c r="C41" s="200"/>
      <c r="D41" s="201"/>
      <c r="E41" s="201"/>
      <c r="F41" s="202"/>
      <c r="G41" s="195"/>
    </row>
    <row r="42" spans="1:14" s="123" customFormat="1" ht="16.8">
      <c r="A42" s="166"/>
      <c r="B42" s="167"/>
      <c r="C42" s="145" t="s">
        <v>112</v>
      </c>
      <c r="D42" s="142"/>
      <c r="E42" s="142"/>
      <c r="F42" s="198"/>
      <c r="G42" s="179">
        <f>+G36+(G38+G40)</f>
        <v>145454358.78503764</v>
      </c>
    </row>
    <row r="43" spans="1:14" s="123" customFormat="1" ht="7.95" customHeight="1">
      <c r="A43" s="166"/>
      <c r="B43" s="167"/>
      <c r="C43" s="142"/>
      <c r="D43" s="142"/>
      <c r="E43" s="142"/>
      <c r="F43" s="198"/>
      <c r="G43" s="182"/>
    </row>
    <row r="44" spans="1:14" s="123" customFormat="1" ht="16.8">
      <c r="A44" s="166"/>
      <c r="B44" s="167"/>
      <c r="C44" s="145" t="s">
        <v>841</v>
      </c>
      <c r="D44" s="142"/>
      <c r="E44" s="210"/>
      <c r="F44" s="198"/>
      <c r="G44" s="211">
        <f>-'Annexure 12-Previous Payments '!G41</f>
        <v>-125482803.90599506</v>
      </c>
    </row>
    <row r="45" spans="1:14" ht="3.75" customHeight="1" thickBot="1">
      <c r="A45" s="166"/>
      <c r="B45" s="212"/>
      <c r="C45" s="213"/>
      <c r="D45" s="214"/>
      <c r="E45" s="214"/>
      <c r="F45" s="215"/>
      <c r="G45" s="216"/>
    </row>
    <row r="46" spans="1:14" s="166" customFormat="1" ht="43.95" customHeight="1" thickBot="1">
      <c r="B46" s="217"/>
      <c r="C46" s="1030" t="s">
        <v>113</v>
      </c>
      <c r="D46" s="1030"/>
      <c r="E46" s="1030"/>
      <c r="F46" s="218" t="s">
        <v>9</v>
      </c>
      <c r="G46" s="219">
        <f>+G42+G44</f>
        <v>19971554.879042581</v>
      </c>
      <c r="H46" s="220"/>
      <c r="I46" s="187"/>
      <c r="J46" s="123"/>
      <c r="K46" s="123"/>
      <c r="L46" s="123"/>
      <c r="N46" s="171"/>
    </row>
    <row r="47" spans="1:14" s="166" customFormat="1" ht="30" customHeight="1">
      <c r="B47" s="167"/>
      <c r="C47" s="221" t="s">
        <v>114</v>
      </c>
      <c r="D47" s="185"/>
      <c r="E47" s="222"/>
      <c r="F47" s="223"/>
      <c r="G47" s="224">
        <f>G46*5%</f>
        <v>998577.74395212904</v>
      </c>
      <c r="H47" s="123"/>
      <c r="I47" s="123"/>
      <c r="J47" s="123"/>
      <c r="K47" s="123"/>
      <c r="L47" s="123"/>
      <c r="N47" s="171"/>
    </row>
    <row r="48" spans="1:14" s="166" customFormat="1" ht="25.95" customHeight="1" thickBot="1">
      <c r="B48" s="225"/>
      <c r="C48" s="221" t="s">
        <v>115</v>
      </c>
      <c r="D48" s="185"/>
      <c r="E48" s="222"/>
      <c r="F48" s="223"/>
      <c r="G48" s="226">
        <v>0</v>
      </c>
      <c r="H48" s="123"/>
      <c r="I48" s="123"/>
      <c r="J48" s="123"/>
      <c r="K48" s="123"/>
      <c r="L48" s="123"/>
      <c r="N48" s="171"/>
    </row>
    <row r="49" spans="1:14" ht="36" customHeight="1" thickBot="1">
      <c r="A49" s="122"/>
      <c r="B49" s="1031" t="s">
        <v>116</v>
      </c>
      <c r="C49" s="1032"/>
      <c r="D49" s="1032"/>
      <c r="E49" s="1032"/>
      <c r="F49" s="218" t="s">
        <v>9</v>
      </c>
      <c r="G49" s="219">
        <f>G46+G47</f>
        <v>20970132.62299471</v>
      </c>
      <c r="I49" s="930"/>
    </row>
    <row r="50" spans="1:14" ht="10.199999999999999" customHeight="1" thickBot="1">
      <c r="A50" s="122"/>
      <c r="B50" s="173"/>
      <c r="C50" s="174"/>
      <c r="D50" s="174"/>
      <c r="E50" s="176"/>
      <c r="F50" s="176"/>
      <c r="G50" s="227"/>
    </row>
    <row r="51" spans="1:14" ht="34.200000000000003" customHeight="1">
      <c r="A51" s="122"/>
      <c r="B51" s="1033" t="s">
        <v>117</v>
      </c>
      <c r="C51" s="1034"/>
      <c r="D51" s="1035" t="s">
        <v>927</v>
      </c>
      <c r="E51" s="1036"/>
      <c r="F51" s="1036"/>
      <c r="G51" s="1037"/>
    </row>
    <row r="52" spans="1:14" ht="27.6" customHeight="1">
      <c r="A52" s="122"/>
      <c r="B52" s="1038" t="s">
        <v>118</v>
      </c>
      <c r="C52" s="1039"/>
      <c r="D52" s="1040" t="s">
        <v>119</v>
      </c>
      <c r="E52" s="1041"/>
      <c r="F52" s="1041"/>
      <c r="G52" s="1042"/>
    </row>
    <row r="53" spans="1:14" ht="2.4" customHeight="1" thickBot="1">
      <c r="A53" s="122"/>
      <c r="B53" s="228"/>
      <c r="C53" s="229"/>
      <c r="D53" s="230"/>
      <c r="E53" s="231"/>
      <c r="F53" s="231"/>
      <c r="G53" s="232"/>
    </row>
    <row r="54" spans="1:14" ht="23.4" thickBot="1">
      <c r="A54" s="122"/>
      <c r="B54" s="233"/>
      <c r="C54" s="1043" t="s">
        <v>120</v>
      </c>
      <c r="D54" s="1043"/>
      <c r="E54" s="1043"/>
      <c r="F54" s="1043"/>
      <c r="G54" s="1044"/>
    </row>
    <row r="55" spans="1:14" ht="21" customHeight="1">
      <c r="A55" s="122"/>
      <c r="B55" s="234"/>
      <c r="C55" s="235" t="s">
        <v>121</v>
      </c>
      <c r="D55" s="236"/>
      <c r="E55" s="237"/>
      <c r="F55" s="237"/>
      <c r="G55" s="238"/>
    </row>
    <row r="56" spans="1:14" ht="21" customHeight="1">
      <c r="A56" s="122"/>
      <c r="B56" s="234"/>
      <c r="C56" s="235"/>
      <c r="D56" s="236"/>
      <c r="E56" s="237"/>
      <c r="F56" s="237"/>
      <c r="G56" s="238"/>
    </row>
    <row r="57" spans="1:14" s="125" customFormat="1" ht="67.95" customHeight="1" thickBot="1">
      <c r="B57" s="239"/>
      <c r="C57" s="240"/>
      <c r="D57" s="241"/>
      <c r="E57" s="242"/>
      <c r="F57" s="241"/>
      <c r="G57" s="243"/>
      <c r="H57" s="123"/>
      <c r="I57" s="123"/>
      <c r="J57" s="123"/>
      <c r="K57" s="123"/>
      <c r="L57" s="123"/>
      <c r="N57" s="131"/>
    </row>
    <row r="58" spans="1:14" s="244" customFormat="1" ht="22.5" customHeight="1">
      <c r="B58" s="245"/>
      <c r="C58" s="246" t="s">
        <v>122</v>
      </c>
      <c r="D58" s="247"/>
      <c r="E58" s="242"/>
      <c r="F58" s="248"/>
      <c r="G58" s="249" t="s">
        <v>123</v>
      </c>
      <c r="H58" s="123"/>
      <c r="I58" s="123"/>
      <c r="J58" s="123"/>
      <c r="K58" s="123"/>
      <c r="L58" s="123"/>
      <c r="N58" s="250"/>
    </row>
    <row r="59" spans="1:14" s="125" customFormat="1" ht="19.5" customHeight="1" thickBot="1">
      <c r="B59" s="245"/>
      <c r="C59" s="247"/>
      <c r="D59" s="247"/>
      <c r="E59" s="242"/>
      <c r="F59" s="1045"/>
      <c r="G59" s="1046"/>
      <c r="H59" s="123"/>
      <c r="I59" s="123"/>
      <c r="J59" s="123"/>
      <c r="K59" s="123"/>
      <c r="L59" s="123"/>
      <c r="N59" s="131"/>
    </row>
    <row r="60" spans="1:14" s="125" customFormat="1" ht="22.5" customHeight="1" thickBot="1">
      <c r="B60" s="233"/>
      <c r="C60" s="1043" t="s">
        <v>124</v>
      </c>
      <c r="D60" s="1043"/>
      <c r="E60" s="1043"/>
      <c r="F60" s="1043"/>
      <c r="G60" s="1044"/>
      <c r="H60" s="123"/>
      <c r="I60" s="123"/>
      <c r="J60" s="123"/>
      <c r="K60" s="123"/>
      <c r="L60" s="123"/>
      <c r="N60" s="131"/>
    </row>
    <row r="61" spans="1:14" s="125" customFormat="1" ht="22.5" customHeight="1">
      <c r="B61" s="239"/>
      <c r="C61" s="251" t="s">
        <v>125</v>
      </c>
      <c r="D61" s="252"/>
      <c r="E61" s="253"/>
      <c r="F61" s="251"/>
      <c r="G61" s="254"/>
      <c r="H61" s="123"/>
      <c r="I61" s="123"/>
      <c r="J61" s="123"/>
      <c r="K61" s="123"/>
      <c r="L61" s="123"/>
      <c r="N61" s="131"/>
    </row>
    <row r="62" spans="1:14" s="125" customFormat="1" ht="78.599999999999994" customHeight="1" thickBot="1">
      <c r="B62" s="239"/>
      <c r="C62" s="240"/>
      <c r="D62" s="241"/>
      <c r="E62" s="255"/>
      <c r="F62" s="241"/>
      <c r="G62" s="256"/>
      <c r="H62" s="123"/>
      <c r="I62" s="123"/>
      <c r="J62" s="123"/>
      <c r="K62" s="123"/>
      <c r="L62" s="123"/>
      <c r="N62" s="131"/>
    </row>
    <row r="63" spans="1:14" s="125" customFormat="1" ht="21.75" customHeight="1">
      <c r="B63" s="239"/>
      <c r="C63" s="235" t="s">
        <v>126</v>
      </c>
      <c r="D63" s="241"/>
      <c r="E63" s="255"/>
      <c r="F63" s="257"/>
      <c r="G63" s="249" t="s">
        <v>123</v>
      </c>
      <c r="H63" s="123"/>
      <c r="I63" s="123"/>
      <c r="J63" s="123"/>
      <c r="K63" s="123"/>
      <c r="L63" s="123"/>
      <c r="M63" s="123"/>
      <c r="N63" s="131"/>
    </row>
    <row r="64" spans="1:14" s="125" customFormat="1" ht="21.75" customHeight="1">
      <c r="B64" s="282"/>
      <c r="C64" s="235"/>
      <c r="D64" s="241"/>
      <c r="E64" s="255"/>
      <c r="F64" s="257"/>
      <c r="G64" s="915"/>
      <c r="H64" s="123"/>
      <c r="I64" s="123"/>
      <c r="J64" s="123"/>
      <c r="K64" s="123"/>
      <c r="L64" s="123"/>
      <c r="M64" s="123"/>
      <c r="N64" s="131"/>
    </row>
    <row r="65" spans="1:14" s="125" customFormat="1" ht="12.75" customHeight="1" thickBot="1">
      <c r="B65" s="258"/>
      <c r="C65" s="259"/>
      <c r="D65" s="240"/>
      <c r="E65" s="259"/>
      <c r="F65" s="259"/>
      <c r="G65" s="260"/>
      <c r="H65" s="123"/>
      <c r="I65" s="123"/>
      <c r="J65" s="123"/>
      <c r="K65" s="123"/>
      <c r="L65" s="123"/>
      <c r="M65" s="123"/>
      <c r="N65" s="131"/>
    </row>
    <row r="66" spans="1:14" ht="14.4">
      <c r="A66" s="122"/>
      <c r="B66" s="122"/>
    </row>
    <row r="67" spans="1:14" ht="14.4">
      <c r="A67" s="122"/>
      <c r="B67" s="122"/>
    </row>
    <row r="68" spans="1:14">
      <c r="A68" s="261"/>
      <c r="B68" s="261"/>
    </row>
    <row r="69" spans="1:14" ht="14.4">
      <c r="A69" s="122"/>
      <c r="B69" s="122"/>
    </row>
    <row r="70" spans="1:14" ht="14.4">
      <c r="A70" s="122"/>
      <c r="B70" s="122"/>
    </row>
    <row r="71" spans="1:14" ht="14.4">
      <c r="A71" s="122"/>
      <c r="B71" s="122"/>
    </row>
    <row r="72" spans="1:14" ht="14.4">
      <c r="A72" s="122"/>
      <c r="B72" s="122"/>
    </row>
    <row r="73" spans="1:14" ht="14.4">
      <c r="A73" s="122"/>
      <c r="B73" s="122"/>
    </row>
    <row r="74" spans="1:14" ht="14.4">
      <c r="A74" s="122"/>
      <c r="B74" s="122"/>
    </row>
    <row r="75" spans="1:14" ht="14.4">
      <c r="A75" s="122"/>
      <c r="B75" s="122"/>
    </row>
    <row r="76" spans="1:14" ht="14.4">
      <c r="A76" s="122"/>
      <c r="B76" s="122"/>
    </row>
    <row r="77" spans="1:14" ht="14.4">
      <c r="A77" s="122"/>
      <c r="B77" s="122"/>
    </row>
    <row r="78" spans="1:14" ht="14.4">
      <c r="A78" s="122"/>
      <c r="B78" s="122"/>
    </row>
  </sheetData>
  <mergeCells count="11">
    <mergeCell ref="B52:C52"/>
    <mergeCell ref="D52:G52"/>
    <mergeCell ref="C54:G54"/>
    <mergeCell ref="F59:G59"/>
    <mergeCell ref="C60:G60"/>
    <mergeCell ref="B1:G1"/>
    <mergeCell ref="C37:D37"/>
    <mergeCell ref="C46:E46"/>
    <mergeCell ref="B49:E49"/>
    <mergeCell ref="B51:C51"/>
    <mergeCell ref="D51:G51"/>
  </mergeCells>
  <pageMargins left="0.5" right="0.4" top="0.75" bottom="0.4" header="0.3" footer="0.3"/>
  <pageSetup scale="5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view="pageBreakPreview" zoomScale="90" zoomScaleNormal="100" zoomScaleSheetLayoutView="90" workbookViewId="0">
      <selection activeCell="H9" sqref="H9"/>
    </sheetView>
  </sheetViews>
  <sheetFormatPr defaultColWidth="8.88671875" defaultRowHeight="14.4"/>
  <cols>
    <col min="1" max="1" width="9.6640625" style="311" customWidth="1"/>
    <col min="2" max="2" width="22.44140625" style="311" customWidth="1"/>
    <col min="3" max="3" width="14.88671875" style="311" customWidth="1"/>
    <col min="4" max="4" width="15.5546875" style="311" customWidth="1"/>
    <col min="5" max="5" width="15.5546875" style="312" customWidth="1"/>
    <col min="6" max="6" width="19.44140625" style="312" customWidth="1"/>
    <col min="7" max="7" width="13.6640625" style="311" customWidth="1"/>
    <col min="8" max="8" width="8.88671875" style="311"/>
    <col min="9" max="9" width="20.33203125" style="313" customWidth="1"/>
    <col min="10" max="10" width="19.33203125" style="311" customWidth="1"/>
    <col min="11" max="11" width="12.5546875" style="311" bestFit="1" customWidth="1"/>
    <col min="12" max="16384" width="8.88671875" style="311"/>
  </cols>
  <sheetData>
    <row r="1" spans="1:9" ht="17.399999999999999">
      <c r="A1" s="1072" t="s">
        <v>0</v>
      </c>
      <c r="B1" s="1072"/>
      <c r="C1" s="1072"/>
      <c r="D1" s="1072"/>
      <c r="E1" s="1072"/>
      <c r="F1" s="1072"/>
    </row>
    <row r="2" spans="1:9" ht="15.6" thickBot="1">
      <c r="A2" s="1071" t="s">
        <v>946</v>
      </c>
      <c r="B2" s="1071"/>
      <c r="C2" s="1071"/>
      <c r="D2" s="1071"/>
      <c r="E2" s="1071"/>
      <c r="F2" s="1071"/>
    </row>
    <row r="3" spans="1:9">
      <c r="A3" s="285"/>
      <c r="B3" s="286"/>
      <c r="C3" s="286"/>
      <c r="D3" s="287"/>
      <c r="E3" s="346"/>
      <c r="F3" s="288"/>
    </row>
    <row r="4" spans="1:9">
      <c r="A4" s="314" t="s">
        <v>137</v>
      </c>
      <c r="B4" t="s">
        <v>138</v>
      </c>
      <c r="E4" s="315" t="s">
        <v>3</v>
      </c>
      <c r="F4" s="316">
        <f ca="1">'KCE-PC 11 INT'!G3</f>
        <v>44949</v>
      </c>
    </row>
    <row r="5" spans="1:9">
      <c r="A5" s="314" t="s">
        <v>156</v>
      </c>
      <c r="B5" t="s">
        <v>95</v>
      </c>
      <c r="E5" s="315" t="s">
        <v>5</v>
      </c>
      <c r="F5" s="317" t="str">
        <f>+'Annexure-4 Labour Cost Summary'!H5</f>
        <v>KCE-11</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95" customHeight="1">
      <c r="A9" s="351" t="s">
        <v>157</v>
      </c>
      <c r="B9" s="1076" t="s">
        <v>810</v>
      </c>
      <c r="C9" s="1077"/>
      <c r="D9" s="895" t="s">
        <v>158</v>
      </c>
      <c r="E9" s="896" t="s">
        <v>143</v>
      </c>
      <c r="F9" s="352" t="s">
        <v>144</v>
      </c>
      <c r="I9" s="354"/>
    </row>
    <row r="10" spans="1:9">
      <c r="A10" s="355" t="s">
        <v>812</v>
      </c>
      <c r="B10" s="1084" t="s">
        <v>848</v>
      </c>
      <c r="C10" s="1085"/>
      <c r="D10" s="356">
        <v>463384.40333333338</v>
      </c>
      <c r="E10" s="894">
        <f>F10-D10</f>
        <v>-91717.67333333334</v>
      </c>
      <c r="F10" s="357">
        <f>+'Committed Orders - Dec 22'!H5</f>
        <v>371666.73000000004</v>
      </c>
    </row>
    <row r="11" spans="1:9">
      <c r="A11" s="355" t="s">
        <v>813</v>
      </c>
      <c r="B11" s="1086" t="s">
        <v>175</v>
      </c>
      <c r="C11" s="1087"/>
      <c r="D11" s="356">
        <v>905783.69000000006</v>
      </c>
      <c r="E11" s="323">
        <f>F11-D11</f>
        <v>-432192.28</v>
      </c>
      <c r="F11" s="897">
        <f>+'Committed Orders - Dec 22'!H6</f>
        <v>473591.41000000003</v>
      </c>
    </row>
    <row r="12" spans="1:9">
      <c r="A12" s="355" t="s">
        <v>814</v>
      </c>
      <c r="B12" s="1086" t="s">
        <v>43</v>
      </c>
      <c r="C12" s="1087"/>
      <c r="D12" s="358">
        <v>16500</v>
      </c>
      <c r="E12" s="325">
        <f>F12-D12</f>
        <v>0</v>
      </c>
      <c r="F12" s="326">
        <f>+'Committed Orders - Dec 22'!H7</f>
        <v>16500</v>
      </c>
    </row>
    <row r="13" spans="1:9">
      <c r="A13" s="359" t="s">
        <v>815</v>
      </c>
      <c r="B13" s="1080" t="s">
        <v>254</v>
      </c>
      <c r="C13" s="1081"/>
      <c r="D13" s="360">
        <v>839688.10000000009</v>
      </c>
      <c r="E13" s="331">
        <f>F13-D13</f>
        <v>-25102.000000000116</v>
      </c>
      <c r="F13" s="332">
        <f>+'Committed Orders - Dec 22'!H8</f>
        <v>814586.1</v>
      </c>
    </row>
    <row r="14" spans="1:9" ht="15" thickBot="1">
      <c r="A14" s="361"/>
      <c r="B14" s="1082" t="s">
        <v>155</v>
      </c>
      <c r="C14" s="1083"/>
      <c r="D14" s="890">
        <f>SUM(D10:D13)</f>
        <v>2225356.1933333334</v>
      </c>
      <c r="E14" s="890">
        <f>SUM(E10:E13)</f>
        <v>-549011.95333333348</v>
      </c>
      <c r="F14" s="891">
        <f>SUM(F10:F13)</f>
        <v>1676344.2400000002</v>
      </c>
    </row>
  </sheetData>
  <mergeCells count="8">
    <mergeCell ref="B13:C13"/>
    <mergeCell ref="B14:C14"/>
    <mergeCell ref="A1:F1"/>
    <mergeCell ref="A2:F2"/>
    <mergeCell ref="B9:C9"/>
    <mergeCell ref="B10:C10"/>
    <mergeCell ref="B11:C11"/>
    <mergeCell ref="B12:C12"/>
  </mergeCells>
  <pageMargins left="0.7" right="0.7" top="0.75" bottom="0.75" header="0.3" footer="0.3"/>
  <pageSetup scale="92"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66"/>
  <sheetViews>
    <sheetView view="pageBreakPreview" zoomScale="70" zoomScaleNormal="70" zoomScaleSheetLayoutView="70" workbookViewId="0">
      <selection activeCell="H7" sqref="H7"/>
    </sheetView>
  </sheetViews>
  <sheetFormatPr defaultColWidth="9.109375" defaultRowHeight="15"/>
  <cols>
    <col min="1" max="1" width="8.6640625" style="943" customWidth="1"/>
    <col min="2" max="2" width="91.6640625" style="530" customWidth="1"/>
    <col min="3" max="3" width="26" style="530" customWidth="1"/>
    <col min="4" max="4" width="32.6640625" style="531" customWidth="1"/>
    <col min="5" max="5" width="43.5546875" style="530" customWidth="1"/>
    <col min="6" max="6" width="9.109375" style="530"/>
    <col min="7" max="7" width="29.5546875" style="530" customWidth="1"/>
    <col min="8" max="8" width="18.5546875" style="530" bestFit="1" customWidth="1"/>
    <col min="9" max="9" width="9.109375" style="530"/>
    <col min="10" max="10" width="17.33203125" style="530" customWidth="1"/>
    <col min="11" max="11" width="9.109375" style="530"/>
    <col min="12" max="12" width="18.6640625" style="530" customWidth="1"/>
    <col min="13" max="252" width="9.109375" style="530"/>
    <col min="253" max="253" width="11.6640625" style="530" customWidth="1"/>
    <col min="254" max="254" width="60.6640625" style="530" customWidth="1"/>
    <col min="255" max="255" width="20.6640625" style="530" customWidth="1"/>
    <col min="256" max="256" width="13.6640625" style="530" customWidth="1"/>
    <col min="257" max="508" width="9.109375" style="530"/>
    <col min="509" max="509" width="11.6640625" style="530" customWidth="1"/>
    <col min="510" max="510" width="60.6640625" style="530" customWidth="1"/>
    <col min="511" max="511" width="20.6640625" style="530" customWidth="1"/>
    <col min="512" max="512" width="13.6640625" style="530" customWidth="1"/>
    <col min="513" max="764" width="9.109375" style="530"/>
    <col min="765" max="765" width="11.6640625" style="530" customWidth="1"/>
    <col min="766" max="766" width="60.6640625" style="530" customWidth="1"/>
    <col min="767" max="767" width="20.6640625" style="530" customWidth="1"/>
    <col min="768" max="768" width="13.6640625" style="530" customWidth="1"/>
    <col min="769" max="1020" width="9.109375" style="530"/>
    <col min="1021" max="1021" width="11.6640625" style="530" customWidth="1"/>
    <col min="1022" max="1022" width="60.6640625" style="530" customWidth="1"/>
    <col min="1023" max="1023" width="20.6640625" style="530" customWidth="1"/>
    <col min="1024" max="1024" width="13.6640625" style="530" customWidth="1"/>
    <col min="1025" max="1276" width="9.109375" style="530"/>
    <col min="1277" max="1277" width="11.6640625" style="530" customWidth="1"/>
    <col min="1278" max="1278" width="60.6640625" style="530" customWidth="1"/>
    <col min="1279" max="1279" width="20.6640625" style="530" customWidth="1"/>
    <col min="1280" max="1280" width="13.6640625" style="530" customWidth="1"/>
    <col min="1281" max="1532" width="9.109375" style="530"/>
    <col min="1533" max="1533" width="11.6640625" style="530" customWidth="1"/>
    <col min="1534" max="1534" width="60.6640625" style="530" customWidth="1"/>
    <col min="1535" max="1535" width="20.6640625" style="530" customWidth="1"/>
    <col min="1536" max="1536" width="13.6640625" style="530" customWidth="1"/>
    <col min="1537" max="1788" width="9.109375" style="530"/>
    <col min="1789" max="1789" width="11.6640625" style="530" customWidth="1"/>
    <col min="1790" max="1790" width="60.6640625" style="530" customWidth="1"/>
    <col min="1791" max="1791" width="20.6640625" style="530" customWidth="1"/>
    <col min="1792" max="1792" width="13.6640625" style="530" customWidth="1"/>
    <col min="1793" max="2044" width="9.109375" style="530"/>
    <col min="2045" max="2045" width="11.6640625" style="530" customWidth="1"/>
    <col min="2046" max="2046" width="60.6640625" style="530" customWidth="1"/>
    <col min="2047" max="2047" width="20.6640625" style="530" customWidth="1"/>
    <col min="2048" max="2048" width="13.6640625" style="530" customWidth="1"/>
    <col min="2049" max="2300" width="9.109375" style="530"/>
    <col min="2301" max="2301" width="11.6640625" style="530" customWidth="1"/>
    <col min="2302" max="2302" width="60.6640625" style="530" customWidth="1"/>
    <col min="2303" max="2303" width="20.6640625" style="530" customWidth="1"/>
    <col min="2304" max="2304" width="13.6640625" style="530" customWidth="1"/>
    <col min="2305" max="2556" width="9.109375" style="530"/>
    <col min="2557" max="2557" width="11.6640625" style="530" customWidth="1"/>
    <col min="2558" max="2558" width="60.6640625" style="530" customWidth="1"/>
    <col min="2559" max="2559" width="20.6640625" style="530" customWidth="1"/>
    <col min="2560" max="2560" width="13.6640625" style="530" customWidth="1"/>
    <col min="2561" max="2812" width="9.109375" style="530"/>
    <col min="2813" max="2813" width="11.6640625" style="530" customWidth="1"/>
    <col min="2814" max="2814" width="60.6640625" style="530" customWidth="1"/>
    <col min="2815" max="2815" width="20.6640625" style="530" customWidth="1"/>
    <col min="2816" max="2816" width="13.6640625" style="530" customWidth="1"/>
    <col min="2817" max="3068" width="9.109375" style="530"/>
    <col min="3069" max="3069" width="11.6640625" style="530" customWidth="1"/>
    <col min="3070" max="3070" width="60.6640625" style="530" customWidth="1"/>
    <col min="3071" max="3071" width="20.6640625" style="530" customWidth="1"/>
    <col min="3072" max="3072" width="13.6640625" style="530" customWidth="1"/>
    <col min="3073" max="3324" width="9.109375" style="530"/>
    <col min="3325" max="3325" width="11.6640625" style="530" customWidth="1"/>
    <col min="3326" max="3326" width="60.6640625" style="530" customWidth="1"/>
    <col min="3327" max="3327" width="20.6640625" style="530" customWidth="1"/>
    <col min="3328" max="3328" width="13.6640625" style="530" customWidth="1"/>
    <col min="3329" max="3580" width="9.109375" style="530"/>
    <col min="3581" max="3581" width="11.6640625" style="530" customWidth="1"/>
    <col min="3582" max="3582" width="60.6640625" style="530" customWidth="1"/>
    <col min="3583" max="3583" width="20.6640625" style="530" customWidth="1"/>
    <col min="3584" max="3584" width="13.6640625" style="530" customWidth="1"/>
    <col min="3585" max="3836" width="9.109375" style="530"/>
    <col min="3837" max="3837" width="11.6640625" style="530" customWidth="1"/>
    <col min="3838" max="3838" width="60.6640625" style="530" customWidth="1"/>
    <col min="3839" max="3839" width="20.6640625" style="530" customWidth="1"/>
    <col min="3840" max="3840" width="13.6640625" style="530" customWidth="1"/>
    <col min="3841" max="4092" width="9.109375" style="530"/>
    <col min="4093" max="4093" width="11.6640625" style="530" customWidth="1"/>
    <col min="4094" max="4094" width="60.6640625" style="530" customWidth="1"/>
    <col min="4095" max="4095" width="20.6640625" style="530" customWidth="1"/>
    <col min="4096" max="4096" width="13.6640625" style="530" customWidth="1"/>
    <col min="4097" max="4348" width="9.109375" style="530"/>
    <col min="4349" max="4349" width="11.6640625" style="530" customWidth="1"/>
    <col min="4350" max="4350" width="60.6640625" style="530" customWidth="1"/>
    <col min="4351" max="4351" width="20.6640625" style="530" customWidth="1"/>
    <col min="4352" max="4352" width="13.6640625" style="530" customWidth="1"/>
    <col min="4353" max="4604" width="9.109375" style="530"/>
    <col min="4605" max="4605" width="11.6640625" style="530" customWidth="1"/>
    <col min="4606" max="4606" width="60.6640625" style="530" customWidth="1"/>
    <col min="4607" max="4607" width="20.6640625" style="530" customWidth="1"/>
    <col min="4608" max="4608" width="13.6640625" style="530" customWidth="1"/>
    <col min="4609" max="4860" width="9.109375" style="530"/>
    <col min="4861" max="4861" width="11.6640625" style="530" customWidth="1"/>
    <col min="4862" max="4862" width="60.6640625" style="530" customWidth="1"/>
    <col min="4863" max="4863" width="20.6640625" style="530" customWidth="1"/>
    <col min="4864" max="4864" width="13.6640625" style="530" customWidth="1"/>
    <col min="4865" max="5116" width="9.109375" style="530"/>
    <col min="5117" max="5117" width="11.6640625" style="530" customWidth="1"/>
    <col min="5118" max="5118" width="60.6640625" style="530" customWidth="1"/>
    <col min="5119" max="5119" width="20.6640625" style="530" customWidth="1"/>
    <col min="5120" max="5120" width="13.6640625" style="530" customWidth="1"/>
    <col min="5121" max="5372" width="9.109375" style="530"/>
    <col min="5373" max="5373" width="11.6640625" style="530" customWidth="1"/>
    <col min="5374" max="5374" width="60.6640625" style="530" customWidth="1"/>
    <col min="5375" max="5375" width="20.6640625" style="530" customWidth="1"/>
    <col min="5376" max="5376" width="13.6640625" style="530" customWidth="1"/>
    <col min="5377" max="5628" width="9.109375" style="530"/>
    <col min="5629" max="5629" width="11.6640625" style="530" customWidth="1"/>
    <col min="5630" max="5630" width="60.6640625" style="530" customWidth="1"/>
    <col min="5631" max="5631" width="20.6640625" style="530" customWidth="1"/>
    <col min="5632" max="5632" width="13.6640625" style="530" customWidth="1"/>
    <col min="5633" max="5884" width="9.109375" style="530"/>
    <col min="5885" max="5885" width="11.6640625" style="530" customWidth="1"/>
    <col min="5886" max="5886" width="60.6640625" style="530" customWidth="1"/>
    <col min="5887" max="5887" width="20.6640625" style="530" customWidth="1"/>
    <col min="5888" max="5888" width="13.6640625" style="530" customWidth="1"/>
    <col min="5889" max="6140" width="9.109375" style="530"/>
    <col min="6141" max="6141" width="11.6640625" style="530" customWidth="1"/>
    <col min="6142" max="6142" width="60.6640625" style="530" customWidth="1"/>
    <col min="6143" max="6143" width="20.6640625" style="530" customWidth="1"/>
    <col min="6144" max="6144" width="13.6640625" style="530" customWidth="1"/>
    <col min="6145" max="6396" width="9.109375" style="530"/>
    <col min="6397" max="6397" width="11.6640625" style="530" customWidth="1"/>
    <col min="6398" max="6398" width="60.6640625" style="530" customWidth="1"/>
    <col min="6399" max="6399" width="20.6640625" style="530" customWidth="1"/>
    <col min="6400" max="6400" width="13.6640625" style="530" customWidth="1"/>
    <col min="6401" max="6652" width="9.109375" style="530"/>
    <col min="6653" max="6653" width="11.6640625" style="530" customWidth="1"/>
    <col min="6654" max="6654" width="60.6640625" style="530" customWidth="1"/>
    <col min="6655" max="6655" width="20.6640625" style="530" customWidth="1"/>
    <col min="6656" max="6656" width="13.6640625" style="530" customWidth="1"/>
    <col min="6657" max="6908" width="9.109375" style="530"/>
    <col min="6909" max="6909" width="11.6640625" style="530" customWidth="1"/>
    <col min="6910" max="6910" width="60.6640625" style="530" customWidth="1"/>
    <col min="6911" max="6911" width="20.6640625" style="530" customWidth="1"/>
    <col min="6912" max="6912" width="13.6640625" style="530" customWidth="1"/>
    <col min="6913" max="7164" width="9.109375" style="530"/>
    <col min="7165" max="7165" width="11.6640625" style="530" customWidth="1"/>
    <col min="7166" max="7166" width="60.6640625" style="530" customWidth="1"/>
    <col min="7167" max="7167" width="20.6640625" style="530" customWidth="1"/>
    <col min="7168" max="7168" width="13.6640625" style="530" customWidth="1"/>
    <col min="7169" max="7420" width="9.109375" style="530"/>
    <col min="7421" max="7421" width="11.6640625" style="530" customWidth="1"/>
    <col min="7422" max="7422" width="60.6640625" style="530" customWidth="1"/>
    <col min="7423" max="7423" width="20.6640625" style="530" customWidth="1"/>
    <col min="7424" max="7424" width="13.6640625" style="530" customWidth="1"/>
    <col min="7425" max="7676" width="9.109375" style="530"/>
    <col min="7677" max="7677" width="11.6640625" style="530" customWidth="1"/>
    <col min="7678" max="7678" width="60.6640625" style="530" customWidth="1"/>
    <col min="7679" max="7679" width="20.6640625" style="530" customWidth="1"/>
    <col min="7680" max="7680" width="13.6640625" style="530" customWidth="1"/>
    <col min="7681" max="7932" width="9.109375" style="530"/>
    <col min="7933" max="7933" width="11.6640625" style="530" customWidth="1"/>
    <col min="7934" max="7934" width="60.6640625" style="530" customWidth="1"/>
    <col min="7935" max="7935" width="20.6640625" style="530" customWidth="1"/>
    <col min="7936" max="7936" width="13.6640625" style="530" customWidth="1"/>
    <col min="7937" max="8188" width="9.109375" style="530"/>
    <col min="8189" max="8189" width="11.6640625" style="530" customWidth="1"/>
    <col min="8190" max="8190" width="60.6640625" style="530" customWidth="1"/>
    <col min="8191" max="8191" width="20.6640625" style="530" customWidth="1"/>
    <col min="8192" max="8192" width="13.6640625" style="530" customWidth="1"/>
    <col min="8193" max="8444" width="9.109375" style="530"/>
    <col min="8445" max="8445" width="11.6640625" style="530" customWidth="1"/>
    <col min="8446" max="8446" width="60.6640625" style="530" customWidth="1"/>
    <col min="8447" max="8447" width="20.6640625" style="530" customWidth="1"/>
    <col min="8448" max="8448" width="13.6640625" style="530" customWidth="1"/>
    <col min="8449" max="8700" width="9.109375" style="530"/>
    <col min="8701" max="8701" width="11.6640625" style="530" customWidth="1"/>
    <col min="8702" max="8702" width="60.6640625" style="530" customWidth="1"/>
    <col min="8703" max="8703" width="20.6640625" style="530" customWidth="1"/>
    <col min="8704" max="8704" width="13.6640625" style="530" customWidth="1"/>
    <col min="8705" max="8956" width="9.109375" style="530"/>
    <col min="8957" max="8957" width="11.6640625" style="530" customWidth="1"/>
    <col min="8958" max="8958" width="60.6640625" style="530" customWidth="1"/>
    <col min="8959" max="8959" width="20.6640625" style="530" customWidth="1"/>
    <col min="8960" max="8960" width="13.6640625" style="530" customWidth="1"/>
    <col min="8961" max="9212" width="9.109375" style="530"/>
    <col min="9213" max="9213" width="11.6640625" style="530" customWidth="1"/>
    <col min="9214" max="9214" width="60.6640625" style="530" customWidth="1"/>
    <col min="9215" max="9215" width="20.6640625" style="530" customWidth="1"/>
    <col min="9216" max="9216" width="13.6640625" style="530" customWidth="1"/>
    <col min="9217" max="9468" width="9.109375" style="530"/>
    <col min="9469" max="9469" width="11.6640625" style="530" customWidth="1"/>
    <col min="9470" max="9470" width="60.6640625" style="530" customWidth="1"/>
    <col min="9471" max="9471" width="20.6640625" style="530" customWidth="1"/>
    <col min="9472" max="9472" width="13.6640625" style="530" customWidth="1"/>
    <col min="9473" max="9724" width="9.109375" style="530"/>
    <col min="9725" max="9725" width="11.6640625" style="530" customWidth="1"/>
    <col min="9726" max="9726" width="60.6640625" style="530" customWidth="1"/>
    <col min="9727" max="9727" width="20.6640625" style="530" customWidth="1"/>
    <col min="9728" max="9728" width="13.6640625" style="530" customWidth="1"/>
    <col min="9729" max="9980" width="9.109375" style="530"/>
    <col min="9981" max="9981" width="11.6640625" style="530" customWidth="1"/>
    <col min="9982" max="9982" width="60.6640625" style="530" customWidth="1"/>
    <col min="9983" max="9983" width="20.6640625" style="530" customWidth="1"/>
    <col min="9984" max="9984" width="13.6640625" style="530" customWidth="1"/>
    <col min="9985" max="10236" width="9.109375" style="530"/>
    <col min="10237" max="10237" width="11.6640625" style="530" customWidth="1"/>
    <col min="10238" max="10238" width="60.6640625" style="530" customWidth="1"/>
    <col min="10239" max="10239" width="20.6640625" style="530" customWidth="1"/>
    <col min="10240" max="10240" width="13.6640625" style="530" customWidth="1"/>
    <col min="10241" max="10492" width="9.109375" style="530"/>
    <col min="10493" max="10493" width="11.6640625" style="530" customWidth="1"/>
    <col min="10494" max="10494" width="60.6640625" style="530" customWidth="1"/>
    <col min="10495" max="10495" width="20.6640625" style="530" customWidth="1"/>
    <col min="10496" max="10496" width="13.6640625" style="530" customWidth="1"/>
    <col min="10497" max="10748" width="9.109375" style="530"/>
    <col min="10749" max="10749" width="11.6640625" style="530" customWidth="1"/>
    <col min="10750" max="10750" width="60.6640625" style="530" customWidth="1"/>
    <col min="10751" max="10751" width="20.6640625" style="530" customWidth="1"/>
    <col min="10752" max="10752" width="13.6640625" style="530" customWidth="1"/>
    <col min="10753" max="11004" width="9.109375" style="530"/>
    <col min="11005" max="11005" width="11.6640625" style="530" customWidth="1"/>
    <col min="11006" max="11006" width="60.6640625" style="530" customWidth="1"/>
    <col min="11007" max="11007" width="20.6640625" style="530" customWidth="1"/>
    <col min="11008" max="11008" width="13.6640625" style="530" customWidth="1"/>
    <col min="11009" max="11260" width="9.109375" style="530"/>
    <col min="11261" max="11261" width="11.6640625" style="530" customWidth="1"/>
    <col min="11262" max="11262" width="60.6640625" style="530" customWidth="1"/>
    <col min="11263" max="11263" width="20.6640625" style="530" customWidth="1"/>
    <col min="11264" max="11264" width="13.6640625" style="530" customWidth="1"/>
    <col min="11265" max="11516" width="9.109375" style="530"/>
    <col min="11517" max="11517" width="11.6640625" style="530" customWidth="1"/>
    <col min="11518" max="11518" width="60.6640625" style="530" customWidth="1"/>
    <col min="11519" max="11519" width="20.6640625" style="530" customWidth="1"/>
    <col min="11520" max="11520" width="13.6640625" style="530" customWidth="1"/>
    <col min="11521" max="11772" width="9.109375" style="530"/>
    <col min="11773" max="11773" width="11.6640625" style="530" customWidth="1"/>
    <col min="11774" max="11774" width="60.6640625" style="530" customWidth="1"/>
    <col min="11775" max="11775" width="20.6640625" style="530" customWidth="1"/>
    <col min="11776" max="11776" width="13.6640625" style="530" customWidth="1"/>
    <col min="11777" max="12028" width="9.109375" style="530"/>
    <col min="12029" max="12029" width="11.6640625" style="530" customWidth="1"/>
    <col min="12030" max="12030" width="60.6640625" style="530" customWidth="1"/>
    <col min="12031" max="12031" width="20.6640625" style="530" customWidth="1"/>
    <col min="12032" max="12032" width="13.6640625" style="530" customWidth="1"/>
    <col min="12033" max="12284" width="9.109375" style="530"/>
    <col min="12285" max="12285" width="11.6640625" style="530" customWidth="1"/>
    <col min="12286" max="12286" width="60.6640625" style="530" customWidth="1"/>
    <col min="12287" max="12287" width="20.6640625" style="530" customWidth="1"/>
    <col min="12288" max="12288" width="13.6640625" style="530" customWidth="1"/>
    <col min="12289" max="12540" width="9.109375" style="530"/>
    <col min="12541" max="12541" width="11.6640625" style="530" customWidth="1"/>
    <col min="12542" max="12542" width="60.6640625" style="530" customWidth="1"/>
    <col min="12543" max="12543" width="20.6640625" style="530" customWidth="1"/>
    <col min="12544" max="12544" width="13.6640625" style="530" customWidth="1"/>
    <col min="12545" max="12796" width="9.109375" style="530"/>
    <col min="12797" max="12797" width="11.6640625" style="530" customWidth="1"/>
    <col min="12798" max="12798" width="60.6640625" style="530" customWidth="1"/>
    <col min="12799" max="12799" width="20.6640625" style="530" customWidth="1"/>
    <col min="12800" max="12800" width="13.6640625" style="530" customWidth="1"/>
    <col min="12801" max="13052" width="9.109375" style="530"/>
    <col min="13053" max="13053" width="11.6640625" style="530" customWidth="1"/>
    <col min="13054" max="13054" width="60.6640625" style="530" customWidth="1"/>
    <col min="13055" max="13055" width="20.6640625" style="530" customWidth="1"/>
    <col min="13056" max="13056" width="13.6640625" style="530" customWidth="1"/>
    <col min="13057" max="13308" width="9.109375" style="530"/>
    <col min="13309" max="13309" width="11.6640625" style="530" customWidth="1"/>
    <col min="13310" max="13310" width="60.6640625" style="530" customWidth="1"/>
    <col min="13311" max="13311" width="20.6640625" style="530" customWidth="1"/>
    <col min="13312" max="13312" width="13.6640625" style="530" customWidth="1"/>
    <col min="13313" max="13564" width="9.109375" style="530"/>
    <col min="13565" max="13565" width="11.6640625" style="530" customWidth="1"/>
    <col min="13566" max="13566" width="60.6640625" style="530" customWidth="1"/>
    <col min="13567" max="13567" width="20.6640625" style="530" customWidth="1"/>
    <col min="13568" max="13568" width="13.6640625" style="530" customWidth="1"/>
    <col min="13569" max="13820" width="9.109375" style="530"/>
    <col min="13821" max="13821" width="11.6640625" style="530" customWidth="1"/>
    <col min="13822" max="13822" width="60.6640625" style="530" customWidth="1"/>
    <col min="13823" max="13823" width="20.6640625" style="530" customWidth="1"/>
    <col min="13824" max="13824" width="13.6640625" style="530" customWidth="1"/>
    <col min="13825" max="14076" width="9.109375" style="530"/>
    <col min="14077" max="14077" width="11.6640625" style="530" customWidth="1"/>
    <col min="14078" max="14078" width="60.6640625" style="530" customWidth="1"/>
    <col min="14079" max="14079" width="20.6640625" style="530" customWidth="1"/>
    <col min="14080" max="14080" width="13.6640625" style="530" customWidth="1"/>
    <col min="14081" max="14332" width="9.109375" style="530"/>
    <col min="14333" max="14333" width="11.6640625" style="530" customWidth="1"/>
    <col min="14334" max="14334" width="60.6640625" style="530" customWidth="1"/>
    <col min="14335" max="14335" width="20.6640625" style="530" customWidth="1"/>
    <col min="14336" max="14336" width="13.6640625" style="530" customWidth="1"/>
    <col min="14337" max="14588" width="9.109375" style="530"/>
    <col min="14589" max="14589" width="11.6640625" style="530" customWidth="1"/>
    <col min="14590" max="14590" width="60.6640625" style="530" customWidth="1"/>
    <col min="14591" max="14591" width="20.6640625" style="530" customWidth="1"/>
    <col min="14592" max="14592" width="13.6640625" style="530" customWidth="1"/>
    <col min="14593" max="14844" width="9.109375" style="530"/>
    <col min="14845" max="14845" width="11.6640625" style="530" customWidth="1"/>
    <col min="14846" max="14846" width="60.6640625" style="530" customWidth="1"/>
    <col min="14847" max="14847" width="20.6640625" style="530" customWidth="1"/>
    <col min="14848" max="14848" width="13.6640625" style="530" customWidth="1"/>
    <col min="14849" max="15100" width="9.109375" style="530"/>
    <col min="15101" max="15101" width="11.6640625" style="530" customWidth="1"/>
    <col min="15102" max="15102" width="60.6640625" style="530" customWidth="1"/>
    <col min="15103" max="15103" width="20.6640625" style="530" customWidth="1"/>
    <col min="15104" max="15104" width="13.6640625" style="530" customWidth="1"/>
    <col min="15105" max="15356" width="9.109375" style="530"/>
    <col min="15357" max="15357" width="11.6640625" style="530" customWidth="1"/>
    <col min="15358" max="15358" width="60.6640625" style="530" customWidth="1"/>
    <col min="15359" max="15359" width="20.6640625" style="530" customWidth="1"/>
    <col min="15360" max="15360" width="13.6640625" style="530" customWidth="1"/>
    <col min="15361" max="15612" width="9.109375" style="530"/>
    <col min="15613" max="15613" width="11.6640625" style="530" customWidth="1"/>
    <col min="15614" max="15614" width="60.6640625" style="530" customWidth="1"/>
    <col min="15615" max="15615" width="20.6640625" style="530" customWidth="1"/>
    <col min="15616" max="15616" width="13.6640625" style="530" customWidth="1"/>
    <col min="15617" max="15868" width="9.109375" style="530"/>
    <col min="15869" max="15869" width="11.6640625" style="530" customWidth="1"/>
    <col min="15870" max="15870" width="60.6640625" style="530" customWidth="1"/>
    <col min="15871" max="15871" width="20.6640625" style="530" customWidth="1"/>
    <col min="15872" max="15872" width="13.6640625" style="530" customWidth="1"/>
    <col min="15873" max="16124" width="9.109375" style="530"/>
    <col min="16125" max="16125" width="11.6640625" style="530" customWidth="1"/>
    <col min="16126" max="16126" width="60.6640625" style="530" customWidth="1"/>
    <col min="16127" max="16127" width="20.6640625" style="530" customWidth="1"/>
    <col min="16128" max="16128" width="13.6640625" style="530" customWidth="1"/>
    <col min="16129" max="16384" width="9.109375" style="530"/>
  </cols>
  <sheetData>
    <row r="1" spans="1:8" ht="20.399999999999999" customHeight="1">
      <c r="A1" s="529" t="s">
        <v>0</v>
      </c>
      <c r="E1" s="935"/>
    </row>
    <row r="2" spans="1:8" ht="20.399999999999999" customHeight="1">
      <c r="A2" s="529" t="s">
        <v>835</v>
      </c>
      <c r="E2" s="936"/>
    </row>
    <row r="3" spans="1:8" ht="25.95" customHeight="1">
      <c r="A3" s="937" t="s">
        <v>207</v>
      </c>
      <c r="B3" s="938" t="s">
        <v>141</v>
      </c>
      <c r="C3" s="939" t="s">
        <v>251</v>
      </c>
      <c r="D3" s="532" t="s">
        <v>252</v>
      </c>
      <c r="E3" s="532" t="s">
        <v>164</v>
      </c>
    </row>
    <row r="4" spans="1:8" ht="26.4" customHeight="1">
      <c r="A4" s="933" t="s">
        <v>145</v>
      </c>
      <c r="B4" s="975" t="s">
        <v>253</v>
      </c>
      <c r="C4" s="533">
        <v>528371.34</v>
      </c>
      <c r="D4" s="533">
        <v>83360</v>
      </c>
      <c r="E4" s="534" t="s">
        <v>254</v>
      </c>
      <c r="G4" s="535" t="s">
        <v>255</v>
      </c>
      <c r="H4" s="536" t="s">
        <v>256</v>
      </c>
    </row>
    <row r="5" spans="1:8" ht="26.4" customHeight="1">
      <c r="A5" s="933" t="s">
        <v>147</v>
      </c>
      <c r="B5" s="975" t="s">
        <v>257</v>
      </c>
      <c r="C5" s="534">
        <v>154032</v>
      </c>
      <c r="D5" s="533">
        <v>30240</v>
      </c>
      <c r="E5" s="534" t="s">
        <v>254</v>
      </c>
      <c r="G5" s="322" t="s">
        <v>159</v>
      </c>
      <c r="H5" s="537">
        <f>SUMIF(E$4:E$81,G5,D$4:D$81)</f>
        <v>371666.73000000004</v>
      </c>
    </row>
    <row r="6" spans="1:8" ht="26.4" customHeight="1">
      <c r="A6" s="933" t="s">
        <v>149</v>
      </c>
      <c r="B6" s="979" t="s">
        <v>258</v>
      </c>
      <c r="C6" s="538">
        <v>6500</v>
      </c>
      <c r="D6" s="539">
        <f>C6</f>
        <v>6500</v>
      </c>
      <c r="E6" s="534" t="s">
        <v>160</v>
      </c>
      <c r="G6" s="540" t="s">
        <v>160</v>
      </c>
      <c r="H6" s="537">
        <f>SUMIF(E$4:E$81,G6,D$4:D$81)</f>
        <v>473591.41000000003</v>
      </c>
    </row>
    <row r="7" spans="1:8" ht="26.4" customHeight="1">
      <c r="A7" s="933" t="s">
        <v>151</v>
      </c>
      <c r="B7" s="979" t="s">
        <v>259</v>
      </c>
      <c r="C7" s="538">
        <v>4900</v>
      </c>
      <c r="D7" s="539">
        <v>0</v>
      </c>
      <c r="E7" s="534" t="s">
        <v>159</v>
      </c>
      <c r="G7" s="541" t="s">
        <v>43</v>
      </c>
      <c r="H7" s="537">
        <f>SUMIF(E$4:E$81,G7,D$4:D$81)</f>
        <v>16500</v>
      </c>
    </row>
    <row r="8" spans="1:8" ht="26.4" customHeight="1">
      <c r="A8" s="933" t="s">
        <v>153</v>
      </c>
      <c r="B8" s="975" t="s">
        <v>260</v>
      </c>
      <c r="C8" s="533">
        <v>15000</v>
      </c>
      <c r="D8" s="533">
        <v>3438.16</v>
      </c>
      <c r="E8" s="539" t="s">
        <v>159</v>
      </c>
      <c r="G8" s="541" t="s">
        <v>254</v>
      </c>
      <c r="H8" s="537">
        <f>SUMIF(E$4:E$81,G8,D$4:D$81)</f>
        <v>814586.1</v>
      </c>
    </row>
    <row r="9" spans="1:8" ht="26.4" customHeight="1">
      <c r="A9" s="933" t="s">
        <v>261</v>
      </c>
      <c r="B9" s="975" t="s">
        <v>262</v>
      </c>
      <c r="C9" s="533">
        <v>13790</v>
      </c>
      <c r="D9" s="533">
        <v>0</v>
      </c>
      <c r="E9" s="539" t="s">
        <v>159</v>
      </c>
      <c r="G9" s="542" t="s">
        <v>155</v>
      </c>
      <c r="H9" s="543">
        <f>SUM(H5:H8)</f>
        <v>1676344.2400000002</v>
      </c>
    </row>
    <row r="10" spans="1:8" ht="26.4" customHeight="1">
      <c r="A10" s="933" t="s">
        <v>263</v>
      </c>
      <c r="B10" s="975" t="s">
        <v>905</v>
      </c>
      <c r="C10" s="544">
        <v>166700</v>
      </c>
      <c r="D10" s="539">
        <v>98422.2</v>
      </c>
      <c r="E10" s="539" t="s">
        <v>160</v>
      </c>
    </row>
    <row r="11" spans="1:8" ht="26.4" customHeight="1">
      <c r="A11" s="933" t="s">
        <v>264</v>
      </c>
      <c r="B11" s="975" t="s">
        <v>265</v>
      </c>
      <c r="C11" s="534">
        <v>72900</v>
      </c>
      <c r="D11" s="534">
        <v>72900</v>
      </c>
      <c r="E11" s="534" t="s">
        <v>159</v>
      </c>
    </row>
    <row r="12" spans="1:8" ht="26.4" customHeight="1">
      <c r="A12" s="933" t="s">
        <v>266</v>
      </c>
      <c r="B12" s="975" t="s">
        <v>267</v>
      </c>
      <c r="C12" s="544">
        <v>72900</v>
      </c>
      <c r="D12" s="539">
        <v>72900</v>
      </c>
      <c r="E12" s="539" t="s">
        <v>159</v>
      </c>
    </row>
    <row r="13" spans="1:8" ht="26.4" customHeight="1">
      <c r="A13" s="933" t="s">
        <v>268</v>
      </c>
      <c r="B13" s="975" t="s">
        <v>269</v>
      </c>
      <c r="C13" s="533">
        <v>7600</v>
      </c>
      <c r="D13" s="533">
        <v>0</v>
      </c>
      <c r="E13" s="539" t="s">
        <v>159</v>
      </c>
    </row>
    <row r="14" spans="1:8" ht="26.4" customHeight="1">
      <c r="A14" s="933" t="s">
        <v>270</v>
      </c>
      <c r="B14" s="975" t="s">
        <v>908</v>
      </c>
      <c r="C14" s="533">
        <v>28207</v>
      </c>
      <c r="D14" s="533">
        <v>0</v>
      </c>
      <c r="E14" s="539" t="s">
        <v>159</v>
      </c>
    </row>
    <row r="15" spans="1:8" ht="26.4" customHeight="1">
      <c r="A15" s="933" t="s">
        <v>271</v>
      </c>
      <c r="B15" s="975" t="s">
        <v>272</v>
      </c>
      <c r="C15" s="533">
        <v>587200</v>
      </c>
      <c r="D15" s="533">
        <v>78601</v>
      </c>
      <c r="E15" s="539" t="s">
        <v>160</v>
      </c>
    </row>
    <row r="16" spans="1:8" ht="26.4" customHeight="1">
      <c r="A16" s="933" t="s">
        <v>273</v>
      </c>
      <c r="B16" s="979" t="s">
        <v>274</v>
      </c>
      <c r="C16" s="533">
        <v>19435</v>
      </c>
      <c r="D16" s="533">
        <v>9717.5</v>
      </c>
      <c r="E16" s="539" t="s">
        <v>254</v>
      </c>
    </row>
    <row r="17" spans="1:6" ht="26.4" customHeight="1">
      <c r="A17" s="933" t="s">
        <v>275</v>
      </c>
      <c r="B17" s="975" t="s">
        <v>276</v>
      </c>
      <c r="C17" s="544">
        <v>19435</v>
      </c>
      <c r="D17" s="539">
        <v>19435</v>
      </c>
      <c r="E17" s="539" t="s">
        <v>254</v>
      </c>
    </row>
    <row r="18" spans="1:6" ht="26.4" customHeight="1">
      <c r="A18" s="933" t="s">
        <v>277</v>
      </c>
      <c r="B18" s="975" t="s">
        <v>278</v>
      </c>
      <c r="C18" s="544">
        <v>91817</v>
      </c>
      <c r="D18" s="539">
        <v>64271.9</v>
      </c>
      <c r="E18" s="539" t="s">
        <v>160</v>
      </c>
    </row>
    <row r="19" spans="1:6" ht="26.4" customHeight="1">
      <c r="A19" s="933" t="s">
        <v>279</v>
      </c>
      <c r="B19" s="975" t="s">
        <v>280</v>
      </c>
      <c r="C19" s="538">
        <v>42920</v>
      </c>
      <c r="D19" s="539">
        <v>42920</v>
      </c>
      <c r="E19" s="539" t="s">
        <v>160</v>
      </c>
      <c r="F19" s="934"/>
    </row>
    <row r="20" spans="1:6" ht="26.4" customHeight="1">
      <c r="A20" s="933" t="s">
        <v>281</v>
      </c>
      <c r="B20" s="979" t="s">
        <v>282</v>
      </c>
      <c r="C20" s="538">
        <v>5350</v>
      </c>
      <c r="D20" s="539">
        <v>0</v>
      </c>
      <c r="E20" s="539" t="s">
        <v>159</v>
      </c>
    </row>
    <row r="21" spans="1:6" ht="26.4" customHeight="1">
      <c r="A21" s="933" t="s">
        <v>283</v>
      </c>
      <c r="B21" s="975" t="s">
        <v>284</v>
      </c>
      <c r="C21" s="534">
        <v>10000</v>
      </c>
      <c r="D21" s="539">
        <v>10000</v>
      </c>
      <c r="E21" s="539" t="s">
        <v>159</v>
      </c>
    </row>
    <row r="22" spans="1:6" ht="26.4" customHeight="1">
      <c r="A22" s="933" t="s">
        <v>285</v>
      </c>
      <c r="B22" s="979" t="s">
        <v>286</v>
      </c>
      <c r="C22" s="538">
        <v>11110</v>
      </c>
      <c r="D22" s="539">
        <v>2110.9</v>
      </c>
      <c r="E22" s="539" t="s">
        <v>160</v>
      </c>
    </row>
    <row r="23" spans="1:6" ht="26.4" customHeight="1">
      <c r="A23" s="933" t="s">
        <v>287</v>
      </c>
      <c r="B23" s="975" t="s">
        <v>288</v>
      </c>
      <c r="C23" s="534">
        <f>160000</f>
        <v>160000</v>
      </c>
      <c r="D23" s="539">
        <v>16000</v>
      </c>
      <c r="E23" s="539" t="s">
        <v>159</v>
      </c>
    </row>
    <row r="24" spans="1:6" ht="26.4" customHeight="1">
      <c r="A24" s="933" t="s">
        <v>289</v>
      </c>
      <c r="B24" s="975" t="s">
        <v>900</v>
      </c>
      <c r="C24" s="534">
        <v>128000</v>
      </c>
      <c r="D24" s="534">
        <v>16000</v>
      </c>
      <c r="E24" s="539" t="s">
        <v>159</v>
      </c>
    </row>
    <row r="25" spans="1:6" customFormat="1" ht="25.95" customHeight="1">
      <c r="A25" s="933" t="s">
        <v>290</v>
      </c>
      <c r="B25" s="978" t="s">
        <v>291</v>
      </c>
      <c r="C25" s="544">
        <v>64000</v>
      </c>
      <c r="D25" s="539">
        <v>16000</v>
      </c>
      <c r="E25" s="539" t="s">
        <v>159</v>
      </c>
    </row>
    <row r="26" spans="1:6" ht="26.4" customHeight="1">
      <c r="A26" s="933" t="s">
        <v>292</v>
      </c>
      <c r="B26" s="978" t="s">
        <v>907</v>
      </c>
      <c r="C26" s="538">
        <v>96000</v>
      </c>
      <c r="D26" s="539">
        <v>16000</v>
      </c>
      <c r="E26" s="539" t="s">
        <v>159</v>
      </c>
    </row>
    <row r="27" spans="1:6" customFormat="1" ht="25.95" customHeight="1">
      <c r="A27" s="933" t="s">
        <v>293</v>
      </c>
      <c r="B27" s="979" t="s">
        <v>294</v>
      </c>
      <c r="C27" s="538">
        <v>240812.4</v>
      </c>
      <c r="D27" s="539">
        <v>88258</v>
      </c>
      <c r="E27" s="539" t="s">
        <v>254</v>
      </c>
    </row>
    <row r="28" spans="1:6" ht="26.4" customHeight="1">
      <c r="A28" s="933" t="s">
        <v>295</v>
      </c>
      <c r="B28" s="975" t="s">
        <v>902</v>
      </c>
      <c r="C28" s="544">
        <v>8400</v>
      </c>
      <c r="D28" s="534">
        <v>0</v>
      </c>
      <c r="E28" s="539" t="s">
        <v>160</v>
      </c>
    </row>
    <row r="29" spans="1:6" ht="26.4" customHeight="1">
      <c r="A29" s="933" t="s">
        <v>296</v>
      </c>
      <c r="B29" s="979" t="s">
        <v>297</v>
      </c>
      <c r="C29" s="538">
        <v>18000</v>
      </c>
      <c r="D29" s="539">
        <v>0</v>
      </c>
      <c r="E29" s="539" t="s">
        <v>160</v>
      </c>
    </row>
    <row r="30" spans="1:6" ht="26.4" customHeight="1">
      <c r="A30" s="933" t="s">
        <v>298</v>
      </c>
      <c r="B30" s="975" t="s">
        <v>906</v>
      </c>
      <c r="C30" s="534">
        <v>62299.3</v>
      </c>
      <c r="D30" s="534">
        <v>32454.799999999999</v>
      </c>
      <c r="E30" s="539" t="s">
        <v>254</v>
      </c>
    </row>
    <row r="31" spans="1:6" customFormat="1" ht="25.95" customHeight="1">
      <c r="A31" s="933" t="s">
        <v>299</v>
      </c>
      <c r="B31" s="975" t="s">
        <v>300</v>
      </c>
      <c r="C31" s="544">
        <v>67371.210000000006</v>
      </c>
      <c r="D31" s="539">
        <v>51376.140000000007</v>
      </c>
      <c r="E31" s="539" t="s">
        <v>160</v>
      </c>
    </row>
    <row r="32" spans="1:6" ht="26.4" customHeight="1">
      <c r="A32" s="933" t="s">
        <v>301</v>
      </c>
      <c r="B32" s="975" t="s">
        <v>903</v>
      </c>
      <c r="C32" s="534">
        <v>12760</v>
      </c>
      <c r="D32" s="534">
        <v>0</v>
      </c>
      <c r="E32" s="539" t="s">
        <v>159</v>
      </c>
    </row>
    <row r="33" spans="1:5" ht="26.4" customHeight="1">
      <c r="A33" s="933" t="s">
        <v>302</v>
      </c>
      <c r="B33" s="979" t="s">
        <v>904</v>
      </c>
      <c r="C33" s="538">
        <f>9742</f>
        <v>9742</v>
      </c>
      <c r="D33" s="539">
        <v>0</v>
      </c>
      <c r="E33" s="539" t="s">
        <v>159</v>
      </c>
    </row>
    <row r="34" spans="1:5" ht="26.4" customHeight="1">
      <c r="A34" s="933" t="s">
        <v>303</v>
      </c>
      <c r="B34" s="975" t="s">
        <v>752</v>
      </c>
      <c r="C34" s="534">
        <v>5000</v>
      </c>
      <c r="D34" s="534">
        <v>5000</v>
      </c>
      <c r="E34" s="539" t="s">
        <v>43</v>
      </c>
    </row>
    <row r="35" spans="1:5" ht="26.4" customHeight="1">
      <c r="A35" s="933" t="s">
        <v>304</v>
      </c>
      <c r="B35" s="975" t="s">
        <v>305</v>
      </c>
      <c r="C35" s="538">
        <v>15300</v>
      </c>
      <c r="D35" s="539">
        <v>0</v>
      </c>
      <c r="E35" s="539" t="s">
        <v>160</v>
      </c>
    </row>
    <row r="36" spans="1:5" ht="26.4" customHeight="1">
      <c r="A36" s="933" t="s">
        <v>306</v>
      </c>
      <c r="B36" s="975" t="s">
        <v>909</v>
      </c>
      <c r="C36" s="534">
        <v>420090</v>
      </c>
      <c r="D36" s="539"/>
      <c r="E36" s="980" t="s">
        <v>160</v>
      </c>
    </row>
    <row r="37" spans="1:5" ht="26.4" customHeight="1">
      <c r="A37" s="933" t="s">
        <v>307</v>
      </c>
      <c r="B37" s="975" t="s">
        <v>742</v>
      </c>
      <c r="C37" s="534">
        <v>18900</v>
      </c>
      <c r="D37" s="539">
        <v>0</v>
      </c>
      <c r="E37" s="539" t="s">
        <v>160</v>
      </c>
    </row>
    <row r="38" spans="1:5" ht="26.4" customHeight="1">
      <c r="A38" s="933" t="s">
        <v>753</v>
      </c>
      <c r="B38" s="975" t="s">
        <v>743</v>
      </c>
      <c r="C38" s="534">
        <v>150516</v>
      </c>
      <c r="D38" s="539">
        <v>11129</v>
      </c>
      <c r="E38" s="539" t="s">
        <v>160</v>
      </c>
    </row>
    <row r="39" spans="1:5" ht="26.4" customHeight="1">
      <c r="A39" s="933" t="s">
        <v>754</v>
      </c>
      <c r="B39" s="975" t="s">
        <v>744</v>
      </c>
      <c r="C39" s="534">
        <v>137000</v>
      </c>
      <c r="D39" s="534">
        <f>C39</f>
        <v>137000</v>
      </c>
      <c r="E39" s="539" t="s">
        <v>159</v>
      </c>
    </row>
    <row r="40" spans="1:5" ht="26.4" customHeight="1">
      <c r="A40" s="933" t="s">
        <v>755</v>
      </c>
      <c r="B40" s="975" t="s">
        <v>745</v>
      </c>
      <c r="C40" s="534">
        <v>12202</v>
      </c>
      <c r="D40" s="534">
        <v>11952</v>
      </c>
      <c r="E40" s="539" t="s">
        <v>254</v>
      </c>
    </row>
    <row r="41" spans="1:5" ht="26.4" customHeight="1">
      <c r="A41" s="933" t="s">
        <v>756</v>
      </c>
      <c r="B41" s="975" t="s">
        <v>746</v>
      </c>
      <c r="C41" s="534">
        <v>9000</v>
      </c>
      <c r="D41" s="534">
        <v>2952</v>
      </c>
      <c r="E41" s="539" t="s">
        <v>160</v>
      </c>
    </row>
    <row r="42" spans="1:5" ht="26.4" customHeight="1">
      <c r="A42" s="933" t="s">
        <v>757</v>
      </c>
      <c r="B42" s="975" t="s">
        <v>911</v>
      </c>
      <c r="C42" s="534">
        <v>90586.4</v>
      </c>
      <c r="D42" s="534">
        <v>90586.4</v>
      </c>
      <c r="E42" s="980" t="s">
        <v>254</v>
      </c>
    </row>
    <row r="43" spans="1:5" ht="26.4" customHeight="1">
      <c r="A43" s="933" t="s">
        <v>758</v>
      </c>
      <c r="B43" s="975" t="s">
        <v>747</v>
      </c>
      <c r="C43" s="534">
        <v>57018</v>
      </c>
      <c r="D43" s="534"/>
      <c r="E43" s="980" t="s">
        <v>254</v>
      </c>
    </row>
    <row r="44" spans="1:5" ht="26.4" customHeight="1">
      <c r="A44" s="933" t="s">
        <v>759</v>
      </c>
      <c r="B44" s="975" t="s">
        <v>748</v>
      </c>
      <c r="C44" s="534">
        <v>14928.57</v>
      </c>
      <c r="D44" s="534">
        <v>11428.57</v>
      </c>
      <c r="E44" s="539" t="s">
        <v>159</v>
      </c>
    </row>
    <row r="45" spans="1:5" ht="26.4" customHeight="1">
      <c r="A45" s="933" t="s">
        <v>760</v>
      </c>
      <c r="B45" s="975" t="s">
        <v>749</v>
      </c>
      <c r="C45" s="534">
        <v>3003</v>
      </c>
      <c r="D45" s="534">
        <v>0</v>
      </c>
      <c r="E45" s="539" t="s">
        <v>159</v>
      </c>
    </row>
    <row r="46" spans="1:5" ht="26.4" customHeight="1">
      <c r="A46" s="933" t="s">
        <v>761</v>
      </c>
      <c r="B46" s="975" t="s">
        <v>750</v>
      </c>
      <c r="C46" s="534">
        <v>26500</v>
      </c>
      <c r="D46" s="534">
        <v>0</v>
      </c>
      <c r="E46" s="539" t="s">
        <v>159</v>
      </c>
    </row>
    <row r="47" spans="1:5" ht="26.4" customHeight="1">
      <c r="A47" s="933" t="s">
        <v>762</v>
      </c>
      <c r="B47" s="975" t="s">
        <v>751</v>
      </c>
      <c r="C47" s="534">
        <v>13640</v>
      </c>
      <c r="D47" s="534">
        <f t="shared" ref="D47" si="0">C47</f>
        <v>13640</v>
      </c>
      <c r="E47" s="539" t="s">
        <v>254</v>
      </c>
    </row>
    <row r="48" spans="1:5" ht="26.4" customHeight="1">
      <c r="A48" s="933" t="s">
        <v>763</v>
      </c>
      <c r="B48" s="975" t="s">
        <v>901</v>
      </c>
      <c r="C48" s="534">
        <v>11500</v>
      </c>
      <c r="D48" s="534">
        <v>11500</v>
      </c>
      <c r="E48" s="539" t="s">
        <v>43</v>
      </c>
    </row>
    <row r="49" spans="1:5" ht="26.4" customHeight="1">
      <c r="A49" s="933" t="s">
        <v>764</v>
      </c>
      <c r="B49" s="975" t="s">
        <v>867</v>
      </c>
      <c r="C49" s="534">
        <v>8518</v>
      </c>
      <c r="D49" s="534">
        <v>0</v>
      </c>
      <c r="E49" s="539" t="s">
        <v>160</v>
      </c>
    </row>
    <row r="50" spans="1:5" ht="26.4" customHeight="1">
      <c r="A50" s="933" t="s">
        <v>765</v>
      </c>
      <c r="B50" s="975" t="s">
        <v>868</v>
      </c>
      <c r="C50" s="534">
        <v>2770</v>
      </c>
      <c r="D50" s="534">
        <v>0</v>
      </c>
      <c r="E50" s="539" t="s">
        <v>160</v>
      </c>
    </row>
    <row r="51" spans="1:5" ht="26.4" customHeight="1">
      <c r="A51" s="933" t="s">
        <v>860</v>
      </c>
      <c r="B51" s="975" t="s">
        <v>869</v>
      </c>
      <c r="C51" s="534">
        <v>31500</v>
      </c>
      <c r="D51" s="534">
        <v>12600</v>
      </c>
      <c r="E51" s="539" t="s">
        <v>160</v>
      </c>
    </row>
    <row r="52" spans="1:5" ht="26.4" customHeight="1">
      <c r="A52" s="933" t="s">
        <v>861</v>
      </c>
      <c r="B52" s="975" t="s">
        <v>870</v>
      </c>
      <c r="C52" s="534">
        <v>6875</v>
      </c>
      <c r="D52" s="534">
        <v>3079.99</v>
      </c>
      <c r="E52" s="539" t="s">
        <v>160</v>
      </c>
    </row>
    <row r="53" spans="1:5" ht="26.4" customHeight="1">
      <c r="A53" s="933" t="s">
        <v>862</v>
      </c>
      <c r="B53" s="975" t="s">
        <v>871</v>
      </c>
      <c r="C53" s="534">
        <v>480000</v>
      </c>
      <c r="D53" s="534">
        <v>358694.40000000002</v>
      </c>
      <c r="E53" s="539" t="s">
        <v>254</v>
      </c>
    </row>
    <row r="54" spans="1:5" ht="26.4" customHeight="1">
      <c r="A54" s="933" t="s">
        <v>863</v>
      </c>
      <c r="B54" s="975" t="s">
        <v>910</v>
      </c>
      <c r="C54" s="534">
        <v>1439</v>
      </c>
      <c r="D54" s="534">
        <v>0</v>
      </c>
      <c r="E54" s="539" t="s">
        <v>159</v>
      </c>
    </row>
    <row r="55" spans="1:5" ht="26.4" customHeight="1">
      <c r="A55" s="933" t="s">
        <v>864</v>
      </c>
      <c r="B55" s="975" t="s">
        <v>872</v>
      </c>
      <c r="C55" s="534">
        <v>223860.28</v>
      </c>
      <c r="D55" s="534">
        <v>99628.28</v>
      </c>
      <c r="E55" s="539" t="s">
        <v>160</v>
      </c>
    </row>
    <row r="56" spans="1:5" ht="26.4" customHeight="1">
      <c r="A56" s="933" t="s">
        <v>865</v>
      </c>
      <c r="B56" s="977" t="s">
        <v>912</v>
      </c>
      <c r="C56" s="976">
        <v>17100</v>
      </c>
      <c r="D56" s="976">
        <v>17100</v>
      </c>
      <c r="E56" s="980" t="s">
        <v>254</v>
      </c>
    </row>
    <row r="57" spans="1:5" ht="26.4" customHeight="1">
      <c r="A57" s="933" t="s">
        <v>866</v>
      </c>
      <c r="B57" s="977" t="s">
        <v>913</v>
      </c>
      <c r="C57" s="976">
        <v>13148</v>
      </c>
      <c r="D57" s="976">
        <v>13148</v>
      </c>
      <c r="E57" s="981" t="s">
        <v>254</v>
      </c>
    </row>
    <row r="58" spans="1:5" ht="26.4" customHeight="1">
      <c r="A58" s="933" t="s">
        <v>915</v>
      </c>
      <c r="B58" s="977" t="s">
        <v>914</v>
      </c>
      <c r="C58" s="976">
        <v>46000</v>
      </c>
      <c r="D58" s="976">
        <v>46000</v>
      </c>
      <c r="E58" s="981" t="s">
        <v>254</v>
      </c>
    </row>
    <row r="59" spans="1:5" ht="26.4" customHeight="1">
      <c r="A59" s="940"/>
      <c r="B59" s="941" t="s">
        <v>308</v>
      </c>
      <c r="C59" s="942">
        <f>SUM(C4:C58)</f>
        <v>4541946.4999999991</v>
      </c>
      <c r="D59" s="942">
        <f>SUM(D4:D58)</f>
        <v>1676344.24</v>
      </c>
      <c r="E59" s="942"/>
    </row>
    <row r="60" spans="1:5" ht="26.4" customHeight="1"/>
    <row r="61" spans="1:5" ht="26.4" customHeight="1">
      <c r="A61" s="530"/>
    </row>
    <row r="62" spans="1:5" ht="26.4" customHeight="1">
      <c r="A62" s="530"/>
    </row>
    <row r="63" spans="1:5" customFormat="1" ht="25.95" customHeight="1">
      <c r="A63" s="530"/>
      <c r="B63" s="530"/>
      <c r="C63" s="530"/>
      <c r="D63" s="531"/>
      <c r="E63" s="530"/>
    </row>
    <row r="64" spans="1:5" ht="26.4" customHeight="1">
      <c r="A64" s="530"/>
    </row>
    <row r="65" spans="1:5" customFormat="1" ht="25.95" customHeight="1">
      <c r="A65" s="530"/>
      <c r="B65" s="530"/>
      <c r="C65" s="530"/>
      <c r="D65" s="531"/>
      <c r="E65" s="530"/>
    </row>
    <row r="66" spans="1:5" ht="30.6" customHeight="1">
      <c r="A66" s="530"/>
    </row>
  </sheetData>
  <phoneticPr fontId="90" type="noConversion"/>
  <pageMargins left="0.7" right="0.7" top="0.75" bottom="0.75" header="0.3" footer="0.3"/>
  <pageSetup paperSize="9" scale="43" fitToHeight="0" orientation="portrait" r:id="rId1"/>
  <rowBreaks count="1" manualBreakCount="1">
    <brk id="59" max="4"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2"/>
  <sheetViews>
    <sheetView view="pageBreakPreview" topLeftCell="A7" zoomScale="70" zoomScaleNormal="70" zoomScaleSheetLayoutView="70" workbookViewId="0">
      <selection activeCell="G18" sqref="G18"/>
    </sheetView>
  </sheetViews>
  <sheetFormatPr defaultColWidth="9.109375" defaultRowHeight="13.2"/>
  <cols>
    <col min="1" max="1" width="2.44140625" style="4" customWidth="1"/>
    <col min="2" max="2" width="5.6640625" style="4" customWidth="1"/>
    <col min="3" max="3" width="59.44140625" style="4" customWidth="1"/>
    <col min="4" max="4" width="13.5546875" style="4" customWidth="1"/>
    <col min="5" max="6" width="9.33203125" style="4" customWidth="1"/>
    <col min="7" max="7" width="23.6640625" style="468" customWidth="1"/>
    <col min="8" max="8" width="1.6640625" style="411" customWidth="1"/>
    <col min="9" max="9" width="26" style="735" customWidth="1"/>
    <col min="10" max="10" width="17.6640625" style="4" bestFit="1" customWidth="1"/>
    <col min="11" max="11" width="20.5546875" style="4" hidden="1" customWidth="1"/>
    <col min="12" max="12" width="18.33203125" style="4" bestFit="1" customWidth="1"/>
    <col min="13" max="13" width="22.44140625" style="4" customWidth="1"/>
    <col min="14" max="14" width="18.33203125" style="4" bestFit="1" customWidth="1"/>
    <col min="15" max="16384" width="9.109375" style="4"/>
  </cols>
  <sheetData>
    <row r="2" spans="2:9" ht="22.95" customHeight="1">
      <c r="B2" s="1122" t="s">
        <v>0</v>
      </c>
      <c r="C2" s="1122"/>
      <c r="D2" s="1122"/>
      <c r="E2" s="1122"/>
      <c r="F2" s="1122"/>
      <c r="G2" s="1122"/>
    </row>
    <row r="3" spans="2:9" ht="24" customHeight="1" thickBot="1">
      <c r="B3" s="1071" t="s">
        <v>819</v>
      </c>
      <c r="C3" s="1071"/>
      <c r="D3" s="1071"/>
      <c r="E3" s="1071"/>
      <c r="F3" s="1071"/>
      <c r="G3" s="1071"/>
    </row>
    <row r="4" spans="2:9" ht="15.6" customHeight="1">
      <c r="B4" s="285"/>
      <c r="C4" s="10"/>
      <c r="D4" s="286"/>
      <c r="E4" s="286"/>
      <c r="F4" s="287"/>
      <c r="G4" s="288"/>
    </row>
    <row r="5" spans="2:9" s="18" customFormat="1" ht="18.600000000000001" customHeight="1">
      <c r="B5" s="413" t="s">
        <v>2</v>
      </c>
      <c r="D5" s="415" t="s">
        <v>3</v>
      </c>
      <c r="E5" s="414"/>
      <c r="F5" s="1123">
        <f ca="1">'KCE-PC 11'!G3</f>
        <v>44949</v>
      </c>
      <c r="G5" s="1124"/>
      <c r="H5" s="416"/>
      <c r="I5" s="736"/>
    </row>
    <row r="6" spans="2:9" s="18" customFormat="1" ht="23.4" customHeight="1">
      <c r="B6" s="413" t="s">
        <v>4</v>
      </c>
      <c r="D6" s="415" t="s">
        <v>5</v>
      </c>
      <c r="E6" s="414"/>
      <c r="F6" s="417" t="str">
        <f>'KCE-PC 11'!G2</f>
        <v>KCE-11</v>
      </c>
      <c r="G6" s="513"/>
      <c r="H6" s="416"/>
      <c r="I6" s="736"/>
    </row>
    <row r="7" spans="2:9" s="18" customFormat="1" ht="25.2" customHeight="1">
      <c r="B7" s="413" t="s">
        <v>184</v>
      </c>
      <c r="D7" s="415" t="s">
        <v>8</v>
      </c>
      <c r="E7" s="414"/>
      <c r="F7" s="414" t="s">
        <v>9</v>
      </c>
      <c r="G7" s="513"/>
      <c r="H7" s="416"/>
      <c r="I7" s="736"/>
    </row>
    <row r="8" spans="2:9" ht="4.5" customHeight="1" thickBot="1">
      <c r="B8" s="419"/>
      <c r="C8" s="29"/>
      <c r="D8" s="421"/>
      <c r="E8" s="421"/>
      <c r="F8" s="420"/>
      <c r="G8" s="514"/>
    </row>
    <row r="9" spans="2:9" s="423" customFormat="1" ht="3.75" customHeight="1" thickBot="1">
      <c r="C9" s="424"/>
      <c r="D9" s="425"/>
      <c r="E9" s="425"/>
      <c r="F9" s="425"/>
      <c r="G9" s="515"/>
      <c r="H9" s="427"/>
      <c r="I9" s="737"/>
    </row>
    <row r="10" spans="2:9" s="423" customFormat="1" ht="24" customHeight="1" thickBot="1">
      <c r="B10" s="1125" t="s">
        <v>141</v>
      </c>
      <c r="C10" s="1126"/>
      <c r="D10" s="1126"/>
      <c r="E10" s="1127"/>
      <c r="F10" s="1128" t="s">
        <v>176</v>
      </c>
      <c r="G10" s="1129"/>
      <c r="H10" s="427"/>
      <c r="I10" s="737"/>
    </row>
    <row r="11" spans="2:9" s="423" customFormat="1" ht="3.75" customHeight="1">
      <c r="B11" s="428"/>
      <c r="C11" s="429"/>
      <c r="D11" s="430"/>
      <c r="E11" s="431"/>
      <c r="F11" s="432"/>
      <c r="G11" s="516"/>
      <c r="H11" s="427"/>
      <c r="I11" s="737"/>
    </row>
    <row r="12" spans="2:9" s="423" customFormat="1" ht="15">
      <c r="B12" s="434"/>
      <c r="C12" s="435"/>
      <c r="D12" s="436"/>
      <c r="E12" s="436"/>
      <c r="F12" s="437"/>
      <c r="G12" s="517"/>
      <c r="H12" s="427"/>
      <c r="I12" s="737"/>
    </row>
    <row r="13" spans="2:9" s="423" customFormat="1" ht="23.4" customHeight="1">
      <c r="B13" s="440"/>
      <c r="C13" s="436"/>
      <c r="D13" s="436"/>
      <c r="E13" s="436"/>
      <c r="F13" s="441"/>
      <c r="G13" s="518"/>
      <c r="H13" s="427"/>
      <c r="I13" s="737"/>
    </row>
    <row r="14" spans="2:9" s="423" customFormat="1" ht="23.4" customHeight="1">
      <c r="B14" s="440" t="s">
        <v>185</v>
      </c>
      <c r="C14" s="519" t="s">
        <v>62</v>
      </c>
      <c r="D14" s="436"/>
      <c r="E14" s="436"/>
      <c r="F14" s="441"/>
      <c r="G14" s="518"/>
      <c r="H14" s="427"/>
      <c r="I14" s="737"/>
    </row>
    <row r="15" spans="2:9" s="423" customFormat="1" ht="23.4" customHeight="1">
      <c r="B15" s="440"/>
      <c r="C15" s="436" t="s">
        <v>236</v>
      </c>
      <c r="D15" s="436"/>
      <c r="E15" s="436"/>
      <c r="F15" s="441"/>
      <c r="G15" s="518">
        <f>+'Annexure-1 Est. Contract Price '!H19</f>
        <v>10075616.117161289</v>
      </c>
      <c r="H15" s="427"/>
      <c r="I15" s="737"/>
    </row>
    <row r="16" spans="2:9" s="423" customFormat="1" ht="23.4" customHeight="1">
      <c r="B16" s="440"/>
      <c r="C16" s="436" t="s">
        <v>237</v>
      </c>
      <c r="D16" s="436"/>
      <c r="E16" s="436"/>
      <c r="F16" s="441"/>
      <c r="G16" s="518">
        <f>+'Annexure-1 Est. Contract Price '!H28</f>
        <v>24978840.932702404</v>
      </c>
      <c r="H16" s="427"/>
      <c r="I16" s="737"/>
    </row>
    <row r="17" spans="2:9" s="423" customFormat="1" ht="23.4" customHeight="1">
      <c r="B17" s="440"/>
      <c r="C17" s="436" t="s">
        <v>238</v>
      </c>
      <c r="D17" s="436"/>
      <c r="E17" s="436"/>
      <c r="F17" s="441"/>
      <c r="G17" s="518">
        <f>+'Annexure-1 Est. Contract Price '!H52</f>
        <v>2343672.011368799</v>
      </c>
      <c r="H17" s="427"/>
      <c r="I17" s="737"/>
    </row>
    <row r="18" spans="2:9" s="423" customFormat="1" ht="23.4" customHeight="1">
      <c r="B18" s="440"/>
      <c r="C18" s="436" t="s">
        <v>239</v>
      </c>
      <c r="D18" s="436"/>
      <c r="E18" s="436"/>
      <c r="F18" s="441"/>
      <c r="G18" s="518">
        <f>SUM('Annexure 6-SC Summary '!AB32:AB38)</f>
        <v>1404296.9959999998</v>
      </c>
      <c r="H18" s="427"/>
      <c r="I18" s="737"/>
    </row>
    <row r="19" spans="2:9" s="423" customFormat="1" ht="9" customHeight="1">
      <c r="B19" s="440"/>
      <c r="C19" s="436"/>
      <c r="D19" s="436"/>
      <c r="E19" s="436"/>
      <c r="F19" s="441"/>
      <c r="G19" s="518"/>
      <c r="H19" s="427"/>
      <c r="I19" s="737"/>
    </row>
    <row r="20" spans="2:9" s="423" customFormat="1" ht="23.4" customHeight="1" thickBot="1">
      <c r="B20" s="440"/>
      <c r="C20" s="520" t="s">
        <v>240</v>
      </c>
      <c r="D20" s="520"/>
      <c r="E20" s="520"/>
      <c r="F20" s="521"/>
      <c r="G20" s="522">
        <f>SUM(G15:G19)</f>
        <v>38802426.057232492</v>
      </c>
      <c r="H20" s="427"/>
      <c r="I20" s="737"/>
    </row>
    <row r="21" spans="2:9" s="423" customFormat="1" ht="23.4" customHeight="1" thickTop="1">
      <c r="B21" s="440"/>
      <c r="C21" s="436"/>
      <c r="D21" s="436"/>
      <c r="E21" s="436"/>
      <c r="F21" s="441"/>
      <c r="G21" s="518"/>
      <c r="H21" s="427"/>
      <c r="I21" s="737"/>
    </row>
    <row r="22" spans="2:9" s="423" customFormat="1" ht="23.4" customHeight="1">
      <c r="B22" s="440"/>
      <c r="C22" s="436"/>
      <c r="D22" s="436"/>
      <c r="E22" s="436"/>
      <c r="F22" s="441"/>
      <c r="G22" s="518"/>
      <c r="H22" s="427"/>
      <c r="I22" s="737"/>
    </row>
    <row r="23" spans="2:9" s="423" customFormat="1" ht="23.4" customHeight="1">
      <c r="B23" s="440" t="s">
        <v>191</v>
      </c>
      <c r="C23" s="519" t="s">
        <v>63</v>
      </c>
      <c r="D23" s="436"/>
      <c r="E23" s="436"/>
      <c r="F23" s="441"/>
      <c r="G23" s="518"/>
      <c r="H23" s="427"/>
      <c r="I23" s="737"/>
    </row>
    <row r="24" spans="2:9" s="423" customFormat="1" ht="15">
      <c r="B24" s="523"/>
      <c r="C24" s="524" t="s">
        <v>241</v>
      </c>
      <c r="D24" s="436"/>
      <c r="E24" s="436"/>
      <c r="F24" s="441"/>
      <c r="G24" s="518"/>
      <c r="H24" s="427"/>
      <c r="I24" s="737"/>
    </row>
    <row r="25" spans="2:9" s="423" customFormat="1" ht="23.4" customHeight="1">
      <c r="B25" s="440"/>
      <c r="C25" s="525" t="s">
        <v>66</v>
      </c>
      <c r="E25" s="436"/>
      <c r="F25" s="441"/>
      <c r="G25" s="518">
        <f>+'Annexure-1 Est. Contract Price '!H65</f>
        <v>42248432.318386555</v>
      </c>
      <c r="H25" s="427"/>
      <c r="I25" s="737"/>
    </row>
    <row r="26" spans="2:9" s="423" customFormat="1" ht="15">
      <c r="B26" s="523"/>
      <c r="C26" s="524" t="s">
        <v>242</v>
      </c>
      <c r="D26" s="436"/>
      <c r="E26" s="436"/>
      <c r="F26" s="441"/>
      <c r="G26" s="518"/>
      <c r="H26" s="427"/>
      <c r="I26" s="737"/>
    </row>
    <row r="27" spans="2:9" s="423" customFormat="1" ht="23.4" customHeight="1">
      <c r="B27" s="440"/>
      <c r="C27" s="525" t="s">
        <v>738</v>
      </c>
      <c r="E27" s="436"/>
      <c r="F27" s="441"/>
      <c r="G27" s="518">
        <f>-SUM('Annexure 6-SC Summary '!AB32:AB38)*12.5%</f>
        <v>-175537.12449999998</v>
      </c>
      <c r="H27" s="427"/>
      <c r="I27" s="737"/>
    </row>
    <row r="28" spans="2:9" s="423" customFormat="1" ht="9" customHeight="1">
      <c r="B28" s="440"/>
      <c r="C28" s="436"/>
      <c r="D28" s="436"/>
      <c r="E28" s="436"/>
      <c r="F28" s="441"/>
      <c r="G28" s="518"/>
      <c r="H28" s="427"/>
      <c r="I28" s="737"/>
    </row>
    <row r="29" spans="2:9" s="423" customFormat="1" ht="23.4" customHeight="1" thickBot="1">
      <c r="B29" s="440"/>
      <c r="C29" s="508" t="s">
        <v>243</v>
      </c>
      <c r="D29" s="520"/>
      <c r="E29" s="520"/>
      <c r="F29" s="521"/>
      <c r="G29" s="522">
        <f>SUM(G24:G28)</f>
        <v>42072895.193886556</v>
      </c>
      <c r="H29" s="427"/>
      <c r="I29" s="737"/>
    </row>
    <row r="30" spans="2:9" s="423" customFormat="1" ht="23.4" customHeight="1" thickTop="1">
      <c r="B30" s="440"/>
      <c r="C30" s="436"/>
      <c r="D30" s="436"/>
      <c r="E30" s="436"/>
      <c r="F30" s="441"/>
      <c r="G30" s="518"/>
      <c r="H30" s="427"/>
      <c r="I30" s="737"/>
    </row>
    <row r="31" spans="2:9" s="423" customFormat="1" ht="23.4" customHeight="1">
      <c r="B31" s="440"/>
      <c r="C31" s="436"/>
      <c r="D31" s="436"/>
      <c r="E31" s="436"/>
      <c r="F31" s="441"/>
      <c r="G31" s="518"/>
      <c r="H31" s="427"/>
      <c r="I31" s="737"/>
    </row>
    <row r="32" spans="2:9" s="423" customFormat="1" ht="23.4" customHeight="1">
      <c r="B32" s="440" t="s">
        <v>244</v>
      </c>
      <c r="C32" s="519" t="s">
        <v>64</v>
      </c>
      <c r="D32" s="436"/>
      <c r="E32" s="436"/>
      <c r="F32" s="441"/>
      <c r="G32" s="518"/>
      <c r="H32" s="427"/>
      <c r="I32" s="737"/>
    </row>
    <row r="33" spans="2:14" s="423" customFormat="1" ht="15">
      <c r="B33" s="526"/>
      <c r="C33" s="524" t="s">
        <v>241</v>
      </c>
      <c r="D33" s="436"/>
      <c r="E33" s="436"/>
      <c r="F33" s="441"/>
      <c r="G33" s="518"/>
      <c r="H33" s="427"/>
      <c r="I33" s="737"/>
    </row>
    <row r="34" spans="2:14" s="423" customFormat="1" ht="23.4" customHeight="1">
      <c r="B34" s="440"/>
      <c r="C34" s="525" t="s">
        <v>245</v>
      </c>
      <c r="E34" s="436"/>
      <c r="F34" s="441"/>
      <c r="G34" s="518">
        <f>+'Annexure-1 Est. Contract Price '!G19</f>
        <v>24208762.772766799</v>
      </c>
      <c r="H34" s="427"/>
      <c r="I34" s="737"/>
    </row>
    <row r="35" spans="2:14" s="423" customFormat="1" ht="23.4" customHeight="1">
      <c r="B35" s="440"/>
      <c r="C35" s="525" t="s">
        <v>246</v>
      </c>
      <c r="E35" s="436"/>
      <c r="F35" s="441"/>
      <c r="G35" s="518">
        <f>+'Annexure-1 Est. Contract Price '!G28</f>
        <v>17595468.722380951</v>
      </c>
      <c r="H35" s="427"/>
      <c r="I35" s="737"/>
    </row>
    <row r="36" spans="2:14" s="423" customFormat="1" ht="23.4" customHeight="1">
      <c r="B36" s="440"/>
      <c r="C36" s="525" t="s">
        <v>247</v>
      </c>
      <c r="E36" s="436"/>
      <c r="F36" s="441"/>
      <c r="G36" s="518">
        <f>+'Annexure-1 Est. Contract Price '!G52</f>
        <v>32471607.731040224</v>
      </c>
      <c r="H36" s="427"/>
      <c r="I36" s="737"/>
    </row>
    <row r="37" spans="2:14" s="423" customFormat="1" ht="23.4" customHeight="1">
      <c r="B37" s="440"/>
      <c r="C37" s="525" t="s">
        <v>248</v>
      </c>
      <c r="E37" s="436"/>
      <c r="F37" s="441"/>
      <c r="G37" s="518">
        <f>'Annexure 6-SC Summary '!AB85-(SUM('Annexure 6-SC Summary '!AB32:AB38,'Annexure 6-SC Summary '!AB29))</f>
        <v>3362864.0634911396</v>
      </c>
      <c r="H37" s="427"/>
      <c r="I37" s="737"/>
    </row>
    <row r="38" spans="2:14" s="423" customFormat="1" ht="15">
      <c r="B38" s="526"/>
      <c r="C38" s="524" t="s">
        <v>242</v>
      </c>
      <c r="D38" s="436"/>
      <c r="E38" s="436"/>
      <c r="F38" s="441"/>
      <c r="G38" s="518"/>
      <c r="H38" s="427"/>
      <c r="I38" s="737"/>
    </row>
    <row r="39" spans="2:14" s="423" customFormat="1" ht="23.4" customHeight="1">
      <c r="B39" s="440"/>
      <c r="C39" s="525" t="s">
        <v>249</v>
      </c>
      <c r="E39" s="435"/>
      <c r="F39" s="441"/>
      <c r="G39" s="518">
        <f>-'Annexure 6-SC Summary '!T29</f>
        <v>-1158076.8988166866</v>
      </c>
      <c r="H39" s="427"/>
      <c r="I39" s="737"/>
    </row>
    <row r="40" spans="2:14" s="423" customFormat="1" ht="15">
      <c r="B40" s="440"/>
      <c r="C40" s="445"/>
      <c r="D40" s="445"/>
      <c r="E40" s="446"/>
      <c r="F40" s="447"/>
      <c r="G40" s="518"/>
      <c r="H40" s="449"/>
      <c r="I40" s="737"/>
    </row>
    <row r="41" spans="2:14" s="423" customFormat="1" ht="23.4" customHeight="1" thickBot="1">
      <c r="B41" s="440"/>
      <c r="C41" s="520" t="s">
        <v>250</v>
      </c>
      <c r="D41" s="520"/>
      <c r="E41" s="520"/>
      <c r="F41" s="521"/>
      <c r="G41" s="522">
        <f>SUM(G34:G40)</f>
        <v>76480626.39086242</v>
      </c>
      <c r="H41" s="427"/>
      <c r="I41" s="737"/>
    </row>
    <row r="42" spans="2:14" s="423" customFormat="1" ht="16.2" thickTop="1" thickBot="1">
      <c r="B42" s="458"/>
      <c r="C42" s="459"/>
      <c r="D42" s="460"/>
      <c r="E42" s="461"/>
      <c r="F42" s="462"/>
      <c r="G42" s="527"/>
      <c r="H42" s="427"/>
      <c r="I42" s="737"/>
    </row>
    <row r="43" spans="2:14" ht="10.95" customHeight="1">
      <c r="C43" s="464"/>
      <c r="D43" s="464"/>
      <c r="E43" s="464"/>
      <c r="F43" s="464"/>
      <c r="G43" s="528"/>
      <c r="J43" s="423"/>
    </row>
    <row r="44" spans="2:14" ht="15">
      <c r="J44" s="423"/>
    </row>
    <row r="45" spans="2:14" ht="15">
      <c r="J45" s="423"/>
    </row>
    <row r="46" spans="2:14" ht="15">
      <c r="J46" s="423"/>
    </row>
    <row r="47" spans="2:14" ht="15">
      <c r="J47" s="423"/>
    </row>
    <row r="48" spans="2:14" s="411" customFormat="1" ht="15">
      <c r="C48" s="4"/>
      <c r="D48" s="4"/>
      <c r="E48" s="4"/>
      <c r="F48" s="4"/>
      <c r="G48" s="468"/>
      <c r="I48" s="735"/>
      <c r="J48" s="423"/>
      <c r="K48" s="4"/>
      <c r="L48" s="4"/>
      <c r="M48" s="4"/>
      <c r="N48" s="4"/>
    </row>
    <row r="49" spans="3:14" ht="15">
      <c r="J49" s="423"/>
    </row>
    <row r="50" spans="3:14" ht="15">
      <c r="J50" s="423"/>
    </row>
    <row r="51" spans="3:14" s="411" customFormat="1">
      <c r="C51" s="4"/>
      <c r="D51" s="4"/>
      <c r="E51" s="4"/>
      <c r="F51" s="4"/>
      <c r="G51" s="468"/>
      <c r="I51" s="735"/>
      <c r="J51" s="4"/>
      <c r="K51" s="4"/>
      <c r="L51" s="4"/>
      <c r="M51" s="4"/>
      <c r="N51" s="4"/>
    </row>
    <row r="52" spans="3:14" s="411" customFormat="1">
      <c r="C52" s="4"/>
      <c r="D52" s="469"/>
      <c r="E52" s="4"/>
      <c r="F52" s="4"/>
      <c r="G52" s="468"/>
      <c r="I52" s="735"/>
      <c r="J52" s="4"/>
      <c r="K52" s="4"/>
      <c r="L52" s="4"/>
      <c r="M52" s="4"/>
      <c r="N52" s="4"/>
    </row>
  </sheetData>
  <mergeCells count="5">
    <mergeCell ref="B2:G2"/>
    <mergeCell ref="B3:G3"/>
    <mergeCell ref="F5:G5"/>
    <mergeCell ref="B10:E10"/>
    <mergeCell ref="F10:G10"/>
  </mergeCells>
  <pageMargins left="0.7" right="0.7" top="0.75" bottom="0.75" header="0.3" footer="0.3"/>
  <pageSetup scale="7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J17" sqref="J17"/>
    </sheetView>
  </sheetViews>
  <sheetFormatPr defaultColWidth="9.109375" defaultRowHeight="13.2"/>
  <cols>
    <col min="1" max="1" width="2.33203125" style="363" customWidth="1"/>
    <col min="2" max="2" width="13.44140625" style="363" customWidth="1"/>
    <col min="3" max="3" width="9.109375" style="363"/>
    <col min="4" max="5" width="8.88671875" style="363" customWidth="1"/>
    <col min="6" max="6" width="15.44140625" style="363" customWidth="1"/>
    <col min="7" max="7" width="9.109375" style="363"/>
    <col min="8" max="8" width="10.5546875" style="363" customWidth="1"/>
    <col min="9" max="9" width="4.88671875" style="363" customWidth="1"/>
    <col min="10" max="10" width="16.33203125" style="363" customWidth="1"/>
    <col min="11" max="11" width="20.6640625" style="362" customWidth="1"/>
    <col min="12" max="12" width="16" style="363" customWidth="1"/>
    <col min="13" max="13" width="9.109375" style="363"/>
    <col min="14" max="14" width="15.6640625" style="363" customWidth="1"/>
    <col min="15" max="16384" width="9.109375" style="363"/>
  </cols>
  <sheetData>
    <row r="2" spans="2:14" ht="23.4">
      <c r="B2" s="1132" t="s">
        <v>0</v>
      </c>
      <c r="C2" s="1132"/>
      <c r="D2" s="1132"/>
      <c r="E2" s="1132"/>
      <c r="F2" s="1132"/>
      <c r="G2" s="1132"/>
      <c r="H2" s="1132"/>
      <c r="I2" s="1132"/>
      <c r="J2" s="1132"/>
    </row>
    <row r="3" spans="2:14" ht="18.600000000000001" thickBot="1">
      <c r="B3" s="1133" t="s">
        <v>820</v>
      </c>
      <c r="C3" s="1133"/>
      <c r="D3" s="1133"/>
      <c r="E3" s="1133"/>
      <c r="F3" s="1133"/>
      <c r="G3" s="1133"/>
      <c r="H3" s="1133"/>
      <c r="I3" s="1133"/>
      <c r="J3" s="1133"/>
    </row>
    <row r="4" spans="2:14">
      <c r="B4" s="364"/>
      <c r="C4" s="365"/>
      <c r="D4" s="365"/>
      <c r="E4" s="365"/>
      <c r="F4" s="365"/>
      <c r="G4" s="366"/>
      <c r="H4" s="366"/>
      <c r="I4" s="365"/>
      <c r="J4" s="367"/>
    </row>
    <row r="5" spans="2:14" s="369" customFormat="1" ht="15.6">
      <c r="B5" s="368" t="s">
        <v>2</v>
      </c>
      <c r="G5" s="370" t="s">
        <v>3</v>
      </c>
      <c r="I5" s="1134">
        <f ca="1">+'Annexure 11-Advance Recovery'!G5</f>
        <v>44949</v>
      </c>
      <c r="J5" s="1135"/>
      <c r="K5" s="371"/>
      <c r="L5" s="363"/>
      <c r="M5" s="363"/>
      <c r="N5" s="363"/>
    </row>
    <row r="6" spans="2:14" s="369" customFormat="1" ht="15.6">
      <c r="B6" s="368" t="s">
        <v>4</v>
      </c>
      <c r="G6" s="370" t="s">
        <v>5</v>
      </c>
      <c r="I6" s="373" t="str">
        <f>+'Annexure 11-Advance Recovery'!G6</f>
        <v>KCE-11</v>
      </c>
      <c r="J6" s="372"/>
      <c r="K6" s="371"/>
      <c r="L6" s="363"/>
      <c r="M6" s="363"/>
      <c r="N6" s="363"/>
    </row>
    <row r="7" spans="2:14" s="369" customFormat="1" ht="15.6">
      <c r="B7" s="368" t="s">
        <v>7</v>
      </c>
      <c r="C7" s="374"/>
      <c r="G7" s="370" t="s">
        <v>8</v>
      </c>
      <c r="I7" s="369" t="str">
        <f>+'Annexure 11-Advance Recovery'!G7</f>
        <v>AED</v>
      </c>
      <c r="J7" s="372"/>
      <c r="K7" s="371"/>
      <c r="L7" s="363"/>
      <c r="M7" s="363"/>
      <c r="N7" s="363"/>
    </row>
    <row r="8" spans="2:14" ht="13.8" thickBot="1">
      <c r="B8" s="375"/>
      <c r="C8" s="376"/>
      <c r="D8" s="376"/>
      <c r="E8" s="376"/>
      <c r="F8" s="376"/>
      <c r="G8" s="377"/>
      <c r="H8" s="377"/>
      <c r="I8" s="376"/>
      <c r="J8" s="378"/>
    </row>
    <row r="9" spans="2:14" s="381" customFormat="1" ht="16.2" thickBot="1">
      <c r="B9" s="379"/>
      <c r="C9" s="380"/>
      <c r="J9" s="382"/>
      <c r="K9" s="383"/>
      <c r="L9" s="363"/>
      <c r="M9" s="363"/>
      <c r="N9" s="363"/>
    </row>
    <row r="10" spans="2:14" s="381" customFormat="1" ht="16.2" thickBot="1">
      <c r="B10" s="1136" t="s">
        <v>141</v>
      </c>
      <c r="C10" s="1137"/>
      <c r="D10" s="1137"/>
      <c r="E10" s="1137"/>
      <c r="F10" s="1137"/>
      <c r="G10" s="1137"/>
      <c r="H10" s="1138"/>
      <c r="I10" s="1139" t="s">
        <v>176</v>
      </c>
      <c r="J10" s="1140"/>
      <c r="K10" s="383"/>
      <c r="L10" s="363"/>
      <c r="M10" s="363"/>
      <c r="N10" s="363"/>
    </row>
    <row r="11" spans="2:14" s="381" customFormat="1" ht="15.6">
      <c r="B11" s="384"/>
      <c r="C11" s="385"/>
      <c r="D11" s="385"/>
      <c r="E11" s="385"/>
      <c r="F11" s="385"/>
      <c r="G11" s="385"/>
      <c r="H11" s="386"/>
      <c r="I11" s="387"/>
      <c r="J11" s="388"/>
      <c r="K11" s="383"/>
      <c r="L11" s="363"/>
      <c r="M11" s="363"/>
      <c r="N11" s="363"/>
    </row>
    <row r="12" spans="2:14" s="381" customFormat="1" ht="15.6">
      <c r="B12" s="389" t="s">
        <v>177</v>
      </c>
      <c r="C12" s="390"/>
      <c r="D12" s="390"/>
      <c r="E12" s="390"/>
      <c r="F12" s="390"/>
      <c r="G12" s="390"/>
      <c r="H12" s="391"/>
      <c r="I12" s="392"/>
      <c r="J12" s="393">
        <f>'Annexure-1 Est. Contract Price '!H65</f>
        <v>42248432.318386555</v>
      </c>
      <c r="K12" s="383"/>
      <c r="L12" s="363"/>
      <c r="M12" s="363"/>
      <c r="N12" s="363"/>
    </row>
    <row r="13" spans="2:14" s="381" customFormat="1" ht="15.6">
      <c r="B13" s="389" t="s">
        <v>178</v>
      </c>
      <c r="C13" s="390"/>
      <c r="D13" s="390"/>
      <c r="E13" s="390"/>
      <c r="F13" s="390"/>
      <c r="G13" s="390"/>
      <c r="H13" s="391"/>
      <c r="I13" s="392"/>
      <c r="J13" s="394">
        <f>-'Annexure-1 Est. Contract Price '!H18</f>
        <v>-1487337.94</v>
      </c>
      <c r="K13" s="383"/>
      <c r="L13" s="363"/>
      <c r="M13" s="363"/>
      <c r="N13" s="363"/>
    </row>
    <row r="14" spans="2:14" s="381" customFormat="1" ht="15.6">
      <c r="B14" s="389" t="s">
        <v>179</v>
      </c>
      <c r="C14" s="390"/>
      <c r="D14" s="390"/>
      <c r="E14" s="390"/>
      <c r="F14" s="390"/>
      <c r="G14" s="390"/>
      <c r="H14" s="391"/>
      <c r="I14" s="392"/>
      <c r="J14" s="394">
        <f>-'Annexure-1 Est. Contract Price '!H60</f>
        <v>-4850303.2571540615</v>
      </c>
      <c r="K14" s="383"/>
      <c r="L14" s="363"/>
      <c r="M14" s="363"/>
      <c r="N14" s="363"/>
    </row>
    <row r="15" spans="2:14" s="381" customFormat="1" ht="15.6">
      <c r="B15" s="389" t="s">
        <v>180</v>
      </c>
      <c r="C15" s="390"/>
      <c r="D15" s="390"/>
      <c r="E15" s="390"/>
      <c r="F15" s="390"/>
      <c r="G15" s="390"/>
      <c r="H15" s="391"/>
      <c r="I15" s="392"/>
      <c r="J15" s="394">
        <f>-'Annexure-1 Est. Contract Price '!I16</f>
        <v>-8588278.1771612894</v>
      </c>
      <c r="K15" s="383"/>
      <c r="L15" s="363"/>
      <c r="M15" s="363"/>
      <c r="N15" s="363"/>
    </row>
    <row r="16" spans="2:14" s="381" customFormat="1" ht="15.6">
      <c r="B16" s="389" t="s">
        <v>181</v>
      </c>
      <c r="C16" s="390"/>
      <c r="D16" s="390"/>
      <c r="E16" s="390"/>
      <c r="F16" s="390"/>
      <c r="G16" s="390"/>
      <c r="H16" s="391"/>
      <c r="I16" s="392"/>
      <c r="J16" s="395">
        <f>('Annexure-1 Est. Contract Price '!G52)-'Committed Orders - Dec 22'!H7-'Committed Orders - Dec 22'!H8</f>
        <v>31640521.631040223</v>
      </c>
      <c r="K16" s="383"/>
      <c r="L16" s="363"/>
      <c r="M16" s="363"/>
      <c r="N16" s="363"/>
    </row>
    <row r="17" spans="2:14" s="381" customFormat="1" ht="15.6">
      <c r="B17" s="389" t="s">
        <v>182</v>
      </c>
      <c r="C17" s="390"/>
      <c r="D17" s="390"/>
      <c r="E17" s="390"/>
      <c r="F17" s="390"/>
      <c r="G17" s="390"/>
      <c r="H17" s="391"/>
      <c r="I17" s="392"/>
      <c r="J17" s="396">
        <f>SUM(J12:J16)</f>
        <v>58963034.575111426</v>
      </c>
      <c r="K17" s="383"/>
      <c r="L17" s="363"/>
      <c r="M17" s="363"/>
      <c r="N17" s="363"/>
    </row>
    <row r="18" spans="2:14" s="381" customFormat="1" ht="16.2" thickBot="1">
      <c r="B18" s="389"/>
      <c r="C18" s="390"/>
      <c r="D18" s="390"/>
      <c r="E18" s="390"/>
      <c r="F18" s="390"/>
      <c r="G18" s="390"/>
      <c r="H18" s="391"/>
      <c r="I18" s="392"/>
      <c r="J18" s="391"/>
      <c r="K18" s="383"/>
      <c r="L18" s="363"/>
      <c r="M18" s="363"/>
      <c r="N18" s="363"/>
    </row>
    <row r="19" spans="2:14" s="381" customFormat="1" ht="15.6">
      <c r="B19" s="397"/>
      <c r="C19" s="398"/>
      <c r="D19" s="398"/>
      <c r="E19" s="398"/>
      <c r="F19" s="398"/>
      <c r="G19" s="398"/>
      <c r="H19" s="399"/>
      <c r="I19" s="400"/>
      <c r="J19" s="401"/>
      <c r="K19" s="383"/>
      <c r="L19" s="363"/>
      <c r="M19" s="363"/>
      <c r="N19" s="363"/>
    </row>
    <row r="20" spans="2:14" s="381" customFormat="1" ht="15.6">
      <c r="B20" s="402" t="s">
        <v>183</v>
      </c>
      <c r="C20" s="403"/>
      <c r="D20" s="403"/>
      <c r="E20" s="403"/>
      <c r="F20" s="403"/>
      <c r="G20" s="403"/>
      <c r="H20" s="404"/>
      <c r="I20" s="405">
        <v>0.1</v>
      </c>
      <c r="J20" s="406">
        <f>J17*10%</f>
        <v>5896303.4575111428</v>
      </c>
      <c r="K20" s="383"/>
      <c r="L20" s="363"/>
      <c r="M20" s="363"/>
      <c r="N20" s="363"/>
    </row>
    <row r="21" spans="2:14" s="381" customFormat="1" ht="16.2" thickBot="1">
      <c r="B21" s="1130"/>
      <c r="C21" s="1131"/>
      <c r="D21" s="407"/>
      <c r="E21" s="407"/>
      <c r="F21" s="407"/>
      <c r="G21" s="407"/>
      <c r="H21" s="408"/>
      <c r="I21" s="409"/>
      <c r="J21" s="410"/>
      <c r="K21" s="383"/>
      <c r="L21" s="363"/>
      <c r="M21" s="363"/>
      <c r="N21" s="363"/>
    </row>
  </sheetData>
  <mergeCells count="6">
    <mergeCell ref="B21:C21"/>
    <mergeCell ref="B2:J2"/>
    <mergeCell ref="B3:J3"/>
    <mergeCell ref="I5:J5"/>
    <mergeCell ref="B10:H10"/>
    <mergeCell ref="I10:J10"/>
  </mergeCells>
  <pageMargins left="0.7" right="0.7" top="0.75" bottom="0.75" header="0.3" footer="0.3"/>
  <pageSetup scale="9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topLeftCell="A7" zoomScale="70" zoomScaleNormal="100" zoomScaleSheetLayoutView="70" workbookViewId="0">
      <selection activeCell="M24" sqref="M24"/>
    </sheetView>
  </sheetViews>
  <sheetFormatPr defaultColWidth="9.109375" defaultRowHeight="13.2"/>
  <cols>
    <col min="1" max="1" width="2.44140625" style="4" customWidth="1"/>
    <col min="2" max="2" width="5.6640625" style="4" customWidth="1"/>
    <col min="3" max="3" width="42.6640625" style="4" customWidth="1"/>
    <col min="4" max="4" width="9" style="4" customWidth="1"/>
    <col min="5" max="5" width="16.33203125" style="4" customWidth="1"/>
    <col min="6" max="6" width="5.5546875" style="4" customWidth="1"/>
    <col min="7" max="7" width="7.44140625" style="4" customWidth="1"/>
    <col min="8" max="8" width="20" style="4" customWidth="1"/>
    <col min="9" max="9" width="2.5546875" style="411" customWidth="1"/>
    <col min="10" max="10" width="20" style="4" bestFit="1" customWidth="1"/>
    <col min="11" max="11" width="17.6640625" style="4" bestFit="1" customWidth="1"/>
    <col min="12" max="12" width="20.5546875" style="4" hidden="1" customWidth="1"/>
    <col min="13" max="13" width="18.33203125" style="4" bestFit="1" customWidth="1"/>
    <col min="14" max="14" width="22.44140625" style="4" customWidth="1"/>
    <col min="15" max="15" width="18.33203125" style="4" bestFit="1" customWidth="1"/>
    <col min="16" max="16384" width="9.109375" style="4"/>
  </cols>
  <sheetData>
    <row r="2" spans="2:10" ht="39" customHeight="1">
      <c r="C2" s="1122" t="s">
        <v>0</v>
      </c>
      <c r="D2" s="1122"/>
      <c r="E2" s="1122"/>
      <c r="F2" s="1122"/>
      <c r="G2" s="1122"/>
      <c r="H2" s="1122"/>
    </row>
    <row r="3" spans="2:10" ht="35.4" customHeight="1" thickBot="1">
      <c r="C3" s="1073" t="s">
        <v>821</v>
      </c>
      <c r="D3" s="1073"/>
      <c r="E3" s="1073"/>
      <c r="F3" s="1073"/>
      <c r="G3" s="1073"/>
      <c r="H3" s="1073"/>
    </row>
    <row r="4" spans="2:10" ht="15.6" customHeight="1">
      <c r="B4" s="285"/>
      <c r="C4" s="10"/>
      <c r="D4" s="287"/>
      <c r="E4" s="286"/>
      <c r="F4" s="286"/>
      <c r="G4" s="287"/>
      <c r="H4" s="412"/>
    </row>
    <row r="5" spans="2:10" s="18" customFormat="1" ht="18.600000000000001" customHeight="1">
      <c r="B5" s="413" t="s">
        <v>2</v>
      </c>
      <c r="D5" s="414"/>
      <c r="E5" s="415" t="s">
        <v>3</v>
      </c>
      <c r="F5" s="414"/>
      <c r="G5" s="1123">
        <f ca="1">'KCE-PC 11'!G3</f>
        <v>44949</v>
      </c>
      <c r="H5" s="1124"/>
      <c r="I5" s="416"/>
    </row>
    <row r="6" spans="2:10" s="18" customFormat="1" ht="23.4" customHeight="1">
      <c r="B6" s="413" t="s">
        <v>4</v>
      </c>
      <c r="D6" s="414"/>
      <c r="E6" s="415" t="s">
        <v>5</v>
      </c>
      <c r="F6" s="414"/>
      <c r="G6" s="417" t="str">
        <f>'KCE-PC 11'!G2</f>
        <v>KCE-11</v>
      </c>
      <c r="H6" s="418"/>
      <c r="I6" s="416"/>
    </row>
    <row r="7" spans="2:10" s="18" customFormat="1" ht="25.2" customHeight="1">
      <c r="B7" s="413" t="s">
        <v>184</v>
      </c>
      <c r="D7" s="414"/>
      <c r="E7" s="415" t="s">
        <v>8</v>
      </c>
      <c r="F7" s="414"/>
      <c r="G7" s="414" t="s">
        <v>9</v>
      </c>
      <c r="H7" s="418"/>
      <c r="I7" s="416"/>
    </row>
    <row r="8" spans="2:10" ht="4.5" customHeight="1" thickBot="1">
      <c r="B8" s="419"/>
      <c r="C8" s="29"/>
      <c r="D8" s="420"/>
      <c r="E8" s="421"/>
      <c r="F8" s="421"/>
      <c r="G8" s="420"/>
      <c r="H8" s="422"/>
    </row>
    <row r="9" spans="2:10" s="423" customFormat="1" ht="3.75" customHeight="1" thickBot="1">
      <c r="C9" s="424"/>
      <c r="D9" s="425"/>
      <c r="E9" s="425"/>
      <c r="F9" s="425"/>
      <c r="G9" s="425"/>
      <c r="H9" s="426"/>
      <c r="I9" s="427"/>
    </row>
    <row r="10" spans="2:10" s="423" customFormat="1" ht="24" customHeight="1" thickBot="1">
      <c r="B10" s="1125" t="s">
        <v>141</v>
      </c>
      <c r="C10" s="1126"/>
      <c r="D10" s="1126"/>
      <c r="E10" s="1126"/>
      <c r="F10" s="1127"/>
      <c r="G10" s="1128" t="s">
        <v>176</v>
      </c>
      <c r="H10" s="1129"/>
      <c r="I10" s="427"/>
    </row>
    <row r="11" spans="2:10" s="423" customFormat="1" ht="3.75" customHeight="1">
      <c r="B11" s="428"/>
      <c r="C11" s="429"/>
      <c r="D11" s="430"/>
      <c r="E11" s="430"/>
      <c r="F11" s="431"/>
      <c r="G11" s="432"/>
      <c r="H11" s="433"/>
      <c r="I11" s="427"/>
    </row>
    <row r="12" spans="2:10" s="423" customFormat="1" ht="15" customHeight="1">
      <c r="B12" s="434" t="s">
        <v>185</v>
      </c>
      <c r="C12" s="435" t="s">
        <v>186</v>
      </c>
      <c r="D12" s="436"/>
      <c r="E12" s="436"/>
      <c r="F12" s="436"/>
      <c r="G12" s="437"/>
      <c r="H12" s="438"/>
      <c r="I12" s="427"/>
    </row>
    <row r="13" spans="2:10" s="423" customFormat="1" ht="15" customHeight="1">
      <c r="B13" s="439"/>
      <c r="C13" s="435"/>
      <c r="D13" s="436"/>
      <c r="E13" s="436"/>
      <c r="F13" s="436"/>
      <c r="G13" s="437"/>
      <c r="H13" s="438"/>
      <c r="I13" s="427"/>
    </row>
    <row r="14" spans="2:10" s="423" customFormat="1" ht="24.75" customHeight="1">
      <c r="B14" s="440">
        <v>1</v>
      </c>
      <c r="C14" s="436" t="s">
        <v>187</v>
      </c>
      <c r="D14" s="436"/>
      <c r="E14" s="436"/>
      <c r="F14" s="436"/>
      <c r="G14" s="441"/>
      <c r="H14" s="442">
        <v>6000000</v>
      </c>
      <c r="I14" s="427"/>
    </row>
    <row r="15" spans="2:10" s="423" customFormat="1" ht="19.95" customHeight="1">
      <c r="B15" s="440">
        <v>2</v>
      </c>
      <c r="C15" s="443" t="s">
        <v>188</v>
      </c>
      <c r="D15" s="435"/>
      <c r="E15" s="435"/>
      <c r="F15" s="435"/>
      <c r="G15" s="441"/>
      <c r="H15" s="442">
        <v>6000000</v>
      </c>
      <c r="I15" s="427"/>
    </row>
    <row r="16" spans="2:10" s="423" customFormat="1" ht="24.6" customHeight="1">
      <c r="B16" s="440">
        <v>3</v>
      </c>
      <c r="C16" s="1141" t="s">
        <v>189</v>
      </c>
      <c r="D16" s="1141"/>
      <c r="E16" s="1141"/>
      <c r="F16" s="1142"/>
      <c r="G16" s="441"/>
      <c r="H16" s="442">
        <f>'Annexure 6-SC Summary '!V85</f>
        <v>11638476.020000003</v>
      </c>
      <c r="I16" s="427"/>
      <c r="J16" s="444"/>
    </row>
    <row r="17" spans="2:15" s="423" customFormat="1" ht="18" customHeight="1" thickBot="1">
      <c r="B17" s="440"/>
      <c r="C17" s="445" t="s">
        <v>190</v>
      </c>
      <c r="D17" s="445"/>
      <c r="E17" s="445"/>
      <c r="F17" s="446"/>
      <c r="G17" s="447"/>
      <c r="H17" s="448">
        <f>SUM(H14:H16)</f>
        <v>23638476.020000003</v>
      </c>
      <c r="I17" s="449"/>
    </row>
    <row r="18" spans="2:15" s="423" customFormat="1" ht="15.75" customHeight="1" thickTop="1">
      <c r="B18" s="450"/>
      <c r="C18" s="451"/>
      <c r="D18" s="451"/>
      <c r="E18" s="451"/>
      <c r="F18" s="446"/>
      <c r="G18" s="452"/>
      <c r="H18" s="453"/>
      <c r="I18" s="449"/>
      <c r="J18" s="454"/>
    </row>
    <row r="19" spans="2:15" s="423" customFormat="1" ht="15.75" customHeight="1">
      <c r="B19" s="440" t="s">
        <v>191</v>
      </c>
      <c r="C19" s="451" t="s">
        <v>192</v>
      </c>
      <c r="D19" s="451"/>
      <c r="E19" s="451"/>
      <c r="F19" s="446"/>
      <c r="G19" s="452"/>
      <c r="H19" s="453"/>
      <c r="I19" s="449"/>
      <c r="J19" s="454"/>
    </row>
    <row r="20" spans="2:15" s="423" customFormat="1" ht="15.75" customHeight="1">
      <c r="B20" s="439"/>
      <c r="C20" s="451"/>
      <c r="D20" s="451"/>
      <c r="E20" s="451"/>
      <c r="F20" s="446"/>
      <c r="G20" s="452"/>
      <c r="H20" s="453"/>
      <c r="I20" s="449"/>
      <c r="J20" s="454"/>
    </row>
    <row r="21" spans="2:15" s="423" customFormat="1" ht="15.75" customHeight="1">
      <c r="B21" s="440">
        <v>4</v>
      </c>
      <c r="C21" s="436" t="s">
        <v>193</v>
      </c>
      <c r="D21" s="436"/>
      <c r="E21" s="436"/>
      <c r="F21" s="436"/>
      <c r="G21" s="441"/>
      <c r="H21" s="442">
        <v>0</v>
      </c>
      <c r="I21" s="449"/>
      <c r="J21" s="454"/>
    </row>
    <row r="22" spans="2:15" s="423" customFormat="1" ht="15.75" customHeight="1">
      <c r="B22" s="440">
        <v>5</v>
      </c>
      <c r="C22" s="455" t="s">
        <v>194</v>
      </c>
      <c r="D22" s="435"/>
      <c r="E22" s="435"/>
      <c r="F22" s="435"/>
      <c r="G22" s="441"/>
      <c r="H22" s="442">
        <v>0</v>
      </c>
      <c r="I22" s="449"/>
      <c r="J22" s="454"/>
    </row>
    <row r="23" spans="2:15" s="423" customFormat="1" ht="15.75" customHeight="1">
      <c r="B23" s="440">
        <v>6</v>
      </c>
      <c r="C23" s="1141" t="s">
        <v>195</v>
      </c>
      <c r="D23" s="1141"/>
      <c r="E23" s="435"/>
      <c r="F23" s="435"/>
      <c r="G23" s="441"/>
      <c r="H23" s="442">
        <f>'Annexure 6-SC Summary '!Z85</f>
        <v>2579453.140272195</v>
      </c>
      <c r="I23" s="449"/>
      <c r="J23" s="454"/>
    </row>
    <row r="24" spans="2:15" s="423" customFormat="1" ht="15.75" customHeight="1" thickBot="1">
      <c r="B24" s="440">
        <v>7</v>
      </c>
      <c r="C24" s="436" t="s">
        <v>196</v>
      </c>
      <c r="D24" s="451"/>
      <c r="E24" s="451"/>
      <c r="F24" s="446"/>
      <c r="G24" s="456"/>
      <c r="H24" s="448">
        <f>SUM(H21:H23)</f>
        <v>2579453.140272195</v>
      </c>
      <c r="I24" s="449"/>
      <c r="J24" s="454"/>
    </row>
    <row r="25" spans="2:15" s="423" customFormat="1" ht="15.75" customHeight="1" thickTop="1">
      <c r="B25" s="457"/>
      <c r="C25" s="451"/>
      <c r="D25" s="451"/>
      <c r="E25" s="451"/>
      <c r="F25" s="446"/>
      <c r="G25" s="456"/>
      <c r="H25" s="453"/>
      <c r="I25" s="449"/>
      <c r="J25" s="454"/>
    </row>
    <row r="26" spans="2:15" s="423" customFormat="1" ht="14.25" customHeight="1" thickBot="1">
      <c r="B26" s="458"/>
      <c r="C26" s="459"/>
      <c r="D26" s="460"/>
      <c r="E26" s="460"/>
      <c r="F26" s="461"/>
      <c r="G26" s="462"/>
      <c r="H26" s="461"/>
      <c r="I26" s="427"/>
      <c r="J26" s="463"/>
    </row>
    <row r="27" spans="2:15" ht="10.95" customHeight="1">
      <c r="C27" s="464"/>
      <c r="D27" s="464"/>
      <c r="E27" s="464"/>
      <c r="F27" s="464"/>
      <c r="G27" s="464"/>
      <c r="H27" s="464"/>
      <c r="J27" s="469"/>
    </row>
    <row r="28" spans="2:15" s="411" customFormat="1" ht="10.95" customHeight="1">
      <c r="C28" s="464"/>
      <c r="D28" s="464"/>
      <c r="E28" s="464"/>
      <c r="F28" s="464"/>
      <c r="G28" s="464"/>
      <c r="H28" s="464"/>
      <c r="J28" s="4"/>
      <c r="K28" s="4"/>
      <c r="L28" s="4"/>
      <c r="M28" s="4"/>
      <c r="N28" s="4"/>
      <c r="O28" s="4"/>
    </row>
    <row r="29" spans="2:15" s="411" customFormat="1" ht="10.95" customHeight="1">
      <c r="C29" s="464"/>
      <c r="D29" s="464"/>
      <c r="E29" s="464"/>
      <c r="F29" s="464"/>
      <c r="G29" s="464"/>
      <c r="H29" s="464"/>
      <c r="J29" s="4"/>
      <c r="K29" s="4"/>
      <c r="L29" s="4"/>
      <c r="M29" s="4"/>
      <c r="N29" s="4"/>
      <c r="O29" s="4"/>
    </row>
    <row r="30" spans="2:15" s="411" customFormat="1" ht="10.95" customHeight="1">
      <c r="C30" s="4"/>
      <c r="D30" s="4"/>
      <c r="E30" s="4"/>
      <c r="F30" s="4"/>
      <c r="G30" s="4"/>
      <c r="H30" s="4"/>
      <c r="J30" s="4"/>
      <c r="K30" s="4"/>
      <c r="L30" s="4"/>
      <c r="M30" s="4"/>
      <c r="N30" s="4"/>
      <c r="O30" s="4"/>
    </row>
    <row r="31" spans="2:15" s="411" customFormat="1" ht="10.95" customHeight="1">
      <c r="C31" s="4"/>
      <c r="D31" s="4"/>
      <c r="E31" s="4"/>
      <c r="F31" s="4"/>
      <c r="G31" s="4"/>
      <c r="H31" s="4"/>
      <c r="J31" s="4"/>
      <c r="K31" s="4"/>
      <c r="L31" s="4"/>
      <c r="M31" s="4"/>
      <c r="N31" s="4"/>
      <c r="O31" s="4"/>
    </row>
    <row r="32" spans="2:15" s="411" customFormat="1" ht="13.8">
      <c r="C32" s="465"/>
      <c r="D32" s="4"/>
      <c r="E32" s="465"/>
      <c r="F32" s="466"/>
      <c r="G32" s="466"/>
      <c r="H32" s="466"/>
      <c r="J32" s="4"/>
      <c r="K32" s="4"/>
      <c r="L32" s="4"/>
      <c r="M32" s="4"/>
      <c r="N32" s="4"/>
      <c r="O32" s="4"/>
    </row>
    <row r="33" spans="3:15" s="411" customFormat="1" ht="13.8">
      <c r="C33" s="467" t="s">
        <v>81</v>
      </c>
      <c r="D33" s="4"/>
      <c r="E33" s="467" t="s">
        <v>197</v>
      </c>
      <c r="F33" s="4"/>
      <c r="G33" s="4"/>
      <c r="H33" s="4"/>
      <c r="J33" s="4"/>
      <c r="K33" s="4"/>
      <c r="L33" s="4"/>
      <c r="M33" s="4"/>
      <c r="N33" s="4"/>
      <c r="O33" s="4"/>
    </row>
    <row r="38" spans="3:15" s="411" customFormat="1">
      <c r="C38" s="4"/>
      <c r="D38" s="4"/>
      <c r="E38" s="4"/>
      <c r="F38" s="4"/>
      <c r="G38" s="4"/>
      <c r="H38" s="468"/>
      <c r="J38" s="4"/>
      <c r="K38" s="4"/>
      <c r="L38" s="4"/>
      <c r="M38" s="4"/>
      <c r="N38" s="4"/>
      <c r="O38" s="4"/>
    </row>
    <row r="41" spans="3:15" s="411" customFormat="1">
      <c r="C41" s="4"/>
      <c r="D41" s="4"/>
      <c r="E41" s="4"/>
      <c r="F41" s="4"/>
      <c r="G41" s="4"/>
      <c r="H41" s="469"/>
      <c r="J41" s="4"/>
      <c r="K41" s="4"/>
      <c r="L41" s="4"/>
      <c r="M41" s="4"/>
      <c r="N41" s="4"/>
      <c r="O41" s="4"/>
    </row>
    <row r="42" spans="3:15" s="411" customFormat="1">
      <c r="C42" s="4"/>
      <c r="D42" s="4"/>
      <c r="E42" s="469"/>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scale="82"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topLeftCell="A8" zoomScale="70" zoomScaleNormal="100" zoomScaleSheetLayoutView="70" workbookViewId="0">
      <selection activeCell="J27" sqref="J27"/>
    </sheetView>
  </sheetViews>
  <sheetFormatPr defaultColWidth="9.109375" defaultRowHeight="13.8"/>
  <cols>
    <col min="1" max="1" width="8" style="470" customWidth="1"/>
    <col min="2" max="2" width="11.5546875" style="470" customWidth="1"/>
    <col min="3" max="3" width="14.5546875" style="489" customWidth="1"/>
    <col min="4" max="4" width="6.44140625" style="470" customWidth="1"/>
    <col min="5" max="5" width="18.5546875" style="470" customWidth="1"/>
    <col min="6" max="6" width="24.5546875" style="470" customWidth="1"/>
    <col min="7" max="7" width="20.88671875" style="491" customWidth="1"/>
    <col min="8" max="8" width="22.33203125" style="470" customWidth="1"/>
    <col min="9" max="9" width="2.44140625" style="470" customWidth="1"/>
    <col min="10" max="10" width="23.109375" style="470" customWidth="1"/>
    <col min="11" max="11" width="14.109375" style="470" bestFit="1" customWidth="1"/>
    <col min="12" max="12" width="19.6640625" style="470" customWidth="1"/>
    <col min="13" max="13" width="12.44140625" style="470" customWidth="1"/>
    <col min="14" max="16384" width="9.109375" style="470"/>
  </cols>
  <sheetData>
    <row r="1" spans="1:12" ht="21.75" customHeight="1">
      <c r="A1" s="1145" t="s">
        <v>818</v>
      </c>
      <c r="B1" s="1146"/>
      <c r="C1" s="1146"/>
      <c r="D1" s="1146"/>
      <c r="E1" s="1146"/>
      <c r="F1" s="1146"/>
      <c r="G1" s="1146"/>
      <c r="H1" s="1147"/>
    </row>
    <row r="2" spans="1:12" ht="17.25" customHeight="1">
      <c r="A2" s="471" t="s">
        <v>198</v>
      </c>
      <c r="B2" s="472"/>
      <c r="C2" s="473" t="s">
        <v>199</v>
      </c>
      <c r="D2" s="473"/>
      <c r="E2" s="473"/>
      <c r="F2" s="473"/>
      <c r="G2" s="473"/>
      <c r="H2" s="474"/>
    </row>
    <row r="3" spans="1:12" ht="18" customHeight="1">
      <c r="A3" s="471" t="s">
        <v>200</v>
      </c>
      <c r="B3" s="472"/>
      <c r="C3" s="473" t="s">
        <v>0</v>
      </c>
      <c r="D3" s="473"/>
      <c r="E3" s="473"/>
      <c r="F3" s="473"/>
      <c r="G3" s="473"/>
      <c r="H3" s="474"/>
    </row>
    <row r="4" spans="1:12" ht="15.75" customHeight="1">
      <c r="A4" s="475" t="s">
        <v>201</v>
      </c>
      <c r="B4" s="476"/>
      <c r="C4" s="477" t="s">
        <v>95</v>
      </c>
      <c r="D4" s="477"/>
      <c r="E4" s="477"/>
      <c r="F4" s="477"/>
      <c r="G4" s="478"/>
      <c r="H4" s="479"/>
    </row>
    <row r="5" spans="1:12" s="445" customFormat="1" ht="21.75" customHeight="1">
      <c r="A5" s="480" t="s">
        <v>202</v>
      </c>
      <c r="B5" s="480"/>
      <c r="C5" s="481" t="str">
        <f>'KCE-PC 11'!G2</f>
        <v>KCE-11</v>
      </c>
      <c r="D5" s="1148" t="s">
        <v>203</v>
      </c>
      <c r="E5" s="1149"/>
      <c r="F5" s="482">
        <f>'KCE-PC 11'!G21</f>
        <v>194951735</v>
      </c>
      <c r="G5" s="483" t="s">
        <v>204</v>
      </c>
      <c r="H5" s="484">
        <f ca="1">'KCE-PC 11'!G3</f>
        <v>44949</v>
      </c>
      <c r="J5" s="470"/>
    </row>
    <row r="6" spans="1:12" ht="18" customHeight="1">
      <c r="A6" s="480" t="s">
        <v>205</v>
      </c>
      <c r="B6" s="480"/>
      <c r="C6" s="1150" t="s">
        <v>206</v>
      </c>
      <c r="D6" s="1151"/>
      <c r="E6" s="1151"/>
      <c r="F6" s="485"/>
      <c r="G6" s="486"/>
      <c r="H6" s="487"/>
    </row>
    <row r="7" spans="1:12" ht="14.25" hidden="1" customHeight="1">
      <c r="A7" s="488"/>
      <c r="B7" s="488"/>
      <c r="D7" s="490"/>
      <c r="E7" s="488"/>
      <c r="H7" s="490"/>
    </row>
    <row r="8" spans="1:12" s="445" customFormat="1" ht="31.5" customHeight="1">
      <c r="A8" s="492" t="s">
        <v>207</v>
      </c>
      <c r="B8" s="492" t="s">
        <v>208</v>
      </c>
      <c r="C8" s="1152" t="s">
        <v>209</v>
      </c>
      <c r="D8" s="1153"/>
      <c r="E8" s="1152" t="s">
        <v>210</v>
      </c>
      <c r="F8" s="1153"/>
      <c r="G8" s="493" t="s">
        <v>211</v>
      </c>
      <c r="H8" s="493" t="s">
        <v>212</v>
      </c>
      <c r="J8" s="470"/>
    </row>
    <row r="9" spans="1:12" s="445" customFormat="1" ht="28.5" customHeight="1">
      <c r="A9" s="494">
        <v>1</v>
      </c>
      <c r="B9" s="495" t="s">
        <v>213</v>
      </c>
      <c r="C9" s="1143" t="s">
        <v>214</v>
      </c>
      <c r="D9" s="1144"/>
      <c r="E9" s="1143" t="s">
        <v>187</v>
      </c>
      <c r="F9" s="1144"/>
      <c r="G9" s="496">
        <v>6000000</v>
      </c>
      <c r="H9" s="496">
        <v>6000000</v>
      </c>
      <c r="J9" s="470"/>
      <c r="L9" s="497"/>
    </row>
    <row r="10" spans="1:12" s="445" customFormat="1" ht="21" customHeight="1">
      <c r="A10" s="494">
        <v>2</v>
      </c>
      <c r="B10" s="495" t="s">
        <v>215</v>
      </c>
      <c r="C10" s="1143" t="s">
        <v>216</v>
      </c>
      <c r="D10" s="1144"/>
      <c r="E10" s="1143" t="s">
        <v>188</v>
      </c>
      <c r="F10" s="1144"/>
      <c r="G10" s="496">
        <f>H10</f>
        <v>6000000</v>
      </c>
      <c r="H10" s="496">
        <v>6000000</v>
      </c>
      <c r="J10" s="470"/>
      <c r="L10" s="497"/>
    </row>
    <row r="11" spans="1:12" s="445" customFormat="1" ht="21" customHeight="1">
      <c r="A11" s="494">
        <v>3</v>
      </c>
      <c r="B11" s="495" t="s">
        <v>217</v>
      </c>
      <c r="C11" s="1143" t="s">
        <v>218</v>
      </c>
      <c r="D11" s="1144"/>
      <c r="E11" s="1143" t="s">
        <v>219</v>
      </c>
      <c r="F11" s="1144"/>
      <c r="G11" s="496">
        <v>2104452.1199999992</v>
      </c>
      <c r="H11" s="496">
        <v>2104452.1199999992</v>
      </c>
      <c r="J11" s="470"/>
      <c r="L11" s="497"/>
    </row>
    <row r="12" spans="1:12" s="445" customFormat="1" ht="21" customHeight="1">
      <c r="A12" s="494">
        <v>4</v>
      </c>
      <c r="B12" s="495" t="s">
        <v>220</v>
      </c>
      <c r="C12" s="1143" t="s">
        <v>221</v>
      </c>
      <c r="D12" s="1144"/>
      <c r="E12" s="1143" t="s">
        <v>222</v>
      </c>
      <c r="F12" s="1144"/>
      <c r="G12" s="496">
        <v>11118319.199999999</v>
      </c>
      <c r="H12" s="496">
        <v>11118319.199999999</v>
      </c>
      <c r="J12" s="470"/>
      <c r="L12" s="497"/>
    </row>
    <row r="13" spans="1:12" s="445" customFormat="1" ht="21" customHeight="1">
      <c r="A13" s="494">
        <v>5</v>
      </c>
      <c r="B13" s="495" t="s">
        <v>223</v>
      </c>
      <c r="C13" s="1143" t="s">
        <v>224</v>
      </c>
      <c r="D13" s="1144"/>
      <c r="E13" s="1143" t="s">
        <v>225</v>
      </c>
      <c r="F13" s="1144"/>
      <c r="G13" s="496">
        <v>11047382.213296503</v>
      </c>
      <c r="H13" s="496">
        <v>11047382.213296503</v>
      </c>
      <c r="J13" s="470"/>
      <c r="L13" s="497"/>
    </row>
    <row r="14" spans="1:12" s="445" customFormat="1" ht="21" customHeight="1">
      <c r="A14" s="494">
        <v>6</v>
      </c>
      <c r="B14" s="495" t="s">
        <v>226</v>
      </c>
      <c r="C14" s="1143" t="s">
        <v>227</v>
      </c>
      <c r="D14" s="1144"/>
      <c r="E14" s="1143" t="s">
        <v>228</v>
      </c>
      <c r="F14" s="1144"/>
      <c r="G14" s="498">
        <v>12807977.889048107</v>
      </c>
      <c r="H14" s="498">
        <v>12807977.889048107</v>
      </c>
      <c r="J14" s="470"/>
      <c r="L14" s="497"/>
    </row>
    <row r="15" spans="1:12" s="445" customFormat="1" ht="21" customHeight="1">
      <c r="A15" s="494">
        <v>7</v>
      </c>
      <c r="B15" s="495" t="s">
        <v>229</v>
      </c>
      <c r="C15" s="1143" t="s">
        <v>230</v>
      </c>
      <c r="D15" s="1144"/>
      <c r="E15" s="1143" t="s">
        <v>231</v>
      </c>
      <c r="F15" s="1144"/>
      <c r="G15" s="496">
        <v>19982204.029351041</v>
      </c>
      <c r="H15" s="498">
        <v>19982204.029351041</v>
      </c>
      <c r="J15" s="470"/>
      <c r="L15" s="497"/>
    </row>
    <row r="16" spans="1:12" s="445" customFormat="1" ht="21" customHeight="1">
      <c r="A16" s="494">
        <v>8</v>
      </c>
      <c r="B16" s="495" t="s">
        <v>232</v>
      </c>
      <c r="C16" s="1143" t="s">
        <v>233</v>
      </c>
      <c r="D16" s="1144"/>
      <c r="E16" s="1143" t="s">
        <v>234</v>
      </c>
      <c r="F16" s="1144"/>
      <c r="G16" s="496">
        <v>15491078.947276756</v>
      </c>
      <c r="H16" s="496">
        <v>15491078.947276756</v>
      </c>
      <c r="J16" s="470"/>
      <c r="L16" s="497"/>
    </row>
    <row r="17" spans="1:12" s="445" customFormat="1" ht="21" customHeight="1">
      <c r="A17" s="494">
        <v>9</v>
      </c>
      <c r="B17" s="495" t="s">
        <v>741</v>
      </c>
      <c r="C17" s="1143" t="s">
        <v>740</v>
      </c>
      <c r="D17" s="1144"/>
      <c r="E17" s="1143" t="s">
        <v>739</v>
      </c>
      <c r="F17" s="1144"/>
      <c r="G17" s="496">
        <v>19804921.867022648</v>
      </c>
      <c r="H17" s="496">
        <v>19804921.867022648</v>
      </c>
      <c r="J17" s="470"/>
      <c r="L17" s="497"/>
    </row>
    <row r="18" spans="1:12" s="445" customFormat="1" ht="21" customHeight="1">
      <c r="A18" s="494">
        <v>10</v>
      </c>
      <c r="B18" s="495" t="s">
        <v>850</v>
      </c>
      <c r="C18" s="1143" t="s">
        <v>851</v>
      </c>
      <c r="D18" s="1144"/>
      <c r="E18" s="1143" t="s">
        <v>849</v>
      </c>
      <c r="F18" s="1144"/>
      <c r="G18" s="496">
        <f>H18</f>
        <v>21126467.640000001</v>
      </c>
      <c r="H18" s="496">
        <v>21126467.640000001</v>
      </c>
      <c r="J18" s="470"/>
      <c r="L18" s="497"/>
    </row>
    <row r="19" spans="1:12" ht="21" customHeight="1">
      <c r="A19" s="494">
        <v>11</v>
      </c>
      <c r="B19" s="495" t="s">
        <v>895</v>
      </c>
      <c r="C19" s="1143" t="s">
        <v>896</v>
      </c>
      <c r="D19" s="1144"/>
      <c r="E19" s="1143" t="s">
        <v>897</v>
      </c>
      <c r="F19" s="1144"/>
      <c r="G19" s="496"/>
      <c r="H19" s="496">
        <f>+'KCE-PC 11'!G46</f>
        <v>19971554.879042581</v>
      </c>
      <c r="K19" s="445"/>
      <c r="L19" s="497"/>
    </row>
    <row r="20" spans="1:12" ht="21" customHeight="1">
      <c r="A20" s="499"/>
      <c r="B20" s="500"/>
      <c r="C20" s="1143"/>
      <c r="D20" s="1144"/>
      <c r="E20" s="1143"/>
      <c r="F20" s="1144"/>
      <c r="G20" s="496"/>
      <c r="H20" s="496"/>
      <c r="K20" s="445"/>
    </row>
    <row r="21" spans="1:12" ht="21" customHeight="1">
      <c r="A21" s="499"/>
      <c r="B21" s="500"/>
      <c r="C21" s="1143"/>
      <c r="D21" s="1144"/>
      <c r="E21" s="1143"/>
      <c r="F21" s="1144"/>
      <c r="G21" s="496"/>
      <c r="H21" s="496"/>
    </row>
    <row r="22" spans="1:12" ht="21" customHeight="1">
      <c r="A22" s="499"/>
      <c r="B22" s="500"/>
      <c r="C22" s="1143"/>
      <c r="D22" s="1144"/>
      <c r="E22" s="1143"/>
      <c r="F22" s="1144"/>
      <c r="G22" s="496"/>
      <c r="H22" s="496"/>
    </row>
    <row r="23" spans="1:12" ht="21" customHeight="1">
      <c r="A23" s="499"/>
      <c r="B23" s="500"/>
      <c r="C23" s="1143"/>
      <c r="D23" s="1144"/>
      <c r="E23" s="1143"/>
      <c r="F23" s="1144"/>
      <c r="G23" s="501"/>
      <c r="H23" s="501"/>
    </row>
    <row r="24" spans="1:12" ht="21" customHeight="1">
      <c r="A24" s="499"/>
      <c r="B24" s="500"/>
      <c r="C24" s="1143"/>
      <c r="D24" s="1144"/>
      <c r="E24" s="1143"/>
      <c r="F24" s="1144"/>
      <c r="G24" s="501"/>
      <c r="H24" s="501"/>
    </row>
    <row r="25" spans="1:12" ht="21" customHeight="1">
      <c r="A25" s="499"/>
      <c r="B25" s="500"/>
      <c r="C25" s="1143"/>
      <c r="D25" s="1144"/>
      <c r="E25" s="1143"/>
      <c r="F25" s="1144"/>
      <c r="G25" s="501"/>
      <c r="H25" s="501"/>
    </row>
    <row r="26" spans="1:12" ht="21" customHeight="1">
      <c r="A26" s="499"/>
      <c r="B26" s="500"/>
      <c r="C26" s="1143"/>
      <c r="D26" s="1144"/>
      <c r="E26" s="1143"/>
      <c r="F26" s="1144"/>
      <c r="G26" s="496"/>
      <c r="H26" s="496"/>
    </row>
    <row r="27" spans="1:12" ht="21" customHeight="1">
      <c r="A27" s="499"/>
      <c r="B27" s="500"/>
      <c r="C27" s="1143"/>
      <c r="D27" s="1144"/>
      <c r="E27" s="1143"/>
      <c r="F27" s="1144"/>
      <c r="G27" s="496"/>
      <c r="H27" s="496"/>
    </row>
    <row r="28" spans="1:12" ht="21" customHeight="1">
      <c r="A28" s="499"/>
      <c r="B28" s="500"/>
      <c r="C28" s="1143"/>
      <c r="D28" s="1144"/>
      <c r="E28" s="1143"/>
      <c r="F28" s="1144"/>
      <c r="G28" s="496"/>
      <c r="H28" s="496"/>
    </row>
    <row r="29" spans="1:12" ht="21" customHeight="1">
      <c r="A29" s="499"/>
      <c r="B29" s="500"/>
      <c r="C29" s="1143"/>
      <c r="D29" s="1144"/>
      <c r="E29" s="1143"/>
      <c r="F29" s="1144"/>
      <c r="G29" s="496"/>
      <c r="H29" s="496"/>
    </row>
    <row r="30" spans="1:12" ht="21" customHeight="1">
      <c r="A30" s="499"/>
      <c r="B30" s="500"/>
      <c r="C30" s="1143"/>
      <c r="D30" s="1144"/>
      <c r="E30" s="1143"/>
      <c r="F30" s="1144"/>
      <c r="G30" s="496"/>
      <c r="H30" s="496"/>
    </row>
    <row r="31" spans="1:12" ht="21" customHeight="1">
      <c r="A31" s="499"/>
      <c r="B31" s="500"/>
      <c r="C31" s="1143"/>
      <c r="D31" s="1144"/>
      <c r="E31" s="1143"/>
      <c r="F31" s="1144"/>
      <c r="G31" s="496"/>
      <c r="H31" s="496"/>
    </row>
    <row r="32" spans="1:12" ht="21" customHeight="1">
      <c r="A32" s="499"/>
      <c r="B32" s="500"/>
      <c r="C32" s="1143"/>
      <c r="D32" s="1144"/>
      <c r="E32" s="1143"/>
      <c r="F32" s="1144"/>
      <c r="G32" s="496"/>
      <c r="H32" s="496"/>
    </row>
    <row r="33" spans="1:12" ht="21" customHeight="1">
      <c r="A33" s="499"/>
      <c r="B33" s="500"/>
      <c r="C33" s="1143"/>
      <c r="D33" s="1144"/>
      <c r="E33" s="1143"/>
      <c r="F33" s="1144"/>
      <c r="G33" s="496"/>
      <c r="H33" s="496"/>
    </row>
    <row r="34" spans="1:12" ht="21" customHeight="1">
      <c r="A34" s="499"/>
      <c r="B34" s="500"/>
      <c r="C34" s="1143"/>
      <c r="D34" s="1144"/>
      <c r="E34" s="1143"/>
      <c r="F34" s="1144"/>
      <c r="G34" s="496"/>
      <c r="H34" s="496"/>
    </row>
    <row r="35" spans="1:12" ht="21" customHeight="1">
      <c r="A35" s="499"/>
      <c r="B35" s="500"/>
      <c r="C35" s="1143"/>
      <c r="D35" s="1144"/>
      <c r="E35" s="1143"/>
      <c r="F35" s="1144"/>
      <c r="G35" s="496"/>
      <c r="H35" s="496"/>
    </row>
    <row r="36" spans="1:12" ht="21" customHeight="1">
      <c r="A36" s="499"/>
      <c r="B36" s="500"/>
      <c r="C36" s="1143"/>
      <c r="D36" s="1144"/>
      <c r="E36" s="1143"/>
      <c r="F36" s="1144"/>
      <c r="G36" s="496"/>
      <c r="H36" s="496"/>
    </row>
    <row r="37" spans="1:12" ht="21" customHeight="1">
      <c r="A37" s="499"/>
      <c r="B37" s="500"/>
      <c r="C37" s="1143"/>
      <c r="D37" s="1144"/>
      <c r="E37" s="1143"/>
      <c r="F37" s="1144"/>
      <c r="G37" s="496"/>
      <c r="H37" s="496"/>
    </row>
    <row r="38" spans="1:12" ht="21" customHeight="1">
      <c r="A38" s="499"/>
      <c r="B38" s="500"/>
      <c r="C38" s="1143"/>
      <c r="D38" s="1144"/>
      <c r="E38" s="1143"/>
      <c r="F38" s="1144"/>
      <c r="G38" s="496"/>
      <c r="H38" s="496"/>
    </row>
    <row r="39" spans="1:12" ht="21" customHeight="1">
      <c r="A39" s="499"/>
      <c r="B39" s="500"/>
      <c r="C39" s="1143"/>
      <c r="D39" s="1144"/>
      <c r="E39" s="1143"/>
      <c r="F39" s="1144"/>
      <c r="G39" s="496"/>
      <c r="H39" s="496"/>
    </row>
    <row r="40" spans="1:12" ht="21" customHeight="1">
      <c r="A40" s="499"/>
      <c r="B40" s="500"/>
      <c r="C40" s="1143"/>
      <c r="D40" s="1144"/>
      <c r="E40" s="1143"/>
      <c r="F40" s="1144"/>
      <c r="G40" s="496"/>
      <c r="H40" s="496"/>
    </row>
    <row r="41" spans="1:12" ht="27" customHeight="1">
      <c r="A41" s="502" t="s">
        <v>235</v>
      </c>
      <c r="B41" s="503"/>
      <c r="C41" s="503"/>
      <c r="D41" s="503"/>
      <c r="E41" s="503"/>
      <c r="F41" s="504"/>
      <c r="G41" s="505">
        <f>SUM(G9:G40)</f>
        <v>125482803.90599506</v>
      </c>
      <c r="H41" s="505">
        <f>SUM(H9:H40)</f>
        <v>145454358.78503764</v>
      </c>
      <c r="L41" s="506"/>
    </row>
    <row r="42" spans="1:12">
      <c r="B42" s="489"/>
      <c r="H42" s="507"/>
    </row>
    <row r="43" spans="1:12" s="445" customFormat="1" ht="19.5" customHeight="1">
      <c r="B43" s="452"/>
      <c r="C43" s="508"/>
      <c r="G43" s="509"/>
      <c r="H43" s="510"/>
    </row>
    <row r="44" spans="1:12" s="445" customFormat="1" ht="11.25" customHeight="1">
      <c r="B44" s="452"/>
      <c r="C44" s="511"/>
      <c r="D44" s="452"/>
      <c r="E44" s="452"/>
      <c r="G44" s="509"/>
    </row>
    <row r="45" spans="1:12">
      <c r="G45" s="509"/>
    </row>
    <row r="46" spans="1:12" ht="7.5" customHeight="1"/>
    <row r="47" spans="1:12">
      <c r="B47" s="489"/>
    </row>
    <row r="48" spans="1:12" ht="6" customHeight="1">
      <c r="B48" s="489"/>
    </row>
    <row r="49" spans="2:7">
      <c r="B49" s="489"/>
    </row>
    <row r="50" spans="2:7" ht="6" customHeight="1">
      <c r="B50" s="489"/>
    </row>
    <row r="51" spans="2:7">
      <c r="B51" s="489"/>
      <c r="C51" s="512"/>
    </row>
    <row r="53" spans="2:7">
      <c r="G53" s="509"/>
    </row>
    <row r="54" spans="2:7" ht="6.75" customHeight="1"/>
    <row r="55" spans="2:7">
      <c r="B55" s="489"/>
    </row>
    <row r="56" spans="2:7" ht="6" customHeight="1">
      <c r="B56" s="489"/>
    </row>
    <row r="57" spans="2:7">
      <c r="B57" s="489"/>
    </row>
    <row r="58" spans="2:7" ht="6" customHeight="1">
      <c r="G58" s="470"/>
    </row>
    <row r="59" spans="2:7">
      <c r="C59" s="512"/>
      <c r="G59" s="470"/>
    </row>
  </sheetData>
  <mergeCells count="69">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 ref="E13:F13"/>
    <mergeCell ref="C14:D14"/>
    <mergeCell ref="E14:F14"/>
    <mergeCell ref="C15:D15"/>
    <mergeCell ref="E15:F15"/>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5:D35"/>
    <mergeCell ref="E35:F35"/>
    <mergeCell ref="C30:D30"/>
    <mergeCell ref="E30:F30"/>
    <mergeCell ref="C31:D31"/>
    <mergeCell ref="E31:F31"/>
    <mergeCell ref="C32:D32"/>
    <mergeCell ref="E32:F32"/>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s>
  <phoneticPr fontId="90" type="noConversion"/>
  <pageMargins left="0.7" right="0.7" top="0.75" bottom="0.75" header="0.3" footer="0.3"/>
  <pageSetup scale="71"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18"/>
  <sheetViews>
    <sheetView view="pageBreakPreview" zoomScaleNormal="100" zoomScaleSheetLayoutView="100" workbookViewId="0">
      <selection activeCell="E9" sqref="E9"/>
    </sheetView>
  </sheetViews>
  <sheetFormatPr defaultRowHeight="14.4"/>
  <cols>
    <col min="1" max="1" width="1.33203125" customWidth="1"/>
    <col min="2" max="2" width="29.5546875" customWidth="1"/>
    <col min="3" max="5" width="19.44140625" customWidth="1"/>
    <col min="6" max="6" width="12.33203125" customWidth="1"/>
    <col min="7" max="7" width="19.6640625" style="74" customWidth="1"/>
    <col min="8" max="8" width="14.6640625" style="336" customWidth="1"/>
    <col min="9" max="9" width="11.109375" style="74" customWidth="1"/>
    <col min="10" max="10" width="14.6640625" style="336" customWidth="1"/>
  </cols>
  <sheetData>
    <row r="2" spans="1:10" ht="16.2">
      <c r="A2" s="561" t="s">
        <v>0</v>
      </c>
    </row>
    <row r="3" spans="1:10" ht="16.2">
      <c r="A3" s="561" t="s">
        <v>822</v>
      </c>
      <c r="F3" s="562"/>
    </row>
    <row r="5" spans="1:10" s="100" customFormat="1">
      <c r="B5" s="100" t="s">
        <v>309</v>
      </c>
      <c r="C5" s="563"/>
      <c r="D5" s="563"/>
      <c r="E5" s="738"/>
      <c r="F5" s="563"/>
      <c r="G5" s="563"/>
      <c r="H5" s="345"/>
      <c r="I5" s="563"/>
      <c r="J5" s="345"/>
    </row>
    <row r="6" spans="1:10" ht="15" thickBot="1"/>
    <row r="7" spans="1:10" s="100" customFormat="1">
      <c r="B7" s="564" t="s">
        <v>310</v>
      </c>
      <c r="C7" s="294" t="s">
        <v>142</v>
      </c>
      <c r="D7" s="565" t="s">
        <v>165</v>
      </c>
      <c r="E7" s="551" t="s">
        <v>144</v>
      </c>
      <c r="I7" s="563"/>
      <c r="J7" s="345"/>
    </row>
    <row r="8" spans="1:10">
      <c r="B8" s="566" t="s">
        <v>311</v>
      </c>
      <c r="C8" s="567">
        <v>8249552.4399962351</v>
      </c>
      <c r="D8" s="568">
        <f>'Civil Staff Cost Dec 22'!AM117</f>
        <v>1299435.1818181816</v>
      </c>
      <c r="E8" s="569">
        <f>SUM(C8:D8)</f>
        <v>9548987.6218144167</v>
      </c>
    </row>
    <row r="9" spans="1:10" ht="15" thickBot="1">
      <c r="B9" s="570" t="s">
        <v>312</v>
      </c>
      <c r="C9" s="571">
        <v>6303944.1655483879</v>
      </c>
      <c r="D9" s="572">
        <f>E9-C9</f>
        <v>2284334.0116129015</v>
      </c>
      <c r="E9" s="992">
        <f>+'KMEP -IPC'!L12</f>
        <v>8588278.1771612894</v>
      </c>
    </row>
    <row r="10" spans="1:10">
      <c r="D10" s="74"/>
      <c r="E10" s="336"/>
    </row>
    <row r="11" spans="1:10">
      <c r="E11" s="2"/>
    </row>
    <row r="13" spans="1:10">
      <c r="E13" s="55"/>
    </row>
    <row r="14" spans="1:10">
      <c r="E14" s="2"/>
    </row>
    <row r="16" spans="1:10">
      <c r="E16" s="2"/>
    </row>
    <row r="18" spans="5:5">
      <c r="E18" s="55"/>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7E115-EA4B-41B0-8DC7-E50673D59AAC}">
  <sheetPr>
    <pageSetUpPr fitToPage="1"/>
  </sheetPr>
  <dimension ref="A1:AO121"/>
  <sheetViews>
    <sheetView showGridLines="0" view="pageBreakPreview" zoomScale="85" zoomScaleNormal="100" zoomScaleSheetLayoutView="85" workbookViewId="0">
      <pane xSplit="4" ySplit="7" topLeftCell="AC99" activePane="bottomRight" state="frozen"/>
      <selection pane="topRight" activeCell="E1" sqref="E1"/>
      <selection pane="bottomLeft" activeCell="A8" sqref="A8"/>
      <selection pane="bottomRight" activeCell="AM114" sqref="AM114"/>
    </sheetView>
  </sheetViews>
  <sheetFormatPr defaultColWidth="8.88671875" defaultRowHeight="14.4"/>
  <cols>
    <col min="1" max="1" width="6.5546875" style="931" customWidth="1"/>
    <col min="2" max="2" width="32.5546875" style="594" customWidth="1"/>
    <col min="3" max="3" width="20.5546875" style="594" customWidth="1"/>
    <col min="4" max="4" width="10.5546875" style="741" customWidth="1"/>
    <col min="5" max="35" width="5.44140625" style="594" customWidth="1"/>
    <col min="36" max="37" width="10.5546875" style="594" customWidth="1"/>
    <col min="38" max="38" width="14.5546875" style="573" customWidth="1"/>
    <col min="39" max="39" width="19" style="594" customWidth="1"/>
    <col min="40" max="40" width="8.88671875" style="982"/>
    <col min="41" max="41" width="12.5546875" style="594" bestFit="1" customWidth="1"/>
    <col min="42" max="16384" width="8.88671875" style="594"/>
  </cols>
  <sheetData>
    <row r="1" spans="1:40">
      <c r="A1" s="740" t="s">
        <v>313</v>
      </c>
      <c r="AH1" s="742" t="s">
        <v>314</v>
      </c>
      <c r="AI1" s="742" t="s">
        <v>314</v>
      </c>
      <c r="AJ1" s="594">
        <v>31</v>
      </c>
    </row>
    <row r="2" spans="1:40">
      <c r="A2" s="740" t="s">
        <v>315</v>
      </c>
      <c r="AH2" s="742"/>
      <c r="AI2" s="742" t="s">
        <v>316</v>
      </c>
      <c r="AJ2" s="743">
        <v>9</v>
      </c>
    </row>
    <row r="3" spans="1:40">
      <c r="A3" s="740"/>
      <c r="AH3" s="742" t="s">
        <v>317</v>
      </c>
      <c r="AI3" s="742" t="s">
        <v>317</v>
      </c>
      <c r="AJ3" s="594">
        <f>+AJ1-AJ2</f>
        <v>22</v>
      </c>
    </row>
    <row r="4" spans="1:40">
      <c r="A4" s="744" t="s">
        <v>916</v>
      </c>
      <c r="B4" s="743"/>
      <c r="C4" s="745"/>
      <c r="D4" s="746"/>
      <c r="E4" s="743"/>
      <c r="F4" s="743"/>
      <c r="G4" s="743"/>
      <c r="H4" s="743"/>
      <c r="I4" s="743"/>
      <c r="J4" s="743"/>
      <c r="K4" s="743"/>
      <c r="L4" s="743"/>
      <c r="M4" s="743"/>
      <c r="N4" s="743"/>
      <c r="O4" s="743"/>
      <c r="P4" s="743"/>
      <c r="Q4" s="743"/>
      <c r="R4" s="743"/>
      <c r="S4" s="743"/>
      <c r="T4" s="743"/>
      <c r="U4" s="743"/>
      <c r="V4" s="743"/>
      <c r="W4" s="743"/>
      <c r="X4" s="743"/>
      <c r="Y4" s="743"/>
      <c r="Z4" s="743"/>
      <c r="AA4" s="743"/>
      <c r="AB4" s="743"/>
      <c r="AC4" s="743"/>
      <c r="AD4" s="743"/>
      <c r="AE4" s="743"/>
      <c r="AF4" s="743"/>
      <c r="AG4" s="743"/>
      <c r="AH4" s="743"/>
      <c r="AI4" s="743"/>
      <c r="AJ4" s="743"/>
      <c r="AK4" s="743"/>
      <c r="AL4" s="574"/>
      <c r="AM4" s="743"/>
    </row>
    <row r="6" spans="1:40" ht="16.350000000000001" customHeight="1">
      <c r="A6" s="1159"/>
      <c r="B6" s="1161" t="s">
        <v>318</v>
      </c>
      <c r="C6" s="1161" t="s">
        <v>319</v>
      </c>
      <c r="D6" s="1161" t="s">
        <v>320</v>
      </c>
      <c r="E6" s="1163">
        <v>44896</v>
      </c>
      <c r="F6" s="1164"/>
      <c r="G6" s="1164"/>
      <c r="H6" s="1164"/>
      <c r="I6" s="1164"/>
      <c r="J6" s="1164"/>
      <c r="K6" s="1164"/>
      <c r="L6" s="1164"/>
      <c r="M6" s="1164"/>
      <c r="N6" s="1164"/>
      <c r="O6" s="1164"/>
      <c r="P6" s="1164"/>
      <c r="Q6" s="1164"/>
      <c r="R6" s="1164"/>
      <c r="S6" s="1164"/>
      <c r="T6" s="1164"/>
      <c r="U6" s="1164"/>
      <c r="V6" s="1164"/>
      <c r="W6" s="1164"/>
      <c r="X6" s="1164"/>
      <c r="Y6" s="1164"/>
      <c r="Z6" s="1164"/>
      <c r="AA6" s="1164"/>
      <c r="AB6" s="1164"/>
      <c r="AC6" s="1164"/>
      <c r="AD6" s="1164"/>
      <c r="AE6" s="1164"/>
      <c r="AF6" s="1164"/>
      <c r="AG6" s="1164"/>
      <c r="AH6" s="1164"/>
      <c r="AI6" s="1164"/>
      <c r="AJ6" s="1154" t="s">
        <v>321</v>
      </c>
      <c r="AK6" s="1154" t="s">
        <v>322</v>
      </c>
      <c r="AL6" s="1156" t="s">
        <v>323</v>
      </c>
      <c r="AM6" s="1154" t="s">
        <v>324</v>
      </c>
    </row>
    <row r="7" spans="1:40" s="747" customFormat="1" ht="16.350000000000001" customHeight="1">
      <c r="A7" s="1160"/>
      <c r="B7" s="1162"/>
      <c r="C7" s="1162"/>
      <c r="D7" s="1162"/>
      <c r="E7" s="575">
        <v>1</v>
      </c>
      <c r="F7" s="575">
        <f>+E7+1</f>
        <v>2</v>
      </c>
      <c r="G7" s="576">
        <f t="shared" ref="G7:AI7" si="0">+F7+1</f>
        <v>3</v>
      </c>
      <c r="H7" s="576">
        <f t="shared" si="0"/>
        <v>4</v>
      </c>
      <c r="I7" s="575">
        <f t="shared" si="0"/>
        <v>5</v>
      </c>
      <c r="J7" s="575">
        <f t="shared" si="0"/>
        <v>6</v>
      </c>
      <c r="K7" s="575">
        <f t="shared" si="0"/>
        <v>7</v>
      </c>
      <c r="L7" s="575">
        <f t="shared" si="0"/>
        <v>8</v>
      </c>
      <c r="M7" s="575">
        <f t="shared" si="0"/>
        <v>9</v>
      </c>
      <c r="N7" s="576">
        <f t="shared" si="0"/>
        <v>10</v>
      </c>
      <c r="O7" s="576">
        <f t="shared" si="0"/>
        <v>11</v>
      </c>
      <c r="P7" s="575">
        <f t="shared" si="0"/>
        <v>12</v>
      </c>
      <c r="Q7" s="575">
        <f t="shared" si="0"/>
        <v>13</v>
      </c>
      <c r="R7" s="575">
        <f t="shared" si="0"/>
        <v>14</v>
      </c>
      <c r="S7" s="575">
        <f t="shared" si="0"/>
        <v>15</v>
      </c>
      <c r="T7" s="575">
        <f t="shared" si="0"/>
        <v>16</v>
      </c>
      <c r="U7" s="576">
        <f t="shared" si="0"/>
        <v>17</v>
      </c>
      <c r="V7" s="576">
        <f t="shared" si="0"/>
        <v>18</v>
      </c>
      <c r="W7" s="575">
        <f t="shared" si="0"/>
        <v>19</v>
      </c>
      <c r="X7" s="575">
        <f t="shared" si="0"/>
        <v>20</v>
      </c>
      <c r="Y7" s="575">
        <f t="shared" si="0"/>
        <v>21</v>
      </c>
      <c r="Z7" s="575">
        <f t="shared" si="0"/>
        <v>22</v>
      </c>
      <c r="AA7" s="575">
        <f t="shared" si="0"/>
        <v>23</v>
      </c>
      <c r="AB7" s="576">
        <f t="shared" si="0"/>
        <v>24</v>
      </c>
      <c r="AC7" s="576">
        <f t="shared" si="0"/>
        <v>25</v>
      </c>
      <c r="AD7" s="575">
        <f t="shared" si="0"/>
        <v>26</v>
      </c>
      <c r="AE7" s="575">
        <f t="shared" si="0"/>
        <v>27</v>
      </c>
      <c r="AF7" s="575">
        <f t="shared" si="0"/>
        <v>28</v>
      </c>
      <c r="AG7" s="575">
        <f t="shared" si="0"/>
        <v>29</v>
      </c>
      <c r="AH7" s="575">
        <f t="shared" si="0"/>
        <v>30</v>
      </c>
      <c r="AI7" s="576">
        <f t="shared" si="0"/>
        <v>31</v>
      </c>
      <c r="AJ7" s="1155"/>
      <c r="AK7" s="1155"/>
      <c r="AL7" s="1157"/>
      <c r="AM7" s="1155"/>
    </row>
    <row r="8" spans="1:40" s="754" customFormat="1" ht="15" customHeight="1">
      <c r="A8" s="748"/>
      <c r="B8" s="749"/>
      <c r="C8" s="749"/>
      <c r="D8" s="750"/>
      <c r="E8" s="748"/>
      <c r="F8" s="748"/>
      <c r="G8" s="751"/>
      <c r="H8" s="751"/>
      <c r="I8" s="748"/>
      <c r="J8" s="748"/>
      <c r="K8" s="748"/>
      <c r="L8" s="748"/>
      <c r="M8" s="748"/>
      <c r="N8" s="751"/>
      <c r="O8" s="751"/>
      <c r="P8" s="748"/>
      <c r="Q8" s="748"/>
      <c r="R8" s="748"/>
      <c r="S8" s="748"/>
      <c r="T8" s="748"/>
      <c r="U8" s="751"/>
      <c r="V8" s="751"/>
      <c r="W8" s="748"/>
      <c r="X8" s="748"/>
      <c r="Y8" s="748"/>
      <c r="Z8" s="748"/>
      <c r="AA8" s="748"/>
      <c r="AB8" s="751"/>
      <c r="AC8" s="751"/>
      <c r="AD8" s="748"/>
      <c r="AE8" s="748"/>
      <c r="AF8" s="748"/>
      <c r="AG8" s="748"/>
      <c r="AH8" s="748"/>
      <c r="AI8" s="751"/>
      <c r="AJ8" s="752">
        <f>SUM(E8:AI8)</f>
        <v>0</v>
      </c>
      <c r="AK8" s="753">
        <f>AJ8/AJ$3</f>
        <v>0</v>
      </c>
      <c r="AL8" s="577"/>
      <c r="AM8" s="749"/>
      <c r="AN8" s="983"/>
    </row>
    <row r="9" spans="1:40" s="754" customFormat="1" ht="15" customHeight="1">
      <c r="A9" s="755"/>
      <c r="B9" s="756" t="s">
        <v>325</v>
      </c>
      <c r="C9" s="757"/>
      <c r="D9" s="758"/>
      <c r="E9" s="755"/>
      <c r="F9" s="755"/>
      <c r="G9" s="759"/>
      <c r="H9" s="759"/>
      <c r="I9" s="755"/>
      <c r="J9" s="755"/>
      <c r="K9" s="755"/>
      <c r="L9" s="755"/>
      <c r="M9" s="755"/>
      <c r="N9" s="759"/>
      <c r="O9" s="759"/>
      <c r="P9" s="755"/>
      <c r="Q9" s="755"/>
      <c r="R9" s="755"/>
      <c r="S9" s="755"/>
      <c r="T9" s="755"/>
      <c r="U9" s="759"/>
      <c r="V9" s="759"/>
      <c r="W9" s="755"/>
      <c r="X9" s="755"/>
      <c r="Y9" s="755"/>
      <c r="Z9" s="755"/>
      <c r="AA9" s="755"/>
      <c r="AB9" s="759"/>
      <c r="AC9" s="759"/>
      <c r="AD9" s="755"/>
      <c r="AE9" s="755"/>
      <c r="AF9" s="755"/>
      <c r="AG9" s="755"/>
      <c r="AH9" s="755"/>
      <c r="AI9" s="759"/>
      <c r="AJ9" s="760"/>
      <c r="AK9" s="761"/>
      <c r="AL9" s="578"/>
      <c r="AM9" s="762"/>
      <c r="AN9" s="983"/>
    </row>
    <row r="10" spans="1:40" s="754" customFormat="1" ht="15" customHeight="1">
      <c r="A10" s="755"/>
      <c r="B10" s="762" t="s">
        <v>326</v>
      </c>
      <c r="C10" s="762" t="s">
        <v>327</v>
      </c>
      <c r="D10" s="758"/>
      <c r="E10" s="764">
        <v>0.45</v>
      </c>
      <c r="F10" s="764">
        <v>0.45</v>
      </c>
      <c r="G10" s="763"/>
      <c r="H10" s="763"/>
      <c r="I10" s="764">
        <v>0.45</v>
      </c>
      <c r="J10" s="764">
        <v>0.45</v>
      </c>
      <c r="K10" s="764">
        <v>0.45</v>
      </c>
      <c r="L10" s="764">
        <v>0.45</v>
      </c>
      <c r="M10" s="764">
        <v>0.45</v>
      </c>
      <c r="N10" s="763"/>
      <c r="O10" s="763"/>
      <c r="P10" s="764">
        <v>0.45</v>
      </c>
      <c r="Q10" s="764">
        <v>0.45</v>
      </c>
      <c r="R10" s="764">
        <v>0.45</v>
      </c>
      <c r="S10" s="764">
        <v>0.45</v>
      </c>
      <c r="T10" s="764">
        <v>0.45</v>
      </c>
      <c r="U10" s="763"/>
      <c r="V10" s="763"/>
      <c r="W10" s="764">
        <v>0.45</v>
      </c>
      <c r="X10" s="764">
        <v>0.45</v>
      </c>
      <c r="Y10" s="764">
        <v>0.45</v>
      </c>
      <c r="Z10" s="764">
        <v>0.45</v>
      </c>
      <c r="AA10" s="764">
        <v>0.45</v>
      </c>
      <c r="AB10" s="763"/>
      <c r="AC10" s="763"/>
      <c r="AD10" s="764">
        <v>0.45</v>
      </c>
      <c r="AE10" s="764">
        <v>0.45</v>
      </c>
      <c r="AF10" s="764">
        <v>0.45</v>
      </c>
      <c r="AG10" s="764">
        <v>0.45</v>
      </c>
      <c r="AH10" s="764">
        <v>0.45</v>
      </c>
      <c r="AI10" s="763"/>
      <c r="AJ10" s="579">
        <f>SUM(E10:AI10)</f>
        <v>9.8999999999999986</v>
      </c>
      <c r="AK10" s="580">
        <f>+AJ10/AJ$3</f>
        <v>0.44999999999999996</v>
      </c>
      <c r="AL10" s="578">
        <v>78000</v>
      </c>
      <c r="AM10" s="765">
        <f>+AL10*AK10</f>
        <v>35100</v>
      </c>
      <c r="AN10" s="983"/>
    </row>
    <row r="11" spans="1:40" s="754" customFormat="1" ht="15" customHeight="1">
      <c r="A11" s="755">
        <v>1</v>
      </c>
      <c r="B11" s="762" t="s">
        <v>328</v>
      </c>
      <c r="C11" s="762" t="s">
        <v>329</v>
      </c>
      <c r="D11" s="581">
        <v>1</v>
      </c>
      <c r="E11" s="582">
        <v>1</v>
      </c>
      <c r="F11" s="582">
        <v>1</v>
      </c>
      <c r="G11" s="583"/>
      <c r="H11" s="583"/>
      <c r="I11" s="582">
        <v>1</v>
      </c>
      <c r="J11" s="582">
        <v>1</v>
      </c>
      <c r="K11" s="582">
        <v>1</v>
      </c>
      <c r="L11" s="582">
        <v>1</v>
      </c>
      <c r="M11" s="582">
        <v>1</v>
      </c>
      <c r="N11" s="583"/>
      <c r="O11" s="583"/>
      <c r="P11" s="582">
        <v>1</v>
      </c>
      <c r="Q11" s="582">
        <v>1</v>
      </c>
      <c r="R11" s="582">
        <v>1</v>
      </c>
      <c r="S11" s="582">
        <v>1</v>
      </c>
      <c r="T11" s="582">
        <v>1</v>
      </c>
      <c r="U11" s="583"/>
      <c r="V11" s="583"/>
      <c r="W11" s="582">
        <v>1</v>
      </c>
      <c r="X11" s="582">
        <v>1</v>
      </c>
      <c r="Y11" s="582">
        <v>1</v>
      </c>
      <c r="Z11" s="582">
        <v>1</v>
      </c>
      <c r="AA11" s="582">
        <v>1</v>
      </c>
      <c r="AB11" s="583"/>
      <c r="AC11" s="583"/>
      <c r="AD11" s="582">
        <v>1</v>
      </c>
      <c r="AE11" s="582">
        <v>1</v>
      </c>
      <c r="AF11" s="582">
        <v>1</v>
      </c>
      <c r="AG11" s="582">
        <v>1</v>
      </c>
      <c r="AH11" s="582">
        <v>1</v>
      </c>
      <c r="AI11" s="583"/>
      <c r="AJ11" s="579">
        <f>SUM(E11:AI11)</f>
        <v>22</v>
      </c>
      <c r="AK11" s="580">
        <f>+AJ11/AJ$3</f>
        <v>1</v>
      </c>
      <c r="AL11" s="584">
        <v>71500</v>
      </c>
      <c r="AM11" s="765">
        <f>+AL11*AK11</f>
        <v>71500</v>
      </c>
      <c r="AN11" s="585"/>
    </row>
    <row r="12" spans="1:40" s="754" customFormat="1" ht="15" customHeight="1">
      <c r="A12" s="755">
        <v>2</v>
      </c>
      <c r="B12" s="762" t="s">
        <v>330</v>
      </c>
      <c r="C12" s="762"/>
      <c r="D12" s="581">
        <v>0</v>
      </c>
      <c r="E12" s="582"/>
      <c r="F12" s="582"/>
      <c r="G12" s="583"/>
      <c r="H12" s="583"/>
      <c r="I12" s="582"/>
      <c r="J12" s="582"/>
      <c r="K12" s="582"/>
      <c r="L12" s="582"/>
      <c r="M12" s="582"/>
      <c r="N12" s="583"/>
      <c r="O12" s="583"/>
      <c r="P12" s="582"/>
      <c r="Q12" s="582"/>
      <c r="R12" s="582"/>
      <c r="S12" s="582"/>
      <c r="T12" s="582"/>
      <c r="U12" s="583"/>
      <c r="V12" s="583"/>
      <c r="W12" s="582"/>
      <c r="X12" s="582"/>
      <c r="Y12" s="582"/>
      <c r="Z12" s="582"/>
      <c r="AA12" s="582"/>
      <c r="AB12" s="583"/>
      <c r="AC12" s="583"/>
      <c r="AD12" s="582"/>
      <c r="AE12" s="582"/>
      <c r="AF12" s="582"/>
      <c r="AG12" s="582"/>
      <c r="AH12" s="582"/>
      <c r="AI12" s="583"/>
      <c r="AJ12" s="579">
        <f>SUM(E12:AI12)</f>
        <v>0</v>
      </c>
      <c r="AK12" s="580">
        <f>+AJ12/AJ$3</f>
        <v>0</v>
      </c>
      <c r="AL12" s="584">
        <v>54200</v>
      </c>
      <c r="AM12" s="765">
        <f>+AL12*AK12</f>
        <v>0</v>
      </c>
      <c r="AN12" s="983"/>
    </row>
    <row r="13" spans="1:40" s="754" customFormat="1" ht="15" customHeight="1">
      <c r="A13" s="755"/>
      <c r="B13" s="762"/>
      <c r="C13" s="762"/>
      <c r="D13" s="581"/>
      <c r="E13" s="582"/>
      <c r="F13" s="582"/>
      <c r="G13" s="583"/>
      <c r="H13" s="583"/>
      <c r="I13" s="582"/>
      <c r="J13" s="582"/>
      <c r="K13" s="582"/>
      <c r="L13" s="582"/>
      <c r="M13" s="582"/>
      <c r="N13" s="583"/>
      <c r="O13" s="583"/>
      <c r="P13" s="582"/>
      <c r="Q13" s="582"/>
      <c r="R13" s="582"/>
      <c r="S13" s="582"/>
      <c r="T13" s="582"/>
      <c r="U13" s="583"/>
      <c r="V13" s="583"/>
      <c r="W13" s="582"/>
      <c r="X13" s="582"/>
      <c r="Y13" s="582"/>
      <c r="Z13" s="582"/>
      <c r="AA13" s="582"/>
      <c r="AB13" s="583"/>
      <c r="AC13" s="583"/>
      <c r="AD13" s="582"/>
      <c r="AE13" s="582"/>
      <c r="AF13" s="582"/>
      <c r="AG13" s="582"/>
      <c r="AH13" s="582"/>
      <c r="AI13" s="583"/>
      <c r="AJ13" s="579"/>
      <c r="AK13" s="580"/>
      <c r="AL13" s="578"/>
      <c r="AM13" s="765"/>
      <c r="AN13" s="983"/>
    </row>
    <row r="14" spans="1:40" s="754" customFormat="1" ht="15" customHeight="1">
      <c r="A14" s="755"/>
      <c r="B14" s="756" t="s">
        <v>331</v>
      </c>
      <c r="C14" s="757"/>
      <c r="D14" s="581"/>
      <c r="E14" s="582"/>
      <c r="F14" s="582"/>
      <c r="G14" s="583"/>
      <c r="H14" s="583"/>
      <c r="I14" s="582"/>
      <c r="J14" s="582"/>
      <c r="K14" s="582"/>
      <c r="L14" s="582"/>
      <c r="M14" s="582"/>
      <c r="N14" s="583"/>
      <c r="O14" s="583"/>
      <c r="P14" s="582"/>
      <c r="Q14" s="582"/>
      <c r="R14" s="582"/>
      <c r="S14" s="582"/>
      <c r="T14" s="582"/>
      <c r="U14" s="583"/>
      <c r="V14" s="583"/>
      <c r="W14" s="582"/>
      <c r="X14" s="582"/>
      <c r="Y14" s="582"/>
      <c r="Z14" s="582"/>
      <c r="AA14" s="582"/>
      <c r="AB14" s="583"/>
      <c r="AC14" s="583"/>
      <c r="AD14" s="582"/>
      <c r="AE14" s="582"/>
      <c r="AF14" s="582"/>
      <c r="AG14" s="582"/>
      <c r="AH14" s="582"/>
      <c r="AI14" s="583"/>
      <c r="AJ14" s="579"/>
      <c r="AK14" s="580"/>
      <c r="AL14" s="578"/>
      <c r="AM14" s="765"/>
      <c r="AN14" s="983"/>
    </row>
    <row r="15" spans="1:40" s="754" customFormat="1" ht="15" customHeight="1">
      <c r="A15" s="755">
        <v>3</v>
      </c>
      <c r="B15" s="762" t="s">
        <v>332</v>
      </c>
      <c r="C15" s="762"/>
      <c r="D15" s="581">
        <v>0</v>
      </c>
      <c r="E15" s="582"/>
      <c r="F15" s="582"/>
      <c r="G15" s="583"/>
      <c r="H15" s="583"/>
      <c r="I15" s="582"/>
      <c r="J15" s="582"/>
      <c r="K15" s="582"/>
      <c r="L15" s="582"/>
      <c r="M15" s="582"/>
      <c r="N15" s="583"/>
      <c r="O15" s="583"/>
      <c r="P15" s="582"/>
      <c r="Q15" s="582"/>
      <c r="R15" s="582"/>
      <c r="S15" s="582"/>
      <c r="T15" s="582"/>
      <c r="U15" s="583"/>
      <c r="V15" s="583"/>
      <c r="W15" s="582"/>
      <c r="X15" s="582"/>
      <c r="Y15" s="582"/>
      <c r="Z15" s="582"/>
      <c r="AA15" s="582"/>
      <c r="AB15" s="583"/>
      <c r="AC15" s="583"/>
      <c r="AD15" s="582"/>
      <c r="AE15" s="582"/>
      <c r="AF15" s="582"/>
      <c r="AG15" s="582"/>
      <c r="AH15" s="582"/>
      <c r="AI15" s="583"/>
      <c r="AJ15" s="579">
        <f t="shared" ref="AJ15:AJ50" si="1">SUM(E15:AI15)</f>
        <v>0</v>
      </c>
      <c r="AK15" s="580">
        <f>+AJ15/AJ$3</f>
        <v>0</v>
      </c>
      <c r="AL15" s="586">
        <v>0</v>
      </c>
      <c r="AM15" s="765">
        <f t="shared" ref="AM15:AM61" si="2">+AL15*AK15</f>
        <v>0</v>
      </c>
      <c r="AN15" s="983"/>
    </row>
    <row r="16" spans="1:40" s="754" customFormat="1" ht="15" customHeight="1">
      <c r="A16" s="755" t="s">
        <v>333</v>
      </c>
      <c r="B16" s="762" t="s">
        <v>334</v>
      </c>
      <c r="C16" s="762" t="s">
        <v>335</v>
      </c>
      <c r="D16" s="581">
        <v>1</v>
      </c>
      <c r="E16" s="582">
        <v>1</v>
      </c>
      <c r="F16" s="582">
        <v>1</v>
      </c>
      <c r="G16" s="583"/>
      <c r="H16" s="583"/>
      <c r="I16" s="582">
        <v>1</v>
      </c>
      <c r="J16" s="582">
        <v>1</v>
      </c>
      <c r="K16" s="582">
        <v>1</v>
      </c>
      <c r="L16" s="582">
        <v>1</v>
      </c>
      <c r="M16" s="582">
        <v>1</v>
      </c>
      <c r="N16" s="583"/>
      <c r="O16" s="583"/>
      <c r="P16" s="582">
        <v>1</v>
      </c>
      <c r="Q16" s="582">
        <v>1</v>
      </c>
      <c r="R16" s="582">
        <v>1</v>
      </c>
      <c r="S16" s="582">
        <v>1</v>
      </c>
      <c r="T16" s="582">
        <v>1</v>
      </c>
      <c r="U16" s="583"/>
      <c r="V16" s="583"/>
      <c r="W16" s="582">
        <v>1</v>
      </c>
      <c r="X16" s="582">
        <v>1</v>
      </c>
      <c r="Y16" s="582">
        <v>1</v>
      </c>
      <c r="Z16" s="582">
        <v>1</v>
      </c>
      <c r="AA16" s="582">
        <v>1</v>
      </c>
      <c r="AB16" s="583"/>
      <c r="AC16" s="583"/>
      <c r="AD16" s="582">
        <v>1</v>
      </c>
      <c r="AE16" s="582">
        <v>1</v>
      </c>
      <c r="AF16" s="582">
        <v>1</v>
      </c>
      <c r="AG16" s="582">
        <v>1</v>
      </c>
      <c r="AH16" s="582">
        <v>1</v>
      </c>
      <c r="AI16" s="583"/>
      <c r="AJ16" s="579">
        <f>SUM(E16:AI16)</f>
        <v>22</v>
      </c>
      <c r="AK16" s="580">
        <f>+AJ16/AJ$3</f>
        <v>1</v>
      </c>
      <c r="AL16" s="584">
        <v>49800</v>
      </c>
      <c r="AM16" s="765">
        <f t="shared" si="2"/>
        <v>49800</v>
      </c>
      <c r="AN16" s="983"/>
    </row>
    <row r="17" spans="1:40" s="754" customFormat="1" ht="15" customHeight="1">
      <c r="A17" s="755" t="s">
        <v>336</v>
      </c>
      <c r="B17" s="762" t="s">
        <v>334</v>
      </c>
      <c r="C17" s="762" t="s">
        <v>337</v>
      </c>
      <c r="D17" s="581">
        <v>1</v>
      </c>
      <c r="E17" s="582">
        <v>1</v>
      </c>
      <c r="F17" s="582">
        <v>1</v>
      </c>
      <c r="G17" s="583"/>
      <c r="H17" s="583"/>
      <c r="I17" s="582">
        <v>1</v>
      </c>
      <c r="J17" s="582">
        <v>1</v>
      </c>
      <c r="K17" s="582">
        <v>1</v>
      </c>
      <c r="L17" s="582">
        <v>1</v>
      </c>
      <c r="M17" s="582">
        <v>1</v>
      </c>
      <c r="N17" s="583"/>
      <c r="O17" s="583"/>
      <c r="P17" s="582">
        <v>1</v>
      </c>
      <c r="Q17" s="582">
        <v>1</v>
      </c>
      <c r="R17" s="582">
        <v>1</v>
      </c>
      <c r="S17" s="582">
        <v>1</v>
      </c>
      <c r="T17" s="582">
        <v>1</v>
      </c>
      <c r="U17" s="583"/>
      <c r="V17" s="583"/>
      <c r="W17" s="582">
        <v>1</v>
      </c>
      <c r="X17" s="582">
        <v>1</v>
      </c>
      <c r="Y17" s="582">
        <v>1</v>
      </c>
      <c r="Z17" s="582">
        <v>1</v>
      </c>
      <c r="AA17" s="582">
        <v>1</v>
      </c>
      <c r="AB17" s="583"/>
      <c r="AC17" s="583"/>
      <c r="AD17" s="582">
        <v>1</v>
      </c>
      <c r="AE17" s="582">
        <v>1</v>
      </c>
      <c r="AF17" s="582">
        <v>1</v>
      </c>
      <c r="AG17" s="582">
        <v>1</v>
      </c>
      <c r="AH17" s="582">
        <v>1</v>
      </c>
      <c r="AI17" s="583"/>
      <c r="AJ17" s="579">
        <f t="shared" si="1"/>
        <v>22</v>
      </c>
      <c r="AK17" s="580">
        <f t="shared" ref="AK17:AK109" si="3">+AJ17/AJ$3</f>
        <v>1</v>
      </c>
      <c r="AL17" s="584">
        <v>49800</v>
      </c>
      <c r="AM17" s="765">
        <f t="shared" si="2"/>
        <v>49800</v>
      </c>
      <c r="AN17" s="983"/>
    </row>
    <row r="18" spans="1:40" s="754" customFormat="1" ht="15" customHeight="1">
      <c r="A18" s="755" t="s">
        <v>338</v>
      </c>
      <c r="B18" s="762" t="s">
        <v>334</v>
      </c>
      <c r="C18" s="762" t="s">
        <v>339</v>
      </c>
      <c r="D18" s="581"/>
      <c r="E18" s="582">
        <v>1</v>
      </c>
      <c r="F18" s="582">
        <v>1</v>
      </c>
      <c r="G18" s="583"/>
      <c r="H18" s="583"/>
      <c r="I18" s="582">
        <v>1</v>
      </c>
      <c r="J18" s="582">
        <v>1</v>
      </c>
      <c r="K18" s="582">
        <v>1</v>
      </c>
      <c r="L18" s="582">
        <v>1</v>
      </c>
      <c r="M18" s="582">
        <v>1</v>
      </c>
      <c r="N18" s="583"/>
      <c r="O18" s="583"/>
      <c r="P18" s="582">
        <v>1</v>
      </c>
      <c r="Q18" s="582">
        <v>1</v>
      </c>
      <c r="R18" s="582">
        <v>1</v>
      </c>
      <c r="S18" s="582">
        <v>1</v>
      </c>
      <c r="T18" s="582">
        <v>1</v>
      </c>
      <c r="U18" s="583"/>
      <c r="V18" s="583"/>
      <c r="W18" s="582">
        <v>1</v>
      </c>
      <c r="X18" s="582">
        <v>1</v>
      </c>
      <c r="Y18" s="582">
        <v>1</v>
      </c>
      <c r="Z18" s="582">
        <v>1</v>
      </c>
      <c r="AA18" s="582">
        <v>1</v>
      </c>
      <c r="AB18" s="583"/>
      <c r="AC18" s="583"/>
      <c r="AD18" s="582">
        <v>1</v>
      </c>
      <c r="AE18" s="582">
        <v>1</v>
      </c>
      <c r="AF18" s="582">
        <v>1</v>
      </c>
      <c r="AG18" s="582">
        <v>1</v>
      </c>
      <c r="AH18" s="582">
        <v>1</v>
      </c>
      <c r="AI18" s="583"/>
      <c r="AJ18" s="579">
        <f t="shared" si="1"/>
        <v>22</v>
      </c>
      <c r="AK18" s="580">
        <f>+AJ18/AJ$3</f>
        <v>1</v>
      </c>
      <c r="AL18" s="584">
        <v>49800</v>
      </c>
      <c r="AM18" s="765">
        <f>+AL18*AK18</f>
        <v>49800</v>
      </c>
      <c r="AN18" s="983"/>
    </row>
    <row r="19" spans="1:40" s="754" customFormat="1" ht="15" customHeight="1">
      <c r="A19" s="755">
        <v>5</v>
      </c>
      <c r="B19" s="762" t="s">
        <v>340</v>
      </c>
      <c r="C19" s="762" t="s">
        <v>341</v>
      </c>
      <c r="D19" s="581">
        <v>4</v>
      </c>
      <c r="E19" s="582">
        <v>1</v>
      </c>
      <c r="F19" s="582">
        <v>1</v>
      </c>
      <c r="G19" s="583"/>
      <c r="H19" s="583"/>
      <c r="I19" s="582">
        <v>1</v>
      </c>
      <c r="J19" s="582">
        <v>1</v>
      </c>
      <c r="K19" s="582">
        <v>1</v>
      </c>
      <c r="L19" s="582">
        <v>1</v>
      </c>
      <c r="M19" s="582">
        <v>1</v>
      </c>
      <c r="N19" s="583"/>
      <c r="O19" s="583"/>
      <c r="P19" s="582">
        <v>1</v>
      </c>
      <c r="Q19" s="582">
        <v>1</v>
      </c>
      <c r="R19" s="582">
        <v>1</v>
      </c>
      <c r="S19" s="582">
        <v>1</v>
      </c>
      <c r="T19" s="582">
        <v>1</v>
      </c>
      <c r="U19" s="583"/>
      <c r="V19" s="583"/>
      <c r="W19" s="582">
        <v>1</v>
      </c>
      <c r="X19" s="582">
        <v>1</v>
      </c>
      <c r="Y19" s="582">
        <v>1</v>
      </c>
      <c r="Z19" s="582">
        <v>1</v>
      </c>
      <c r="AA19" s="582">
        <v>1</v>
      </c>
      <c r="AB19" s="583"/>
      <c r="AC19" s="583"/>
      <c r="AD19" s="582">
        <v>1</v>
      </c>
      <c r="AE19" s="582">
        <v>1</v>
      </c>
      <c r="AF19" s="582">
        <v>1</v>
      </c>
      <c r="AG19" s="582">
        <v>1</v>
      </c>
      <c r="AH19" s="582">
        <v>1</v>
      </c>
      <c r="AI19" s="583"/>
      <c r="AJ19" s="579">
        <f>SUM(E19:AI19)</f>
        <v>22</v>
      </c>
      <c r="AK19" s="580">
        <f>+AJ19/AJ$3</f>
        <v>1</v>
      </c>
      <c r="AL19" s="584">
        <v>37700</v>
      </c>
      <c r="AM19" s="765">
        <f t="shared" si="2"/>
        <v>37700</v>
      </c>
      <c r="AN19" s="983"/>
    </row>
    <row r="20" spans="1:40" s="754" customFormat="1" ht="15" customHeight="1">
      <c r="A20" s="755" t="s">
        <v>342</v>
      </c>
      <c r="B20" s="762" t="s">
        <v>340</v>
      </c>
      <c r="C20" s="762" t="s">
        <v>343</v>
      </c>
      <c r="D20" s="581"/>
      <c r="E20" s="582">
        <v>1</v>
      </c>
      <c r="F20" s="582">
        <v>1</v>
      </c>
      <c r="G20" s="583"/>
      <c r="H20" s="583"/>
      <c r="I20" s="582">
        <v>1</v>
      </c>
      <c r="J20" s="582">
        <v>1</v>
      </c>
      <c r="K20" s="582">
        <v>1</v>
      </c>
      <c r="L20" s="582">
        <v>1</v>
      </c>
      <c r="M20" s="582">
        <v>1</v>
      </c>
      <c r="N20" s="583"/>
      <c r="O20" s="583"/>
      <c r="P20" s="582">
        <v>1</v>
      </c>
      <c r="Q20" s="582">
        <v>1</v>
      </c>
      <c r="R20" s="582">
        <v>1</v>
      </c>
      <c r="S20" s="582">
        <v>1</v>
      </c>
      <c r="T20" s="582">
        <v>1</v>
      </c>
      <c r="U20" s="583"/>
      <c r="V20" s="583"/>
      <c r="W20" s="582">
        <v>1</v>
      </c>
      <c r="X20" s="582">
        <v>1</v>
      </c>
      <c r="Y20" s="582">
        <v>1</v>
      </c>
      <c r="Z20" s="582">
        <v>1</v>
      </c>
      <c r="AA20" s="582">
        <v>1</v>
      </c>
      <c r="AB20" s="583"/>
      <c r="AC20" s="583"/>
      <c r="AD20" s="582">
        <v>1</v>
      </c>
      <c r="AE20" s="582">
        <v>1</v>
      </c>
      <c r="AF20" s="582">
        <v>1</v>
      </c>
      <c r="AG20" s="582">
        <v>1</v>
      </c>
      <c r="AH20" s="582">
        <v>1</v>
      </c>
      <c r="AI20" s="583"/>
      <c r="AJ20" s="579">
        <f t="shared" si="1"/>
        <v>22</v>
      </c>
      <c r="AK20" s="580">
        <f>+AJ20/AJ$3</f>
        <v>1</v>
      </c>
      <c r="AL20" s="584">
        <v>37700</v>
      </c>
      <c r="AM20" s="765">
        <f>+AL20*AK20</f>
        <v>37700</v>
      </c>
      <c r="AN20" s="983"/>
    </row>
    <row r="21" spans="1:40" s="754" customFormat="1" ht="15" customHeight="1">
      <c r="A21" s="755" t="s">
        <v>344</v>
      </c>
      <c r="B21" s="762" t="s">
        <v>340</v>
      </c>
      <c r="C21" s="762" t="s">
        <v>345</v>
      </c>
      <c r="D21" s="581"/>
      <c r="E21" s="582">
        <v>1</v>
      </c>
      <c r="F21" s="582">
        <v>1</v>
      </c>
      <c r="G21" s="583"/>
      <c r="H21" s="583"/>
      <c r="I21" s="582">
        <v>1</v>
      </c>
      <c r="J21" s="582">
        <v>1</v>
      </c>
      <c r="K21" s="582">
        <v>1</v>
      </c>
      <c r="L21" s="582">
        <v>1</v>
      </c>
      <c r="M21" s="582">
        <v>1</v>
      </c>
      <c r="N21" s="583"/>
      <c r="O21" s="583"/>
      <c r="P21" s="582">
        <v>1</v>
      </c>
      <c r="Q21" s="582">
        <v>1</v>
      </c>
      <c r="R21" s="582">
        <v>1</v>
      </c>
      <c r="S21" s="582">
        <v>1</v>
      </c>
      <c r="T21" s="582">
        <v>1</v>
      </c>
      <c r="U21" s="583"/>
      <c r="V21" s="583"/>
      <c r="W21" s="582">
        <v>1</v>
      </c>
      <c r="X21" s="582">
        <v>1</v>
      </c>
      <c r="Y21" s="582">
        <v>1</v>
      </c>
      <c r="Z21" s="582">
        <v>1</v>
      </c>
      <c r="AA21" s="582">
        <v>1</v>
      </c>
      <c r="AB21" s="583"/>
      <c r="AC21" s="583"/>
      <c r="AD21" s="582">
        <v>1</v>
      </c>
      <c r="AE21" s="582">
        <v>1</v>
      </c>
      <c r="AF21" s="582">
        <v>1</v>
      </c>
      <c r="AG21" s="582">
        <v>1</v>
      </c>
      <c r="AH21" s="582">
        <v>1</v>
      </c>
      <c r="AI21" s="583"/>
      <c r="AJ21" s="579">
        <f t="shared" si="1"/>
        <v>22</v>
      </c>
      <c r="AK21" s="580">
        <f>+AJ21/AJ$3</f>
        <v>1</v>
      </c>
      <c r="AL21" s="584">
        <v>37700</v>
      </c>
      <c r="AM21" s="765">
        <f>+AL21*AK21</f>
        <v>37700</v>
      </c>
      <c r="AN21" s="983"/>
    </row>
    <row r="22" spans="1:40" s="754" customFormat="1" ht="15" customHeight="1">
      <c r="A22" s="755" t="s">
        <v>346</v>
      </c>
      <c r="B22" s="762" t="s">
        <v>340</v>
      </c>
      <c r="C22" s="762" t="s">
        <v>347</v>
      </c>
      <c r="D22" s="581"/>
      <c r="E22" s="582">
        <v>1</v>
      </c>
      <c r="F22" s="582">
        <v>1</v>
      </c>
      <c r="G22" s="583"/>
      <c r="H22" s="583"/>
      <c r="I22" s="582">
        <v>1</v>
      </c>
      <c r="J22" s="582">
        <v>1</v>
      </c>
      <c r="K22" s="582">
        <v>1</v>
      </c>
      <c r="L22" s="582">
        <v>1</v>
      </c>
      <c r="M22" s="582">
        <v>1</v>
      </c>
      <c r="N22" s="583"/>
      <c r="O22" s="583"/>
      <c r="P22" s="582">
        <v>1</v>
      </c>
      <c r="Q22" s="582">
        <v>1</v>
      </c>
      <c r="R22" s="582">
        <v>1</v>
      </c>
      <c r="S22" s="582">
        <v>1</v>
      </c>
      <c r="T22" s="582">
        <v>1</v>
      </c>
      <c r="U22" s="583"/>
      <c r="V22" s="583"/>
      <c r="W22" s="582">
        <v>1</v>
      </c>
      <c r="X22" s="582">
        <v>1</v>
      </c>
      <c r="Y22" s="582">
        <v>1</v>
      </c>
      <c r="Z22" s="582">
        <v>1</v>
      </c>
      <c r="AA22" s="582">
        <v>1</v>
      </c>
      <c r="AB22" s="583"/>
      <c r="AC22" s="583"/>
      <c r="AD22" s="582">
        <v>1</v>
      </c>
      <c r="AE22" s="582">
        <v>1</v>
      </c>
      <c r="AF22" s="582">
        <v>1</v>
      </c>
      <c r="AG22" s="582">
        <v>1</v>
      </c>
      <c r="AH22" s="582">
        <v>1</v>
      </c>
      <c r="AI22" s="583"/>
      <c r="AJ22" s="579">
        <f t="shared" si="1"/>
        <v>22</v>
      </c>
      <c r="AK22" s="580">
        <f>+AJ22/AJ$3</f>
        <v>1</v>
      </c>
      <c r="AL22" s="584">
        <v>37700</v>
      </c>
      <c r="AM22" s="765">
        <f>+AL22*AK22</f>
        <v>37700</v>
      </c>
      <c r="AN22" s="983"/>
    </row>
    <row r="23" spans="1:40" s="754" customFormat="1" ht="15" customHeight="1">
      <c r="A23" s="755">
        <v>6</v>
      </c>
      <c r="B23" s="762" t="s">
        <v>348</v>
      </c>
      <c r="C23" s="762" t="s">
        <v>349</v>
      </c>
      <c r="D23" s="581">
        <v>8</v>
      </c>
      <c r="E23" s="582">
        <v>1</v>
      </c>
      <c r="F23" s="582">
        <v>1</v>
      </c>
      <c r="G23" s="583"/>
      <c r="H23" s="583"/>
      <c r="I23" s="582">
        <v>1</v>
      </c>
      <c r="J23" s="582">
        <v>1</v>
      </c>
      <c r="K23" s="582">
        <v>1</v>
      </c>
      <c r="L23" s="582">
        <v>1</v>
      </c>
      <c r="M23" s="582">
        <v>1</v>
      </c>
      <c r="N23" s="583"/>
      <c r="O23" s="583"/>
      <c r="P23" s="582">
        <v>1</v>
      </c>
      <c r="Q23" s="582">
        <v>1</v>
      </c>
      <c r="R23" s="582">
        <v>1</v>
      </c>
      <c r="S23" s="582">
        <v>1</v>
      </c>
      <c r="T23" s="582">
        <v>1</v>
      </c>
      <c r="U23" s="583"/>
      <c r="V23" s="583"/>
      <c r="W23" s="582">
        <v>1</v>
      </c>
      <c r="X23" s="582">
        <v>1</v>
      </c>
      <c r="Y23" s="582">
        <v>1</v>
      </c>
      <c r="Z23" s="582">
        <v>1</v>
      </c>
      <c r="AA23" s="582">
        <v>1</v>
      </c>
      <c r="AB23" s="583"/>
      <c r="AC23" s="583"/>
      <c r="AD23" s="582">
        <v>1</v>
      </c>
      <c r="AE23" s="582">
        <v>1</v>
      </c>
      <c r="AF23" s="582">
        <v>1</v>
      </c>
      <c r="AG23" s="582">
        <v>1</v>
      </c>
      <c r="AH23" s="582">
        <v>1</v>
      </c>
      <c r="AI23" s="583"/>
      <c r="AJ23" s="579">
        <f t="shared" si="1"/>
        <v>22</v>
      </c>
      <c r="AK23" s="580">
        <f t="shared" si="3"/>
        <v>1</v>
      </c>
      <c r="AL23" s="584">
        <v>16100</v>
      </c>
      <c r="AM23" s="765">
        <f t="shared" si="2"/>
        <v>16100</v>
      </c>
      <c r="AN23" s="983"/>
    </row>
    <row r="24" spans="1:40" s="754" customFormat="1" ht="15" customHeight="1">
      <c r="A24" s="755" t="s">
        <v>350</v>
      </c>
      <c r="B24" s="762" t="s">
        <v>351</v>
      </c>
      <c r="C24" s="762" t="s">
        <v>352</v>
      </c>
      <c r="D24" s="581"/>
      <c r="E24" s="582">
        <v>1</v>
      </c>
      <c r="F24" s="582">
        <v>1</v>
      </c>
      <c r="G24" s="583"/>
      <c r="H24" s="583"/>
      <c r="I24" s="582">
        <v>1</v>
      </c>
      <c r="J24" s="582">
        <v>1</v>
      </c>
      <c r="K24" s="582">
        <v>1</v>
      </c>
      <c r="L24" s="582">
        <v>1</v>
      </c>
      <c r="M24" s="582">
        <v>1</v>
      </c>
      <c r="N24" s="583"/>
      <c r="O24" s="583"/>
      <c r="P24" s="582">
        <v>1</v>
      </c>
      <c r="Q24" s="582">
        <v>1</v>
      </c>
      <c r="R24" s="582">
        <v>1</v>
      </c>
      <c r="S24" s="582">
        <v>1</v>
      </c>
      <c r="T24" s="582">
        <v>1</v>
      </c>
      <c r="U24" s="583"/>
      <c r="V24" s="583"/>
      <c r="W24" s="582">
        <v>1</v>
      </c>
      <c r="X24" s="582">
        <v>1</v>
      </c>
      <c r="Y24" s="582">
        <v>1</v>
      </c>
      <c r="Z24" s="582">
        <v>1</v>
      </c>
      <c r="AA24" s="582">
        <v>1</v>
      </c>
      <c r="AB24" s="583"/>
      <c r="AC24" s="583"/>
      <c r="AD24" s="582">
        <v>1</v>
      </c>
      <c r="AE24" s="582">
        <v>1</v>
      </c>
      <c r="AF24" s="582">
        <v>1</v>
      </c>
      <c r="AG24" s="582">
        <v>1</v>
      </c>
      <c r="AH24" s="582">
        <v>1</v>
      </c>
      <c r="AI24" s="583"/>
      <c r="AJ24" s="579">
        <f t="shared" si="1"/>
        <v>22</v>
      </c>
      <c r="AK24" s="580">
        <f t="shared" si="3"/>
        <v>1</v>
      </c>
      <c r="AL24" s="584">
        <v>16100</v>
      </c>
      <c r="AM24" s="765">
        <f t="shared" si="2"/>
        <v>16100</v>
      </c>
      <c r="AN24" s="983"/>
    </row>
    <row r="25" spans="1:40" s="754" customFormat="1" ht="15" customHeight="1">
      <c r="A25" s="755" t="s">
        <v>353</v>
      </c>
      <c r="B25" s="762" t="s">
        <v>351</v>
      </c>
      <c r="C25" s="762" t="s">
        <v>354</v>
      </c>
      <c r="D25" s="581"/>
      <c r="E25" s="582">
        <v>1</v>
      </c>
      <c r="F25" s="582">
        <v>1</v>
      </c>
      <c r="G25" s="583"/>
      <c r="H25" s="583"/>
      <c r="I25" s="582">
        <v>1</v>
      </c>
      <c r="J25" s="582">
        <v>1</v>
      </c>
      <c r="K25" s="582">
        <v>1</v>
      </c>
      <c r="L25" s="582">
        <v>1</v>
      </c>
      <c r="M25" s="582">
        <v>1</v>
      </c>
      <c r="N25" s="583"/>
      <c r="O25" s="583"/>
      <c r="P25" s="582">
        <v>1</v>
      </c>
      <c r="Q25" s="582">
        <v>1</v>
      </c>
      <c r="R25" s="582">
        <v>1</v>
      </c>
      <c r="S25" s="582">
        <v>1</v>
      </c>
      <c r="T25" s="582">
        <v>1</v>
      </c>
      <c r="U25" s="583"/>
      <c r="V25" s="583"/>
      <c r="W25" s="582">
        <v>1</v>
      </c>
      <c r="X25" s="582">
        <v>1</v>
      </c>
      <c r="Y25" s="582">
        <v>1</v>
      </c>
      <c r="Z25" s="582">
        <v>1</v>
      </c>
      <c r="AA25" s="582">
        <v>1</v>
      </c>
      <c r="AB25" s="583"/>
      <c r="AC25" s="583"/>
      <c r="AD25" s="582">
        <v>1</v>
      </c>
      <c r="AE25" s="582">
        <v>1</v>
      </c>
      <c r="AF25" s="582">
        <v>1</v>
      </c>
      <c r="AG25" s="582">
        <v>1</v>
      </c>
      <c r="AH25" s="582">
        <v>1</v>
      </c>
      <c r="AI25" s="583"/>
      <c r="AJ25" s="579">
        <f t="shared" si="1"/>
        <v>22</v>
      </c>
      <c r="AK25" s="580">
        <f t="shared" si="3"/>
        <v>1</v>
      </c>
      <c r="AL25" s="584">
        <v>16100</v>
      </c>
      <c r="AM25" s="765">
        <f t="shared" si="2"/>
        <v>16100</v>
      </c>
      <c r="AN25" s="983"/>
    </row>
    <row r="26" spans="1:40" s="754" customFormat="1" ht="15" customHeight="1">
      <c r="A26" s="755" t="s">
        <v>355</v>
      </c>
      <c r="B26" s="762" t="s">
        <v>351</v>
      </c>
      <c r="C26" s="762" t="s">
        <v>356</v>
      </c>
      <c r="D26" s="581"/>
      <c r="E26" s="582">
        <v>1</v>
      </c>
      <c r="F26" s="582">
        <v>1</v>
      </c>
      <c r="G26" s="583"/>
      <c r="H26" s="583"/>
      <c r="I26" s="582">
        <v>1</v>
      </c>
      <c r="J26" s="582">
        <v>1</v>
      </c>
      <c r="K26" s="582">
        <v>1</v>
      </c>
      <c r="L26" s="582">
        <v>1</v>
      </c>
      <c r="M26" s="582">
        <v>1</v>
      </c>
      <c r="N26" s="583"/>
      <c r="O26" s="583"/>
      <c r="P26" s="582">
        <v>1</v>
      </c>
      <c r="Q26" s="582">
        <v>1</v>
      </c>
      <c r="R26" s="582">
        <v>1</v>
      </c>
      <c r="S26" s="582">
        <v>1</v>
      </c>
      <c r="T26" s="582">
        <v>1</v>
      </c>
      <c r="U26" s="583"/>
      <c r="V26" s="583"/>
      <c r="W26" s="582">
        <v>1</v>
      </c>
      <c r="X26" s="582">
        <v>1</v>
      </c>
      <c r="Y26" s="582">
        <v>1</v>
      </c>
      <c r="Z26" s="582">
        <v>1</v>
      </c>
      <c r="AA26" s="582">
        <v>1</v>
      </c>
      <c r="AB26" s="583"/>
      <c r="AC26" s="583"/>
      <c r="AD26" s="582">
        <v>1</v>
      </c>
      <c r="AE26" s="582">
        <v>1</v>
      </c>
      <c r="AF26" s="582">
        <v>1</v>
      </c>
      <c r="AG26" s="582">
        <v>1</v>
      </c>
      <c r="AH26" s="582">
        <v>1</v>
      </c>
      <c r="AI26" s="583"/>
      <c r="AJ26" s="579">
        <f t="shared" si="1"/>
        <v>22</v>
      </c>
      <c r="AK26" s="580">
        <f t="shared" si="3"/>
        <v>1</v>
      </c>
      <c r="AL26" s="584">
        <v>16100</v>
      </c>
      <c r="AM26" s="765">
        <f t="shared" si="2"/>
        <v>16100</v>
      </c>
      <c r="AN26" s="983"/>
    </row>
    <row r="27" spans="1:40" s="754" customFormat="1" ht="15" customHeight="1">
      <c r="A27" s="755" t="s">
        <v>357</v>
      </c>
      <c r="B27" s="762" t="s">
        <v>351</v>
      </c>
      <c r="C27" s="762" t="s">
        <v>358</v>
      </c>
      <c r="D27" s="581"/>
      <c r="E27" s="582">
        <v>1</v>
      </c>
      <c r="F27" s="582">
        <v>1</v>
      </c>
      <c r="G27" s="583"/>
      <c r="H27" s="583"/>
      <c r="I27" s="582">
        <v>1</v>
      </c>
      <c r="J27" s="582">
        <v>1</v>
      </c>
      <c r="K27" s="582">
        <v>1</v>
      </c>
      <c r="L27" s="582">
        <v>1</v>
      </c>
      <c r="M27" s="582">
        <v>1</v>
      </c>
      <c r="N27" s="583"/>
      <c r="O27" s="583"/>
      <c r="P27" s="582">
        <v>1</v>
      </c>
      <c r="Q27" s="582">
        <v>1</v>
      </c>
      <c r="R27" s="582">
        <v>1</v>
      </c>
      <c r="S27" s="582">
        <v>1</v>
      </c>
      <c r="T27" s="582">
        <v>1</v>
      </c>
      <c r="U27" s="583"/>
      <c r="V27" s="583"/>
      <c r="W27" s="582"/>
      <c r="X27" s="582"/>
      <c r="Y27" s="582"/>
      <c r="Z27" s="582"/>
      <c r="AA27" s="582"/>
      <c r="AB27" s="583"/>
      <c r="AC27" s="583"/>
      <c r="AD27" s="582"/>
      <c r="AE27" s="582"/>
      <c r="AF27" s="582"/>
      <c r="AG27" s="582"/>
      <c r="AH27" s="582"/>
      <c r="AI27" s="583"/>
      <c r="AJ27" s="579">
        <f t="shared" si="1"/>
        <v>12</v>
      </c>
      <c r="AK27" s="580">
        <f t="shared" si="3"/>
        <v>0.54545454545454541</v>
      </c>
      <c r="AL27" s="584">
        <v>16100</v>
      </c>
      <c r="AM27" s="765">
        <f t="shared" si="2"/>
        <v>8781.818181818182</v>
      </c>
      <c r="AN27" s="983"/>
    </row>
    <row r="28" spans="1:40" s="754" customFormat="1" ht="15" customHeight="1">
      <c r="A28" s="755" t="s">
        <v>359</v>
      </c>
      <c r="B28" s="762" t="s">
        <v>351</v>
      </c>
      <c r="C28" s="762" t="s">
        <v>360</v>
      </c>
      <c r="D28" s="581"/>
      <c r="E28" s="582">
        <v>1</v>
      </c>
      <c r="F28" s="582">
        <v>1</v>
      </c>
      <c r="G28" s="583"/>
      <c r="H28" s="583"/>
      <c r="I28" s="582">
        <v>1</v>
      </c>
      <c r="J28" s="582">
        <v>1</v>
      </c>
      <c r="K28" s="582">
        <v>1</v>
      </c>
      <c r="L28" s="582">
        <v>1</v>
      </c>
      <c r="M28" s="582">
        <v>1</v>
      </c>
      <c r="N28" s="583"/>
      <c r="O28" s="583"/>
      <c r="P28" s="582">
        <v>1</v>
      </c>
      <c r="Q28" s="582">
        <v>1</v>
      </c>
      <c r="R28" s="582">
        <v>1</v>
      </c>
      <c r="S28" s="582">
        <v>1</v>
      </c>
      <c r="T28" s="582">
        <v>1</v>
      </c>
      <c r="U28" s="583"/>
      <c r="V28" s="583"/>
      <c r="W28" s="582">
        <v>1</v>
      </c>
      <c r="X28" s="582">
        <v>1</v>
      </c>
      <c r="Y28" s="582">
        <v>1</v>
      </c>
      <c r="Z28" s="582">
        <v>1</v>
      </c>
      <c r="AA28" s="582">
        <v>1</v>
      </c>
      <c r="AB28" s="583"/>
      <c r="AC28" s="583"/>
      <c r="AD28" s="582">
        <v>1</v>
      </c>
      <c r="AE28" s="582">
        <v>1</v>
      </c>
      <c r="AF28" s="582">
        <v>1</v>
      </c>
      <c r="AG28" s="582">
        <v>1</v>
      </c>
      <c r="AH28" s="582">
        <v>1</v>
      </c>
      <c r="AI28" s="583"/>
      <c r="AJ28" s="579">
        <f t="shared" si="1"/>
        <v>22</v>
      </c>
      <c r="AK28" s="580">
        <f t="shared" si="3"/>
        <v>1</v>
      </c>
      <c r="AL28" s="584">
        <v>16100</v>
      </c>
      <c r="AM28" s="765">
        <f t="shared" si="2"/>
        <v>16100</v>
      </c>
      <c r="AN28" s="983"/>
    </row>
    <row r="29" spans="1:40" s="754" customFormat="1" ht="15" customHeight="1">
      <c r="A29" s="755" t="s">
        <v>361</v>
      </c>
      <c r="B29" s="762" t="s">
        <v>351</v>
      </c>
      <c r="C29" s="762" t="s">
        <v>362</v>
      </c>
      <c r="D29" s="581"/>
      <c r="E29" s="582">
        <v>1</v>
      </c>
      <c r="F29" s="582">
        <v>1</v>
      </c>
      <c r="G29" s="583"/>
      <c r="H29" s="583"/>
      <c r="I29" s="582">
        <v>1</v>
      </c>
      <c r="J29" s="582">
        <v>1</v>
      </c>
      <c r="K29" s="582">
        <v>1</v>
      </c>
      <c r="L29" s="582">
        <v>1</v>
      </c>
      <c r="M29" s="582">
        <v>1</v>
      </c>
      <c r="N29" s="583"/>
      <c r="O29" s="583"/>
      <c r="P29" s="582">
        <v>1</v>
      </c>
      <c r="Q29" s="582">
        <v>1</v>
      </c>
      <c r="R29" s="582">
        <v>1</v>
      </c>
      <c r="S29" s="582">
        <v>1</v>
      </c>
      <c r="T29" s="582">
        <v>1</v>
      </c>
      <c r="U29" s="583"/>
      <c r="V29" s="583"/>
      <c r="W29" s="582">
        <v>1</v>
      </c>
      <c r="X29" s="582">
        <v>1</v>
      </c>
      <c r="Y29" s="582">
        <v>1</v>
      </c>
      <c r="Z29" s="582">
        <v>1</v>
      </c>
      <c r="AA29" s="582">
        <v>1</v>
      </c>
      <c r="AB29" s="583"/>
      <c r="AC29" s="583"/>
      <c r="AD29" s="582">
        <v>1</v>
      </c>
      <c r="AE29" s="582">
        <v>1</v>
      </c>
      <c r="AF29" s="582">
        <v>1</v>
      </c>
      <c r="AG29" s="582">
        <v>1</v>
      </c>
      <c r="AH29" s="582">
        <v>1</v>
      </c>
      <c r="AI29" s="583"/>
      <c r="AJ29" s="579">
        <f t="shared" si="1"/>
        <v>22</v>
      </c>
      <c r="AK29" s="580">
        <f t="shared" si="3"/>
        <v>1</v>
      </c>
      <c r="AL29" s="584">
        <v>16100</v>
      </c>
      <c r="AM29" s="765">
        <f t="shared" si="2"/>
        <v>16100</v>
      </c>
      <c r="AN29" s="983"/>
    </row>
    <row r="30" spans="1:40" s="754" customFormat="1" ht="15" customHeight="1">
      <c r="A30" s="755" t="s">
        <v>363</v>
      </c>
      <c r="B30" s="762" t="s">
        <v>351</v>
      </c>
      <c r="C30" s="762" t="s">
        <v>364</v>
      </c>
      <c r="D30" s="581"/>
      <c r="E30" s="582">
        <v>1</v>
      </c>
      <c r="F30" s="582">
        <v>1</v>
      </c>
      <c r="G30" s="583"/>
      <c r="H30" s="583"/>
      <c r="I30" s="582">
        <v>1</v>
      </c>
      <c r="J30" s="582">
        <v>1</v>
      </c>
      <c r="K30" s="582">
        <v>1</v>
      </c>
      <c r="L30" s="582">
        <v>1</v>
      </c>
      <c r="M30" s="582">
        <v>1</v>
      </c>
      <c r="N30" s="583"/>
      <c r="O30" s="583"/>
      <c r="P30" s="582"/>
      <c r="Q30" s="582"/>
      <c r="R30" s="582"/>
      <c r="S30" s="582"/>
      <c r="T30" s="582"/>
      <c r="U30" s="583"/>
      <c r="V30" s="583"/>
      <c r="W30" s="582"/>
      <c r="X30" s="582"/>
      <c r="Y30" s="582"/>
      <c r="Z30" s="582"/>
      <c r="AA30" s="582"/>
      <c r="AB30" s="583"/>
      <c r="AC30" s="583"/>
      <c r="AD30" s="582"/>
      <c r="AE30" s="582"/>
      <c r="AF30" s="582"/>
      <c r="AG30" s="582"/>
      <c r="AH30" s="582"/>
      <c r="AI30" s="583"/>
      <c r="AJ30" s="579">
        <f t="shared" si="1"/>
        <v>7</v>
      </c>
      <c r="AK30" s="580">
        <f>+AJ30/AJ$3</f>
        <v>0.31818181818181818</v>
      </c>
      <c r="AL30" s="584">
        <v>16100</v>
      </c>
      <c r="AM30" s="765">
        <f>+AL30*AK30</f>
        <v>5122.727272727273</v>
      </c>
      <c r="AN30" s="983"/>
    </row>
    <row r="31" spans="1:40" s="754" customFormat="1" ht="15" customHeight="1">
      <c r="A31" s="755" t="s">
        <v>365</v>
      </c>
      <c r="B31" s="762" t="s">
        <v>351</v>
      </c>
      <c r="C31" s="762" t="s">
        <v>366</v>
      </c>
      <c r="D31" s="581"/>
      <c r="E31" s="582">
        <v>1</v>
      </c>
      <c r="F31" s="582">
        <v>1</v>
      </c>
      <c r="G31" s="583"/>
      <c r="H31" s="583"/>
      <c r="I31" s="582">
        <v>1</v>
      </c>
      <c r="J31" s="582">
        <v>1</v>
      </c>
      <c r="K31" s="582">
        <v>1</v>
      </c>
      <c r="L31" s="582">
        <v>1</v>
      </c>
      <c r="M31" s="582">
        <v>1</v>
      </c>
      <c r="N31" s="583"/>
      <c r="O31" s="583"/>
      <c r="P31" s="582">
        <v>1</v>
      </c>
      <c r="Q31" s="582">
        <v>1</v>
      </c>
      <c r="R31" s="582">
        <v>1</v>
      </c>
      <c r="S31" s="582">
        <v>1</v>
      </c>
      <c r="T31" s="582">
        <v>1</v>
      </c>
      <c r="U31" s="583"/>
      <c r="V31" s="583"/>
      <c r="W31" s="582">
        <v>1</v>
      </c>
      <c r="X31" s="582">
        <v>1</v>
      </c>
      <c r="Y31" s="582">
        <v>1</v>
      </c>
      <c r="Z31" s="582">
        <v>1</v>
      </c>
      <c r="AA31" s="582">
        <v>1</v>
      </c>
      <c r="AB31" s="583"/>
      <c r="AC31" s="583"/>
      <c r="AD31" s="582">
        <v>1</v>
      </c>
      <c r="AE31" s="582">
        <v>1</v>
      </c>
      <c r="AF31" s="582">
        <v>1</v>
      </c>
      <c r="AG31" s="582">
        <v>1</v>
      </c>
      <c r="AH31" s="582">
        <v>1</v>
      </c>
      <c r="AI31" s="583"/>
      <c r="AJ31" s="579">
        <f t="shared" si="1"/>
        <v>22</v>
      </c>
      <c r="AK31" s="580">
        <f>+AJ31/AJ$3</f>
        <v>1</v>
      </c>
      <c r="AL31" s="584">
        <v>16100</v>
      </c>
      <c r="AM31" s="765">
        <f t="shared" ref="AM31:AM35" si="4">+AL31*AK31</f>
        <v>16100</v>
      </c>
      <c r="AN31" s="983"/>
    </row>
    <row r="32" spans="1:40" s="754" customFormat="1" ht="15" customHeight="1">
      <c r="A32" s="755" t="s">
        <v>917</v>
      </c>
      <c r="B32" s="762" t="s">
        <v>348</v>
      </c>
      <c r="C32" s="762" t="s">
        <v>918</v>
      </c>
      <c r="D32" s="581"/>
      <c r="E32" s="582"/>
      <c r="F32" s="582"/>
      <c r="G32" s="583"/>
      <c r="H32" s="583"/>
      <c r="I32" s="582"/>
      <c r="J32" s="582"/>
      <c r="K32" s="582"/>
      <c r="L32" s="582"/>
      <c r="M32" s="582"/>
      <c r="N32" s="583"/>
      <c r="O32" s="583"/>
      <c r="P32" s="582">
        <v>1</v>
      </c>
      <c r="Q32" s="582">
        <v>1</v>
      </c>
      <c r="R32" s="582">
        <v>1</v>
      </c>
      <c r="S32" s="582">
        <v>1</v>
      </c>
      <c r="T32" s="582">
        <v>1</v>
      </c>
      <c r="U32" s="583"/>
      <c r="V32" s="583"/>
      <c r="W32" s="582">
        <v>1</v>
      </c>
      <c r="X32" s="582">
        <v>1</v>
      </c>
      <c r="Y32" s="582">
        <v>1</v>
      </c>
      <c r="Z32" s="582">
        <v>1</v>
      </c>
      <c r="AA32" s="582">
        <v>1</v>
      </c>
      <c r="AB32" s="583"/>
      <c r="AC32" s="583"/>
      <c r="AD32" s="582">
        <v>1</v>
      </c>
      <c r="AE32" s="582">
        <v>1</v>
      </c>
      <c r="AF32" s="582">
        <v>1</v>
      </c>
      <c r="AG32" s="582">
        <v>1</v>
      </c>
      <c r="AH32" s="582">
        <v>1</v>
      </c>
      <c r="AI32" s="583"/>
      <c r="AJ32" s="579">
        <f t="shared" si="1"/>
        <v>15</v>
      </c>
      <c r="AK32" s="580">
        <f t="shared" si="3"/>
        <v>0.68181818181818177</v>
      </c>
      <c r="AL32" s="584">
        <v>16100</v>
      </c>
      <c r="AM32" s="765">
        <f t="shared" si="4"/>
        <v>10977.272727272726</v>
      </c>
      <c r="AN32" s="983"/>
    </row>
    <row r="33" spans="1:40" s="754" customFormat="1" ht="15" customHeight="1">
      <c r="A33" s="755" t="s">
        <v>367</v>
      </c>
      <c r="B33" s="762" t="s">
        <v>348</v>
      </c>
      <c r="C33" s="762" t="s">
        <v>919</v>
      </c>
      <c r="D33" s="581"/>
      <c r="E33" s="582"/>
      <c r="F33" s="582"/>
      <c r="G33" s="583"/>
      <c r="H33" s="583"/>
      <c r="I33" s="582"/>
      <c r="J33" s="582"/>
      <c r="K33" s="582"/>
      <c r="L33" s="582"/>
      <c r="M33" s="582"/>
      <c r="N33" s="583"/>
      <c r="O33" s="583"/>
      <c r="P33" s="582"/>
      <c r="Q33" s="582"/>
      <c r="R33" s="582"/>
      <c r="S33" s="582"/>
      <c r="T33" s="582"/>
      <c r="U33" s="583"/>
      <c r="V33" s="583"/>
      <c r="W33" s="582">
        <v>1</v>
      </c>
      <c r="X33" s="582">
        <v>1</v>
      </c>
      <c r="Y33" s="582">
        <v>1</v>
      </c>
      <c r="Z33" s="582">
        <v>1</v>
      </c>
      <c r="AA33" s="582">
        <v>1</v>
      </c>
      <c r="AB33" s="583"/>
      <c r="AC33" s="583"/>
      <c r="AD33" s="582">
        <v>1</v>
      </c>
      <c r="AE33" s="582">
        <v>1</v>
      </c>
      <c r="AF33" s="582">
        <v>1</v>
      </c>
      <c r="AG33" s="582">
        <v>1</v>
      </c>
      <c r="AH33" s="582">
        <v>1</v>
      </c>
      <c r="AI33" s="583"/>
      <c r="AJ33" s="579">
        <f t="shared" si="1"/>
        <v>10</v>
      </c>
      <c r="AK33" s="580">
        <f t="shared" si="3"/>
        <v>0.45454545454545453</v>
      </c>
      <c r="AL33" s="584">
        <v>16100</v>
      </c>
      <c r="AM33" s="765">
        <f t="shared" si="4"/>
        <v>7318.181818181818</v>
      </c>
      <c r="AN33" s="983"/>
    </row>
    <row r="34" spans="1:40" s="754" customFormat="1" ht="15" customHeight="1">
      <c r="A34" s="755" t="s">
        <v>767</v>
      </c>
      <c r="B34" s="762" t="s">
        <v>348</v>
      </c>
      <c r="C34" s="762" t="s">
        <v>920</v>
      </c>
      <c r="D34" s="581"/>
      <c r="E34" s="582"/>
      <c r="F34" s="582"/>
      <c r="G34" s="583"/>
      <c r="H34" s="583"/>
      <c r="I34" s="582"/>
      <c r="J34" s="582"/>
      <c r="K34" s="582"/>
      <c r="L34" s="582"/>
      <c r="M34" s="582"/>
      <c r="N34" s="583"/>
      <c r="O34" s="583"/>
      <c r="P34" s="582"/>
      <c r="Q34" s="582"/>
      <c r="R34" s="582"/>
      <c r="S34" s="582"/>
      <c r="T34" s="582"/>
      <c r="U34" s="583"/>
      <c r="V34" s="583"/>
      <c r="W34" s="582"/>
      <c r="X34" s="582"/>
      <c r="Y34" s="582">
        <v>1</v>
      </c>
      <c r="Z34" s="582">
        <v>1</v>
      </c>
      <c r="AA34" s="582">
        <v>1</v>
      </c>
      <c r="AB34" s="583"/>
      <c r="AC34" s="583"/>
      <c r="AD34" s="582">
        <v>1</v>
      </c>
      <c r="AE34" s="582">
        <v>1</v>
      </c>
      <c r="AF34" s="582">
        <v>1</v>
      </c>
      <c r="AG34" s="582">
        <v>1</v>
      </c>
      <c r="AH34" s="582">
        <v>1</v>
      </c>
      <c r="AI34" s="583"/>
      <c r="AJ34" s="579">
        <f t="shared" si="1"/>
        <v>8</v>
      </c>
      <c r="AK34" s="580">
        <f t="shared" si="3"/>
        <v>0.36363636363636365</v>
      </c>
      <c r="AL34" s="584">
        <v>16100</v>
      </c>
      <c r="AM34" s="765">
        <f t="shared" si="4"/>
        <v>5854.545454545455</v>
      </c>
      <c r="AN34" s="983"/>
    </row>
    <row r="35" spans="1:40" s="754" customFormat="1" ht="15" customHeight="1">
      <c r="A35" s="755" t="s">
        <v>921</v>
      </c>
      <c r="B35" s="762" t="s">
        <v>348</v>
      </c>
      <c r="C35" s="762" t="s">
        <v>922</v>
      </c>
      <c r="D35" s="581"/>
      <c r="E35" s="582"/>
      <c r="F35" s="582"/>
      <c r="G35" s="583"/>
      <c r="H35" s="583"/>
      <c r="I35" s="582"/>
      <c r="J35" s="582"/>
      <c r="K35" s="582"/>
      <c r="L35" s="582"/>
      <c r="M35" s="582"/>
      <c r="N35" s="583"/>
      <c r="O35" s="583"/>
      <c r="P35" s="582"/>
      <c r="Q35" s="582"/>
      <c r="R35" s="582"/>
      <c r="S35" s="582"/>
      <c r="T35" s="582"/>
      <c r="U35" s="583"/>
      <c r="V35" s="583"/>
      <c r="W35" s="582"/>
      <c r="X35" s="582"/>
      <c r="Y35" s="582"/>
      <c r="Z35" s="582"/>
      <c r="AA35" s="582">
        <v>1</v>
      </c>
      <c r="AB35" s="583"/>
      <c r="AC35" s="583"/>
      <c r="AD35" s="582">
        <v>1</v>
      </c>
      <c r="AE35" s="582">
        <v>1</v>
      </c>
      <c r="AF35" s="582">
        <v>1</v>
      </c>
      <c r="AG35" s="582">
        <v>1</v>
      </c>
      <c r="AH35" s="582">
        <v>1</v>
      </c>
      <c r="AI35" s="583"/>
      <c r="AJ35" s="579">
        <f t="shared" si="1"/>
        <v>6</v>
      </c>
      <c r="AK35" s="580">
        <f t="shared" si="3"/>
        <v>0.27272727272727271</v>
      </c>
      <c r="AL35" s="584">
        <v>16100</v>
      </c>
      <c r="AM35" s="765">
        <f t="shared" si="4"/>
        <v>4390.909090909091</v>
      </c>
      <c r="AN35" s="983"/>
    </row>
    <row r="36" spans="1:40" s="754" customFormat="1" ht="15" customHeight="1">
      <c r="A36" s="755" t="s">
        <v>923</v>
      </c>
      <c r="B36" s="762" t="s">
        <v>852</v>
      </c>
      <c r="C36" s="762" t="s">
        <v>766</v>
      </c>
      <c r="D36" s="581"/>
      <c r="E36" s="582">
        <v>1</v>
      </c>
      <c r="F36" s="582">
        <v>1</v>
      </c>
      <c r="G36" s="583"/>
      <c r="H36" s="583"/>
      <c r="I36" s="582">
        <v>1</v>
      </c>
      <c r="J36" s="582">
        <v>1</v>
      </c>
      <c r="K36" s="582">
        <v>1</v>
      </c>
      <c r="L36" s="582">
        <v>1</v>
      </c>
      <c r="M36" s="582">
        <v>1</v>
      </c>
      <c r="N36" s="583"/>
      <c r="O36" s="583"/>
      <c r="P36" s="582">
        <v>1</v>
      </c>
      <c r="Q36" s="582">
        <v>1</v>
      </c>
      <c r="R36" s="582">
        <v>1</v>
      </c>
      <c r="S36" s="582">
        <v>1</v>
      </c>
      <c r="T36" s="582">
        <v>1</v>
      </c>
      <c r="U36" s="583"/>
      <c r="V36" s="583"/>
      <c r="W36" s="582">
        <v>1</v>
      </c>
      <c r="X36" s="582">
        <v>1</v>
      </c>
      <c r="Y36" s="582">
        <v>1</v>
      </c>
      <c r="Z36" s="582">
        <v>1</v>
      </c>
      <c r="AA36" s="582">
        <v>1</v>
      </c>
      <c r="AB36" s="583"/>
      <c r="AC36" s="583"/>
      <c r="AD36" s="582">
        <v>1</v>
      </c>
      <c r="AE36" s="582">
        <v>1</v>
      </c>
      <c r="AF36" s="582">
        <v>1</v>
      </c>
      <c r="AG36" s="582">
        <v>1</v>
      </c>
      <c r="AH36" s="582">
        <v>1</v>
      </c>
      <c r="AI36" s="583"/>
      <c r="AJ36" s="579">
        <f t="shared" si="1"/>
        <v>22</v>
      </c>
      <c r="AK36" s="580">
        <f>+AJ36/AJ$3</f>
        <v>1</v>
      </c>
      <c r="AL36" s="584">
        <v>9697</v>
      </c>
      <c r="AM36" s="765">
        <f>+AL36*AK36</f>
        <v>9697</v>
      </c>
      <c r="AN36" s="983"/>
    </row>
    <row r="37" spans="1:40" s="754" customFormat="1" ht="15" customHeight="1">
      <c r="A37" s="755" t="s">
        <v>924</v>
      </c>
      <c r="B37" s="762" t="s">
        <v>852</v>
      </c>
      <c r="C37" s="762" t="s">
        <v>768</v>
      </c>
      <c r="D37" s="581"/>
      <c r="E37" s="582">
        <v>1</v>
      </c>
      <c r="F37" s="582">
        <v>1</v>
      </c>
      <c r="G37" s="583"/>
      <c r="H37" s="583"/>
      <c r="I37" s="582">
        <v>1</v>
      </c>
      <c r="J37" s="582">
        <v>1</v>
      </c>
      <c r="K37" s="582">
        <v>1</v>
      </c>
      <c r="L37" s="582">
        <v>1</v>
      </c>
      <c r="M37" s="582">
        <v>1</v>
      </c>
      <c r="N37" s="583"/>
      <c r="O37" s="583"/>
      <c r="P37" s="582">
        <v>1</v>
      </c>
      <c r="Q37" s="582">
        <v>1</v>
      </c>
      <c r="R37" s="582">
        <v>1</v>
      </c>
      <c r="S37" s="582">
        <v>1</v>
      </c>
      <c r="T37" s="582">
        <v>1</v>
      </c>
      <c r="U37" s="583"/>
      <c r="V37" s="583"/>
      <c r="W37" s="582">
        <v>1</v>
      </c>
      <c r="X37" s="582">
        <v>1</v>
      </c>
      <c r="Y37" s="582">
        <v>1</v>
      </c>
      <c r="Z37" s="582">
        <v>1</v>
      </c>
      <c r="AA37" s="582">
        <v>1</v>
      </c>
      <c r="AB37" s="583"/>
      <c r="AC37" s="583"/>
      <c r="AD37" s="582">
        <v>1</v>
      </c>
      <c r="AE37" s="582">
        <v>1</v>
      </c>
      <c r="AF37" s="582">
        <v>1</v>
      </c>
      <c r="AG37" s="582">
        <v>1</v>
      </c>
      <c r="AH37" s="582">
        <v>1</v>
      </c>
      <c r="AI37" s="583"/>
      <c r="AJ37" s="579">
        <f t="shared" si="1"/>
        <v>22</v>
      </c>
      <c r="AK37" s="580">
        <f>+AJ37/AJ$3</f>
        <v>1</v>
      </c>
      <c r="AL37" s="584">
        <v>9500</v>
      </c>
      <c r="AM37" s="765">
        <f>+AL37*AK37</f>
        <v>9500</v>
      </c>
      <c r="AN37" s="983"/>
    </row>
    <row r="38" spans="1:40" s="754" customFormat="1" ht="15" customHeight="1">
      <c r="A38" s="755">
        <v>7</v>
      </c>
      <c r="B38" s="762" t="s">
        <v>368</v>
      </c>
      <c r="C38" s="762" t="s">
        <v>769</v>
      </c>
      <c r="D38" s="581">
        <v>15</v>
      </c>
      <c r="E38" s="582">
        <v>1</v>
      </c>
      <c r="F38" s="582">
        <v>1</v>
      </c>
      <c r="G38" s="583"/>
      <c r="H38" s="583"/>
      <c r="I38" s="582">
        <v>1</v>
      </c>
      <c r="J38" s="582">
        <v>1</v>
      </c>
      <c r="K38" s="582">
        <v>1</v>
      </c>
      <c r="L38" s="582">
        <v>1</v>
      </c>
      <c r="M38" s="582">
        <v>1</v>
      </c>
      <c r="N38" s="583"/>
      <c r="O38" s="583"/>
      <c r="P38" s="582">
        <v>1</v>
      </c>
      <c r="Q38" s="582">
        <v>1</v>
      </c>
      <c r="R38" s="582">
        <v>1</v>
      </c>
      <c r="S38" s="582">
        <v>1</v>
      </c>
      <c r="T38" s="582">
        <v>1</v>
      </c>
      <c r="U38" s="583"/>
      <c r="V38" s="583"/>
      <c r="W38" s="582">
        <v>1</v>
      </c>
      <c r="X38" s="582">
        <v>1</v>
      </c>
      <c r="Y38" s="582">
        <v>1</v>
      </c>
      <c r="Z38" s="582">
        <v>1</v>
      </c>
      <c r="AA38" s="582">
        <v>1</v>
      </c>
      <c r="AB38" s="583"/>
      <c r="AC38" s="583"/>
      <c r="AD38" s="582">
        <v>1</v>
      </c>
      <c r="AE38" s="582">
        <v>1</v>
      </c>
      <c r="AF38" s="582">
        <v>1</v>
      </c>
      <c r="AG38" s="582">
        <v>1</v>
      </c>
      <c r="AH38" s="582">
        <v>1</v>
      </c>
      <c r="AI38" s="583"/>
      <c r="AJ38" s="579">
        <f t="shared" si="1"/>
        <v>22</v>
      </c>
      <c r="AK38" s="580">
        <f t="shared" si="3"/>
        <v>1</v>
      </c>
      <c r="AL38" s="584">
        <v>8100</v>
      </c>
      <c r="AM38" s="765">
        <f t="shared" si="2"/>
        <v>8100</v>
      </c>
      <c r="AN38" s="983"/>
    </row>
    <row r="39" spans="1:40" s="754" customFormat="1" ht="15.6" customHeight="1">
      <c r="A39" s="755" t="s">
        <v>369</v>
      </c>
      <c r="B39" s="762" t="s">
        <v>368</v>
      </c>
      <c r="C39" s="762" t="s">
        <v>370</v>
      </c>
      <c r="D39" s="581"/>
      <c r="E39" s="582">
        <v>1</v>
      </c>
      <c r="F39" s="582">
        <v>1</v>
      </c>
      <c r="G39" s="583"/>
      <c r="H39" s="583"/>
      <c r="I39" s="582">
        <v>1</v>
      </c>
      <c r="J39" s="582">
        <v>1</v>
      </c>
      <c r="K39" s="582">
        <v>1</v>
      </c>
      <c r="L39" s="582">
        <v>1</v>
      </c>
      <c r="M39" s="582">
        <v>1</v>
      </c>
      <c r="N39" s="583"/>
      <c r="O39" s="583"/>
      <c r="P39" s="582">
        <v>1</v>
      </c>
      <c r="Q39" s="582">
        <v>1</v>
      </c>
      <c r="R39" s="582">
        <v>1</v>
      </c>
      <c r="S39" s="582">
        <v>1</v>
      </c>
      <c r="T39" s="582">
        <v>1</v>
      </c>
      <c r="U39" s="583"/>
      <c r="V39" s="583"/>
      <c r="W39" s="582">
        <v>1</v>
      </c>
      <c r="X39" s="582">
        <v>1</v>
      </c>
      <c r="Y39" s="582">
        <v>1</v>
      </c>
      <c r="Z39" s="582">
        <v>1</v>
      </c>
      <c r="AA39" s="582">
        <v>1</v>
      </c>
      <c r="AB39" s="583"/>
      <c r="AC39" s="583"/>
      <c r="AD39" s="582">
        <v>1</v>
      </c>
      <c r="AE39" s="582">
        <v>1</v>
      </c>
      <c r="AF39" s="582">
        <v>1</v>
      </c>
      <c r="AG39" s="582">
        <v>1</v>
      </c>
      <c r="AH39" s="582">
        <v>1</v>
      </c>
      <c r="AI39" s="583"/>
      <c r="AJ39" s="579">
        <f t="shared" si="1"/>
        <v>22</v>
      </c>
      <c r="AK39" s="580">
        <f t="shared" si="3"/>
        <v>1</v>
      </c>
      <c r="AL39" s="584">
        <v>8100</v>
      </c>
      <c r="AM39" s="765">
        <f t="shared" si="2"/>
        <v>8100</v>
      </c>
      <c r="AN39" s="983"/>
    </row>
    <row r="40" spans="1:40" s="754" customFormat="1" ht="15" customHeight="1">
      <c r="A40" s="755" t="s">
        <v>371</v>
      </c>
      <c r="B40" s="762" t="s">
        <v>368</v>
      </c>
      <c r="C40" s="762" t="s">
        <v>372</v>
      </c>
      <c r="D40" s="581"/>
      <c r="E40" s="582">
        <v>1</v>
      </c>
      <c r="F40" s="582">
        <v>1</v>
      </c>
      <c r="G40" s="583"/>
      <c r="H40" s="583"/>
      <c r="I40" s="582">
        <v>1</v>
      </c>
      <c r="J40" s="582">
        <v>1</v>
      </c>
      <c r="K40" s="582">
        <v>1</v>
      </c>
      <c r="L40" s="582">
        <v>1</v>
      </c>
      <c r="M40" s="582">
        <v>1</v>
      </c>
      <c r="N40" s="583"/>
      <c r="O40" s="583"/>
      <c r="P40" s="582">
        <v>1</v>
      </c>
      <c r="Q40" s="582">
        <v>1</v>
      </c>
      <c r="R40" s="582">
        <v>1</v>
      </c>
      <c r="S40" s="582">
        <v>1</v>
      </c>
      <c r="T40" s="582">
        <v>1</v>
      </c>
      <c r="U40" s="583"/>
      <c r="V40" s="583"/>
      <c r="W40" s="582">
        <v>1</v>
      </c>
      <c r="X40" s="582">
        <v>1</v>
      </c>
      <c r="Y40" s="582">
        <v>1</v>
      </c>
      <c r="Z40" s="582">
        <v>1</v>
      </c>
      <c r="AA40" s="582">
        <v>1</v>
      </c>
      <c r="AB40" s="583"/>
      <c r="AC40" s="583"/>
      <c r="AD40" s="582">
        <v>1</v>
      </c>
      <c r="AE40" s="582">
        <v>1</v>
      </c>
      <c r="AF40" s="582">
        <v>1</v>
      </c>
      <c r="AG40" s="582">
        <v>1</v>
      </c>
      <c r="AH40" s="582">
        <v>1</v>
      </c>
      <c r="AI40" s="583"/>
      <c r="AJ40" s="579">
        <f t="shared" si="1"/>
        <v>22</v>
      </c>
      <c r="AK40" s="580">
        <f t="shared" si="3"/>
        <v>1</v>
      </c>
      <c r="AL40" s="584">
        <v>8100</v>
      </c>
      <c r="AM40" s="765">
        <f t="shared" si="2"/>
        <v>8100</v>
      </c>
      <c r="AN40" s="983"/>
    </row>
    <row r="41" spans="1:40" s="754" customFormat="1" ht="15" customHeight="1">
      <c r="A41" s="755" t="s">
        <v>373</v>
      </c>
      <c r="B41" s="762" t="s">
        <v>368</v>
      </c>
      <c r="C41" s="762" t="s">
        <v>374</v>
      </c>
      <c r="D41" s="581"/>
      <c r="E41" s="582">
        <v>1</v>
      </c>
      <c r="F41" s="582">
        <v>1</v>
      </c>
      <c r="G41" s="583"/>
      <c r="H41" s="583"/>
      <c r="I41" s="582">
        <v>1</v>
      </c>
      <c r="J41" s="582">
        <v>1</v>
      </c>
      <c r="K41" s="582">
        <v>1</v>
      </c>
      <c r="L41" s="582">
        <v>1</v>
      </c>
      <c r="M41" s="582">
        <v>1</v>
      </c>
      <c r="N41" s="583"/>
      <c r="O41" s="583"/>
      <c r="P41" s="582">
        <v>1</v>
      </c>
      <c r="Q41" s="582">
        <v>1</v>
      </c>
      <c r="R41" s="582">
        <v>1</v>
      </c>
      <c r="S41" s="582">
        <v>1</v>
      </c>
      <c r="T41" s="582">
        <v>1</v>
      </c>
      <c r="U41" s="583"/>
      <c r="V41" s="583"/>
      <c r="W41" s="582">
        <v>1</v>
      </c>
      <c r="X41" s="582">
        <v>1</v>
      </c>
      <c r="Y41" s="582">
        <v>1</v>
      </c>
      <c r="Z41" s="582">
        <v>1</v>
      </c>
      <c r="AA41" s="582">
        <v>1</v>
      </c>
      <c r="AB41" s="583"/>
      <c r="AC41" s="984"/>
      <c r="AD41" s="582">
        <v>1</v>
      </c>
      <c r="AE41" s="582">
        <v>1</v>
      </c>
      <c r="AF41" s="582">
        <v>1</v>
      </c>
      <c r="AG41" s="582">
        <v>1</v>
      </c>
      <c r="AH41" s="582">
        <v>1</v>
      </c>
      <c r="AI41" s="583"/>
      <c r="AJ41" s="579">
        <f t="shared" si="1"/>
        <v>22</v>
      </c>
      <c r="AK41" s="580">
        <f t="shared" si="3"/>
        <v>1</v>
      </c>
      <c r="AL41" s="584">
        <v>8100</v>
      </c>
      <c r="AM41" s="765">
        <f t="shared" si="2"/>
        <v>8100</v>
      </c>
      <c r="AN41" s="983"/>
    </row>
    <row r="42" spans="1:40" s="754" customFormat="1" ht="15" customHeight="1">
      <c r="A42" s="755" t="s">
        <v>375</v>
      </c>
      <c r="B42" s="762" t="s">
        <v>368</v>
      </c>
      <c r="C42" s="762" t="s">
        <v>376</v>
      </c>
      <c r="D42" s="581"/>
      <c r="E42" s="582">
        <v>1</v>
      </c>
      <c r="F42" s="582">
        <v>1</v>
      </c>
      <c r="G42" s="583"/>
      <c r="H42" s="583"/>
      <c r="I42" s="582">
        <v>1</v>
      </c>
      <c r="J42" s="582">
        <v>1</v>
      </c>
      <c r="K42" s="582">
        <v>1</v>
      </c>
      <c r="L42" s="582">
        <v>1</v>
      </c>
      <c r="M42" s="582">
        <v>1</v>
      </c>
      <c r="N42" s="583"/>
      <c r="O42" s="583"/>
      <c r="P42" s="582">
        <v>1</v>
      </c>
      <c r="Q42" s="582">
        <v>1</v>
      </c>
      <c r="R42" s="582">
        <v>1</v>
      </c>
      <c r="S42" s="582">
        <v>1</v>
      </c>
      <c r="T42" s="582">
        <v>1</v>
      </c>
      <c r="U42" s="583"/>
      <c r="V42" s="583"/>
      <c r="W42" s="582">
        <v>1</v>
      </c>
      <c r="X42" s="582">
        <v>1</v>
      </c>
      <c r="Y42" s="582">
        <v>1</v>
      </c>
      <c r="Z42" s="582">
        <v>1</v>
      </c>
      <c r="AA42" s="582">
        <v>1</v>
      </c>
      <c r="AB42" s="583"/>
      <c r="AC42" s="583"/>
      <c r="AD42" s="582">
        <v>1</v>
      </c>
      <c r="AE42" s="582">
        <v>1</v>
      </c>
      <c r="AF42" s="582">
        <v>1</v>
      </c>
      <c r="AG42" s="582">
        <v>1</v>
      </c>
      <c r="AH42" s="582">
        <v>1</v>
      </c>
      <c r="AI42" s="583"/>
      <c r="AJ42" s="579">
        <f t="shared" si="1"/>
        <v>22</v>
      </c>
      <c r="AK42" s="580">
        <f t="shared" si="3"/>
        <v>1</v>
      </c>
      <c r="AL42" s="584">
        <v>8100</v>
      </c>
      <c r="AM42" s="765">
        <f t="shared" si="2"/>
        <v>8100</v>
      </c>
      <c r="AN42" s="983"/>
    </row>
    <row r="43" spans="1:40" s="754" customFormat="1" ht="15" customHeight="1">
      <c r="A43" s="755" t="s">
        <v>377</v>
      </c>
      <c r="B43" s="762" t="s">
        <v>368</v>
      </c>
      <c r="C43" s="762" t="s">
        <v>378</v>
      </c>
      <c r="D43" s="581"/>
      <c r="E43" s="582">
        <v>1</v>
      </c>
      <c r="F43" s="582">
        <v>1</v>
      </c>
      <c r="G43" s="583"/>
      <c r="H43" s="583"/>
      <c r="I43" s="582">
        <v>1</v>
      </c>
      <c r="J43" s="582">
        <v>1</v>
      </c>
      <c r="K43" s="582">
        <v>1</v>
      </c>
      <c r="L43" s="582">
        <v>1</v>
      </c>
      <c r="M43" s="582">
        <v>1</v>
      </c>
      <c r="N43" s="583"/>
      <c r="O43" s="583"/>
      <c r="P43" s="582">
        <v>1</v>
      </c>
      <c r="Q43" s="582">
        <v>1</v>
      </c>
      <c r="R43" s="582">
        <v>1</v>
      </c>
      <c r="S43" s="582">
        <v>1</v>
      </c>
      <c r="T43" s="582">
        <v>1</v>
      </c>
      <c r="U43" s="583"/>
      <c r="V43" s="583"/>
      <c r="W43" s="582">
        <v>1</v>
      </c>
      <c r="X43" s="582">
        <v>1</v>
      </c>
      <c r="Y43" s="582">
        <v>1</v>
      </c>
      <c r="Z43" s="582">
        <v>1</v>
      </c>
      <c r="AA43" s="582">
        <v>1</v>
      </c>
      <c r="AB43" s="583"/>
      <c r="AC43" s="583"/>
      <c r="AD43" s="582">
        <v>1</v>
      </c>
      <c r="AE43" s="582">
        <v>1</v>
      </c>
      <c r="AF43" s="582">
        <v>1</v>
      </c>
      <c r="AG43" s="582">
        <v>1</v>
      </c>
      <c r="AH43" s="582">
        <v>1</v>
      </c>
      <c r="AI43" s="583"/>
      <c r="AJ43" s="579">
        <f t="shared" si="1"/>
        <v>22</v>
      </c>
      <c r="AK43" s="580">
        <f t="shared" si="3"/>
        <v>1</v>
      </c>
      <c r="AL43" s="584">
        <v>8100</v>
      </c>
      <c r="AM43" s="765">
        <f t="shared" si="2"/>
        <v>8100</v>
      </c>
      <c r="AN43" s="983"/>
    </row>
    <row r="44" spans="1:40" s="754" customFormat="1" ht="15" customHeight="1">
      <c r="A44" s="755" t="s">
        <v>379</v>
      </c>
      <c r="B44" s="762" t="s">
        <v>368</v>
      </c>
      <c r="C44" s="762" t="s">
        <v>380</v>
      </c>
      <c r="D44" s="581"/>
      <c r="E44" s="582">
        <v>1</v>
      </c>
      <c r="F44" s="582">
        <v>1</v>
      </c>
      <c r="G44" s="583"/>
      <c r="H44" s="583"/>
      <c r="I44" s="582">
        <v>1</v>
      </c>
      <c r="J44" s="582">
        <v>1</v>
      </c>
      <c r="K44" s="582">
        <v>1</v>
      </c>
      <c r="L44" s="582">
        <v>1</v>
      </c>
      <c r="M44" s="582">
        <v>1</v>
      </c>
      <c r="N44" s="583"/>
      <c r="O44" s="583"/>
      <c r="P44" s="582">
        <v>1</v>
      </c>
      <c r="Q44" s="582">
        <v>1</v>
      </c>
      <c r="R44" s="582">
        <v>1</v>
      </c>
      <c r="S44" s="582">
        <v>1</v>
      </c>
      <c r="T44" s="582">
        <v>1</v>
      </c>
      <c r="U44" s="583"/>
      <c r="V44" s="583"/>
      <c r="W44" s="582">
        <v>1</v>
      </c>
      <c r="X44" s="582">
        <v>1</v>
      </c>
      <c r="Y44" s="582">
        <v>1</v>
      </c>
      <c r="Z44" s="582">
        <v>1</v>
      </c>
      <c r="AA44" s="582">
        <v>1</v>
      </c>
      <c r="AB44" s="583"/>
      <c r="AC44" s="583"/>
      <c r="AD44" s="582">
        <v>1</v>
      </c>
      <c r="AE44" s="582">
        <v>1</v>
      </c>
      <c r="AF44" s="582">
        <v>1</v>
      </c>
      <c r="AG44" s="582">
        <v>1</v>
      </c>
      <c r="AH44" s="582">
        <v>1</v>
      </c>
      <c r="AI44" s="583"/>
      <c r="AJ44" s="579">
        <f t="shared" si="1"/>
        <v>22</v>
      </c>
      <c r="AK44" s="580">
        <f t="shared" si="3"/>
        <v>1</v>
      </c>
      <c r="AL44" s="584">
        <v>8100</v>
      </c>
      <c r="AM44" s="765">
        <f t="shared" si="2"/>
        <v>8100</v>
      </c>
      <c r="AN44" s="983"/>
    </row>
    <row r="45" spans="1:40" s="754" customFormat="1" ht="15" customHeight="1">
      <c r="A45" s="755" t="s">
        <v>381</v>
      </c>
      <c r="B45" s="762" t="s">
        <v>368</v>
      </c>
      <c r="C45" s="762" t="s">
        <v>382</v>
      </c>
      <c r="D45" s="581"/>
      <c r="E45" s="582">
        <v>1</v>
      </c>
      <c r="F45" s="582">
        <v>1</v>
      </c>
      <c r="G45" s="583"/>
      <c r="H45" s="583"/>
      <c r="I45" s="582">
        <v>1</v>
      </c>
      <c r="J45" s="582">
        <v>1</v>
      </c>
      <c r="K45" s="582">
        <v>1</v>
      </c>
      <c r="L45" s="582">
        <v>1</v>
      </c>
      <c r="M45" s="582">
        <v>1</v>
      </c>
      <c r="N45" s="583"/>
      <c r="O45" s="583"/>
      <c r="P45" s="582">
        <v>1</v>
      </c>
      <c r="Q45" s="582">
        <v>1</v>
      </c>
      <c r="R45" s="582">
        <v>1</v>
      </c>
      <c r="S45" s="582">
        <v>1</v>
      </c>
      <c r="T45" s="582">
        <v>1</v>
      </c>
      <c r="U45" s="583"/>
      <c r="V45" s="583"/>
      <c r="W45" s="582">
        <v>1</v>
      </c>
      <c r="X45" s="582">
        <v>1</v>
      </c>
      <c r="Y45" s="582">
        <v>1</v>
      </c>
      <c r="Z45" s="582">
        <v>1</v>
      </c>
      <c r="AA45" s="582">
        <v>1</v>
      </c>
      <c r="AB45" s="583"/>
      <c r="AC45" s="583"/>
      <c r="AD45" s="582">
        <v>1</v>
      </c>
      <c r="AE45" s="582">
        <v>1</v>
      </c>
      <c r="AF45" s="582">
        <v>1</v>
      </c>
      <c r="AG45" s="582">
        <v>1</v>
      </c>
      <c r="AH45" s="582">
        <v>1</v>
      </c>
      <c r="AI45" s="583"/>
      <c r="AJ45" s="579">
        <f t="shared" si="1"/>
        <v>22</v>
      </c>
      <c r="AK45" s="580">
        <f t="shared" si="3"/>
        <v>1</v>
      </c>
      <c r="AL45" s="584">
        <v>8100</v>
      </c>
      <c r="AM45" s="765">
        <f t="shared" si="2"/>
        <v>8100</v>
      </c>
      <c r="AN45" s="983"/>
    </row>
    <row r="46" spans="1:40" s="754" customFormat="1" ht="15" customHeight="1">
      <c r="A46" s="755" t="s">
        <v>383</v>
      </c>
      <c r="B46" s="762" t="s">
        <v>368</v>
      </c>
      <c r="C46" s="762" t="s">
        <v>384</v>
      </c>
      <c r="D46" s="581"/>
      <c r="E46" s="582">
        <v>1</v>
      </c>
      <c r="F46" s="582">
        <v>1</v>
      </c>
      <c r="G46" s="583"/>
      <c r="H46" s="583"/>
      <c r="I46" s="582">
        <v>1</v>
      </c>
      <c r="J46" s="582">
        <v>1</v>
      </c>
      <c r="K46" s="582">
        <v>1</v>
      </c>
      <c r="L46" s="582">
        <v>1</v>
      </c>
      <c r="M46" s="582">
        <v>1</v>
      </c>
      <c r="N46" s="583"/>
      <c r="O46" s="583"/>
      <c r="P46" s="582">
        <v>1</v>
      </c>
      <c r="Q46" s="582">
        <v>1</v>
      </c>
      <c r="R46" s="582">
        <v>1</v>
      </c>
      <c r="S46" s="582">
        <v>1</v>
      </c>
      <c r="T46" s="582">
        <v>1</v>
      </c>
      <c r="U46" s="583"/>
      <c r="V46" s="583"/>
      <c r="W46" s="582">
        <v>1</v>
      </c>
      <c r="X46" s="582">
        <v>1</v>
      </c>
      <c r="Y46" s="582">
        <v>1</v>
      </c>
      <c r="Z46" s="582">
        <v>1</v>
      </c>
      <c r="AA46" s="582">
        <v>1</v>
      </c>
      <c r="AB46" s="583"/>
      <c r="AC46" s="583"/>
      <c r="AD46" s="582">
        <v>1</v>
      </c>
      <c r="AE46" s="582">
        <v>1</v>
      </c>
      <c r="AF46" s="582">
        <v>1</v>
      </c>
      <c r="AG46" s="582">
        <v>1</v>
      </c>
      <c r="AH46" s="582">
        <v>1</v>
      </c>
      <c r="AI46" s="583"/>
      <c r="AJ46" s="579">
        <f t="shared" si="1"/>
        <v>22</v>
      </c>
      <c r="AK46" s="580">
        <f t="shared" si="3"/>
        <v>1</v>
      </c>
      <c r="AL46" s="584">
        <v>8100</v>
      </c>
      <c r="AM46" s="765">
        <f t="shared" si="2"/>
        <v>8100</v>
      </c>
      <c r="AN46" s="983"/>
    </row>
    <row r="47" spans="1:40" s="754" customFormat="1" ht="15" customHeight="1">
      <c r="A47" s="755" t="s">
        <v>385</v>
      </c>
      <c r="B47" s="762" t="s">
        <v>368</v>
      </c>
      <c r="C47" s="762" t="s">
        <v>386</v>
      </c>
      <c r="D47" s="581"/>
      <c r="E47" s="582">
        <v>1</v>
      </c>
      <c r="F47" s="582">
        <v>1</v>
      </c>
      <c r="G47" s="583"/>
      <c r="H47" s="583"/>
      <c r="I47" s="582">
        <v>1</v>
      </c>
      <c r="J47" s="582">
        <v>1</v>
      </c>
      <c r="K47" s="582">
        <v>1</v>
      </c>
      <c r="L47" s="582">
        <v>1</v>
      </c>
      <c r="M47" s="582">
        <v>1</v>
      </c>
      <c r="N47" s="583"/>
      <c r="O47" s="583"/>
      <c r="P47" s="582">
        <v>1</v>
      </c>
      <c r="Q47" s="582">
        <v>1</v>
      </c>
      <c r="R47" s="582">
        <v>1</v>
      </c>
      <c r="S47" s="582">
        <v>1</v>
      </c>
      <c r="T47" s="582">
        <v>1</v>
      </c>
      <c r="U47" s="583"/>
      <c r="V47" s="583"/>
      <c r="W47" s="582">
        <v>1</v>
      </c>
      <c r="X47" s="582">
        <v>1</v>
      </c>
      <c r="Y47" s="582">
        <v>1</v>
      </c>
      <c r="Z47" s="582">
        <v>1</v>
      </c>
      <c r="AA47" s="582">
        <v>1</v>
      </c>
      <c r="AB47" s="583"/>
      <c r="AC47" s="583"/>
      <c r="AD47" s="582">
        <v>1</v>
      </c>
      <c r="AE47" s="582">
        <v>1</v>
      </c>
      <c r="AF47" s="582">
        <v>1</v>
      </c>
      <c r="AG47" s="582">
        <v>1</v>
      </c>
      <c r="AH47" s="582">
        <v>1</v>
      </c>
      <c r="AI47" s="583"/>
      <c r="AJ47" s="579">
        <f t="shared" si="1"/>
        <v>22</v>
      </c>
      <c r="AK47" s="580">
        <f t="shared" si="3"/>
        <v>1</v>
      </c>
      <c r="AL47" s="584">
        <v>8100</v>
      </c>
      <c r="AM47" s="765">
        <f>+AL47*AK47</f>
        <v>8100</v>
      </c>
      <c r="AN47" s="983"/>
    </row>
    <row r="48" spans="1:40" s="754" customFormat="1" ht="15" customHeight="1">
      <c r="A48" s="755" t="s">
        <v>387</v>
      </c>
      <c r="B48" s="762" t="s">
        <v>368</v>
      </c>
      <c r="C48" s="762" t="s">
        <v>388</v>
      </c>
      <c r="D48" s="581"/>
      <c r="E48" s="582"/>
      <c r="F48" s="582"/>
      <c r="G48" s="583"/>
      <c r="H48" s="583"/>
      <c r="I48" s="582"/>
      <c r="J48" s="582"/>
      <c r="K48" s="582"/>
      <c r="L48" s="582"/>
      <c r="M48" s="582"/>
      <c r="N48" s="583"/>
      <c r="O48" s="583"/>
      <c r="P48" s="582"/>
      <c r="Q48" s="582"/>
      <c r="R48" s="582"/>
      <c r="S48" s="582"/>
      <c r="T48" s="582"/>
      <c r="U48" s="583"/>
      <c r="V48" s="583"/>
      <c r="W48" s="582"/>
      <c r="X48" s="582"/>
      <c r="Y48" s="582"/>
      <c r="Z48" s="582"/>
      <c r="AA48" s="582"/>
      <c r="AB48" s="583"/>
      <c r="AC48" s="583"/>
      <c r="AD48" s="582"/>
      <c r="AE48" s="582"/>
      <c r="AF48" s="582"/>
      <c r="AG48" s="582"/>
      <c r="AH48" s="582"/>
      <c r="AI48" s="583"/>
      <c r="AJ48" s="579">
        <f t="shared" si="1"/>
        <v>0</v>
      </c>
      <c r="AK48" s="580">
        <f t="shared" si="3"/>
        <v>0</v>
      </c>
      <c r="AL48" s="584">
        <v>8100</v>
      </c>
      <c r="AM48" s="765">
        <f>+AL48*AK48</f>
        <v>0</v>
      </c>
      <c r="AN48" s="983"/>
    </row>
    <row r="49" spans="1:40" s="754" customFormat="1" ht="15" customHeight="1">
      <c r="A49" s="755" t="s">
        <v>389</v>
      </c>
      <c r="B49" s="762" t="s">
        <v>368</v>
      </c>
      <c r="C49" s="762" t="s">
        <v>390</v>
      </c>
      <c r="D49" s="581"/>
      <c r="E49" s="582">
        <v>1</v>
      </c>
      <c r="F49" s="582">
        <v>1</v>
      </c>
      <c r="G49" s="583"/>
      <c r="H49" s="583"/>
      <c r="I49" s="582">
        <v>1</v>
      </c>
      <c r="J49" s="582">
        <v>1</v>
      </c>
      <c r="K49" s="582">
        <v>1</v>
      </c>
      <c r="L49" s="582">
        <v>1</v>
      </c>
      <c r="M49" s="582">
        <v>1</v>
      </c>
      <c r="N49" s="583"/>
      <c r="O49" s="583"/>
      <c r="P49" s="582">
        <v>1</v>
      </c>
      <c r="Q49" s="582">
        <v>1</v>
      </c>
      <c r="R49" s="582">
        <v>1</v>
      </c>
      <c r="S49" s="582">
        <v>1</v>
      </c>
      <c r="T49" s="582">
        <v>1</v>
      </c>
      <c r="U49" s="583"/>
      <c r="V49" s="583"/>
      <c r="W49" s="582">
        <v>1</v>
      </c>
      <c r="X49" s="582">
        <v>1</v>
      </c>
      <c r="Y49" s="582">
        <v>1</v>
      </c>
      <c r="Z49" s="582">
        <v>1</v>
      </c>
      <c r="AA49" s="582">
        <v>1</v>
      </c>
      <c r="AB49" s="583"/>
      <c r="AC49" s="583"/>
      <c r="AD49" s="582">
        <v>1</v>
      </c>
      <c r="AE49" s="582">
        <v>1</v>
      </c>
      <c r="AF49" s="582">
        <v>1</v>
      </c>
      <c r="AG49" s="582">
        <v>1</v>
      </c>
      <c r="AH49" s="582">
        <v>1</v>
      </c>
      <c r="AI49" s="583"/>
      <c r="AJ49" s="579">
        <f t="shared" si="1"/>
        <v>22</v>
      </c>
      <c r="AK49" s="580">
        <f t="shared" si="3"/>
        <v>1</v>
      </c>
      <c r="AL49" s="584">
        <v>8100</v>
      </c>
      <c r="AM49" s="765">
        <f>+AL49*AK49</f>
        <v>8100</v>
      </c>
      <c r="AN49" s="983"/>
    </row>
    <row r="50" spans="1:40" s="754" customFormat="1" ht="15" customHeight="1">
      <c r="A50" s="755" t="s">
        <v>391</v>
      </c>
      <c r="B50" s="762" t="s">
        <v>368</v>
      </c>
      <c r="C50" s="762" t="s">
        <v>392</v>
      </c>
      <c r="D50" s="581"/>
      <c r="E50" s="582">
        <v>1</v>
      </c>
      <c r="F50" s="582">
        <v>1</v>
      </c>
      <c r="G50" s="583"/>
      <c r="H50" s="583"/>
      <c r="I50" s="582">
        <v>1</v>
      </c>
      <c r="J50" s="582">
        <v>1</v>
      </c>
      <c r="K50" s="582">
        <v>1</v>
      </c>
      <c r="L50" s="582">
        <v>1</v>
      </c>
      <c r="M50" s="582">
        <v>1</v>
      </c>
      <c r="N50" s="583"/>
      <c r="O50" s="583"/>
      <c r="P50" s="582">
        <v>1</v>
      </c>
      <c r="Q50" s="582">
        <v>1</v>
      </c>
      <c r="R50" s="582">
        <v>1</v>
      </c>
      <c r="S50" s="582">
        <v>1</v>
      </c>
      <c r="T50" s="582">
        <v>1</v>
      </c>
      <c r="U50" s="583"/>
      <c r="V50" s="583"/>
      <c r="W50" s="582">
        <v>1</v>
      </c>
      <c r="X50" s="582">
        <v>1</v>
      </c>
      <c r="Y50" s="582">
        <v>1</v>
      </c>
      <c r="Z50" s="582">
        <v>1</v>
      </c>
      <c r="AA50" s="582">
        <v>1</v>
      </c>
      <c r="AB50" s="583"/>
      <c r="AC50" s="583"/>
      <c r="AD50" s="582">
        <v>1</v>
      </c>
      <c r="AE50" s="582">
        <v>1</v>
      </c>
      <c r="AF50" s="582">
        <v>1</v>
      </c>
      <c r="AG50" s="582">
        <v>1</v>
      </c>
      <c r="AH50" s="582">
        <v>1</v>
      </c>
      <c r="AI50" s="583"/>
      <c r="AJ50" s="579">
        <f t="shared" si="1"/>
        <v>22</v>
      </c>
      <c r="AK50" s="580">
        <f t="shared" si="3"/>
        <v>1</v>
      </c>
      <c r="AL50" s="584">
        <v>8100</v>
      </c>
      <c r="AM50" s="765">
        <f>+AL50*AK50</f>
        <v>8100</v>
      </c>
      <c r="AN50" s="983"/>
    </row>
    <row r="51" spans="1:40" s="754" customFormat="1" ht="15" customHeight="1">
      <c r="A51" s="755" t="s">
        <v>393</v>
      </c>
      <c r="B51" s="762" t="s">
        <v>368</v>
      </c>
      <c r="C51" s="762" t="s">
        <v>394</v>
      </c>
      <c r="D51" s="581"/>
      <c r="E51" s="582">
        <v>1</v>
      </c>
      <c r="F51" s="582">
        <v>1</v>
      </c>
      <c r="G51" s="583"/>
      <c r="H51" s="583"/>
      <c r="I51" s="582">
        <v>1</v>
      </c>
      <c r="J51" s="582">
        <v>1</v>
      </c>
      <c r="K51" s="582">
        <v>1</v>
      </c>
      <c r="L51" s="582">
        <v>1</v>
      </c>
      <c r="M51" s="582">
        <v>1</v>
      </c>
      <c r="N51" s="583"/>
      <c r="O51" s="583"/>
      <c r="P51" s="582">
        <v>1</v>
      </c>
      <c r="Q51" s="582">
        <v>1</v>
      </c>
      <c r="R51" s="582">
        <v>1</v>
      </c>
      <c r="S51" s="582">
        <v>1</v>
      </c>
      <c r="T51" s="582">
        <v>1</v>
      </c>
      <c r="U51" s="583"/>
      <c r="V51" s="583"/>
      <c r="W51" s="582">
        <v>1</v>
      </c>
      <c r="X51" s="582">
        <v>1</v>
      </c>
      <c r="Y51" s="582">
        <v>1</v>
      </c>
      <c r="Z51" s="582">
        <v>1</v>
      </c>
      <c r="AA51" s="582">
        <v>1</v>
      </c>
      <c r="AB51" s="583"/>
      <c r="AC51" s="583"/>
      <c r="AD51" s="582">
        <v>1</v>
      </c>
      <c r="AE51" s="582">
        <v>1</v>
      </c>
      <c r="AF51" s="582">
        <v>1</v>
      </c>
      <c r="AG51" s="582">
        <v>1</v>
      </c>
      <c r="AH51" s="582">
        <v>1</v>
      </c>
      <c r="AI51" s="583"/>
      <c r="AJ51" s="579">
        <f>SUM(E51:AI51)</f>
        <v>22</v>
      </c>
      <c r="AK51" s="580">
        <f t="shared" si="3"/>
        <v>1</v>
      </c>
      <c r="AL51" s="584">
        <v>8100</v>
      </c>
      <c r="AM51" s="765">
        <f>+AL51*AK51</f>
        <v>8100</v>
      </c>
      <c r="AN51" s="983"/>
    </row>
    <row r="52" spans="1:40" s="754" customFormat="1" ht="15" customHeight="1">
      <c r="A52" s="755" t="s">
        <v>395</v>
      </c>
      <c r="B52" s="762" t="s">
        <v>368</v>
      </c>
      <c r="C52" s="762" t="s">
        <v>396</v>
      </c>
      <c r="D52" s="581"/>
      <c r="E52" s="582">
        <v>1</v>
      </c>
      <c r="F52" s="582">
        <v>1</v>
      </c>
      <c r="G52" s="583"/>
      <c r="H52" s="583"/>
      <c r="I52" s="582">
        <v>1</v>
      </c>
      <c r="J52" s="582">
        <v>1</v>
      </c>
      <c r="K52" s="582">
        <v>1</v>
      </c>
      <c r="L52" s="582">
        <v>1</v>
      </c>
      <c r="M52" s="582">
        <v>1</v>
      </c>
      <c r="N52" s="583"/>
      <c r="O52" s="583"/>
      <c r="P52" s="582">
        <v>1</v>
      </c>
      <c r="Q52" s="582">
        <v>1</v>
      </c>
      <c r="R52" s="582">
        <v>1</v>
      </c>
      <c r="S52" s="582">
        <v>1</v>
      </c>
      <c r="T52" s="582">
        <v>1</v>
      </c>
      <c r="U52" s="583"/>
      <c r="V52" s="583"/>
      <c r="W52" s="582">
        <v>1</v>
      </c>
      <c r="X52" s="582">
        <v>1</v>
      </c>
      <c r="Y52" s="582">
        <v>1</v>
      </c>
      <c r="Z52" s="582">
        <v>1</v>
      </c>
      <c r="AA52" s="582">
        <v>1</v>
      </c>
      <c r="AB52" s="583"/>
      <c r="AC52" s="583"/>
      <c r="AD52" s="582">
        <v>1</v>
      </c>
      <c r="AE52" s="582">
        <v>1</v>
      </c>
      <c r="AF52" s="582">
        <v>1</v>
      </c>
      <c r="AG52" s="582">
        <v>1</v>
      </c>
      <c r="AH52" s="582">
        <v>1</v>
      </c>
      <c r="AI52" s="583"/>
      <c r="AJ52" s="579">
        <f t="shared" ref="AJ52:AJ59" si="5">SUM(E52:AI52)</f>
        <v>22</v>
      </c>
      <c r="AK52" s="580">
        <f t="shared" si="3"/>
        <v>1</v>
      </c>
      <c r="AL52" s="584">
        <v>8100</v>
      </c>
      <c r="AM52" s="765">
        <f t="shared" ref="AM52:AM53" si="6">+AL52*AK52</f>
        <v>8100</v>
      </c>
      <c r="AN52" s="983"/>
    </row>
    <row r="53" spans="1:40" s="754" customFormat="1" ht="15" customHeight="1">
      <c r="A53" s="755" t="s">
        <v>397</v>
      </c>
      <c r="B53" s="762" t="s">
        <v>368</v>
      </c>
      <c r="C53" s="762" t="s">
        <v>398</v>
      </c>
      <c r="D53" s="581"/>
      <c r="E53" s="582">
        <v>1</v>
      </c>
      <c r="F53" s="582">
        <v>1</v>
      </c>
      <c r="G53" s="583"/>
      <c r="H53" s="583"/>
      <c r="I53" s="582">
        <v>1</v>
      </c>
      <c r="J53" s="582">
        <v>1</v>
      </c>
      <c r="K53" s="582">
        <v>1</v>
      </c>
      <c r="L53" s="582">
        <v>1</v>
      </c>
      <c r="M53" s="582">
        <v>1</v>
      </c>
      <c r="N53" s="583"/>
      <c r="O53" s="583"/>
      <c r="P53" s="582">
        <v>1</v>
      </c>
      <c r="Q53" s="582">
        <v>1</v>
      </c>
      <c r="R53" s="582">
        <v>1</v>
      </c>
      <c r="S53" s="582">
        <v>1</v>
      </c>
      <c r="T53" s="582">
        <v>1</v>
      </c>
      <c r="U53" s="583"/>
      <c r="V53" s="583"/>
      <c r="W53" s="582">
        <v>1</v>
      </c>
      <c r="X53" s="582">
        <v>1</v>
      </c>
      <c r="Y53" s="582">
        <v>1</v>
      </c>
      <c r="Z53" s="582">
        <v>1</v>
      </c>
      <c r="AA53" s="582">
        <v>1</v>
      </c>
      <c r="AB53" s="583"/>
      <c r="AC53" s="583"/>
      <c r="AD53" s="582">
        <v>1</v>
      </c>
      <c r="AE53" s="582">
        <v>1</v>
      </c>
      <c r="AF53" s="582">
        <v>1</v>
      </c>
      <c r="AG53" s="582">
        <v>1</v>
      </c>
      <c r="AH53" s="582">
        <v>1</v>
      </c>
      <c r="AI53" s="583"/>
      <c r="AJ53" s="579">
        <f t="shared" si="5"/>
        <v>22</v>
      </c>
      <c r="AK53" s="580">
        <f t="shared" si="3"/>
        <v>1</v>
      </c>
      <c r="AL53" s="584">
        <v>8100</v>
      </c>
      <c r="AM53" s="765">
        <f t="shared" si="6"/>
        <v>8100</v>
      </c>
      <c r="AN53" s="983"/>
    </row>
    <row r="54" spans="1:40" s="754" customFormat="1" ht="15" customHeight="1">
      <c r="A54" s="755" t="s">
        <v>399</v>
      </c>
      <c r="B54" s="762" t="s">
        <v>853</v>
      </c>
      <c r="C54" s="762" t="s">
        <v>400</v>
      </c>
      <c r="D54" s="581"/>
      <c r="E54" s="582">
        <v>1</v>
      </c>
      <c r="F54" s="582">
        <v>1</v>
      </c>
      <c r="G54" s="583"/>
      <c r="H54" s="583"/>
      <c r="I54" s="582">
        <v>1</v>
      </c>
      <c r="J54" s="582">
        <v>1</v>
      </c>
      <c r="K54" s="582">
        <v>1</v>
      </c>
      <c r="L54" s="582">
        <v>1</v>
      </c>
      <c r="M54" s="582">
        <v>1</v>
      </c>
      <c r="N54" s="583"/>
      <c r="O54" s="583"/>
      <c r="P54" s="582"/>
      <c r="Q54" s="582"/>
      <c r="R54" s="582"/>
      <c r="S54" s="582"/>
      <c r="T54" s="582"/>
      <c r="U54" s="583"/>
      <c r="V54" s="583"/>
      <c r="W54" s="582"/>
      <c r="X54" s="582"/>
      <c r="Y54" s="582"/>
      <c r="Z54" s="582"/>
      <c r="AA54" s="582"/>
      <c r="AB54" s="583"/>
      <c r="AC54" s="583"/>
      <c r="AD54" s="582"/>
      <c r="AE54" s="582"/>
      <c r="AF54" s="582"/>
      <c r="AG54" s="582"/>
      <c r="AH54" s="582"/>
      <c r="AI54" s="583"/>
      <c r="AJ54" s="579">
        <f>SUM(E54:AI54)</f>
        <v>7</v>
      </c>
      <c r="AK54" s="580">
        <f t="shared" si="3"/>
        <v>0.31818181818181818</v>
      </c>
      <c r="AL54" s="584">
        <f>17*10*26</f>
        <v>4420</v>
      </c>
      <c r="AM54" s="765">
        <f>+AL54*AK54</f>
        <v>1406.3636363636363</v>
      </c>
      <c r="AN54" s="983"/>
    </row>
    <row r="55" spans="1:40" s="754" customFormat="1" ht="15" customHeight="1">
      <c r="A55" s="755" t="s">
        <v>401</v>
      </c>
      <c r="B55" s="762" t="s">
        <v>853</v>
      </c>
      <c r="C55" s="762" t="s">
        <v>402</v>
      </c>
      <c r="D55" s="581"/>
      <c r="E55" s="582">
        <v>1</v>
      </c>
      <c r="F55" s="582">
        <v>1</v>
      </c>
      <c r="G55" s="583"/>
      <c r="H55" s="583"/>
      <c r="I55" s="582">
        <v>1</v>
      </c>
      <c r="J55" s="582">
        <v>1</v>
      </c>
      <c r="K55" s="582">
        <v>1</v>
      </c>
      <c r="L55" s="582">
        <v>1</v>
      </c>
      <c r="M55" s="582">
        <v>1</v>
      </c>
      <c r="N55" s="583"/>
      <c r="O55" s="583"/>
      <c r="P55" s="582">
        <v>1</v>
      </c>
      <c r="Q55" s="582">
        <v>1</v>
      </c>
      <c r="R55" s="582">
        <v>1</v>
      </c>
      <c r="S55" s="582">
        <v>1</v>
      </c>
      <c r="T55" s="582">
        <v>1</v>
      </c>
      <c r="U55" s="583"/>
      <c r="V55" s="583"/>
      <c r="W55" s="582">
        <v>1</v>
      </c>
      <c r="X55" s="582">
        <v>1</v>
      </c>
      <c r="Y55" s="582">
        <v>1</v>
      </c>
      <c r="Z55" s="582">
        <v>1</v>
      </c>
      <c r="AA55" s="582">
        <v>1</v>
      </c>
      <c r="AB55" s="583"/>
      <c r="AC55" s="583"/>
      <c r="AD55" s="582">
        <v>1</v>
      </c>
      <c r="AE55" s="582">
        <v>1</v>
      </c>
      <c r="AF55" s="582">
        <v>1</v>
      </c>
      <c r="AG55" s="582">
        <v>1</v>
      </c>
      <c r="AH55" s="582">
        <v>1</v>
      </c>
      <c r="AI55" s="583"/>
      <c r="AJ55" s="579">
        <f t="shared" si="5"/>
        <v>22</v>
      </c>
      <c r="AK55" s="580">
        <f>+AJ55/AJ$3</f>
        <v>1</v>
      </c>
      <c r="AL55" s="584">
        <f t="shared" ref="AL55:AL58" si="7">17*10*26</f>
        <v>4420</v>
      </c>
      <c r="AM55" s="765">
        <f>+AL55*AK55</f>
        <v>4420</v>
      </c>
      <c r="AN55" s="983"/>
    </row>
    <row r="56" spans="1:40" s="754" customFormat="1" ht="15" customHeight="1">
      <c r="A56" s="755" t="s">
        <v>854</v>
      </c>
      <c r="B56" s="762" t="s">
        <v>853</v>
      </c>
      <c r="C56" s="762" t="s">
        <v>770</v>
      </c>
      <c r="D56" s="581"/>
      <c r="E56" s="582">
        <v>1</v>
      </c>
      <c r="F56" s="582">
        <v>1</v>
      </c>
      <c r="G56" s="583"/>
      <c r="H56" s="583"/>
      <c r="I56" s="582">
        <v>1</v>
      </c>
      <c r="J56" s="582">
        <v>1</v>
      </c>
      <c r="K56" s="582">
        <v>1</v>
      </c>
      <c r="L56" s="582">
        <v>1</v>
      </c>
      <c r="M56" s="582">
        <v>1</v>
      </c>
      <c r="N56" s="583"/>
      <c r="O56" s="583"/>
      <c r="P56" s="582">
        <v>1</v>
      </c>
      <c r="Q56" s="582">
        <v>1</v>
      </c>
      <c r="R56" s="582">
        <v>1</v>
      </c>
      <c r="S56" s="582">
        <v>1</v>
      </c>
      <c r="T56" s="582">
        <v>1</v>
      </c>
      <c r="U56" s="583"/>
      <c r="V56" s="583"/>
      <c r="W56" s="582">
        <v>1</v>
      </c>
      <c r="X56" s="582">
        <v>1</v>
      </c>
      <c r="Y56" s="582">
        <v>1</v>
      </c>
      <c r="Z56" s="582">
        <v>1</v>
      </c>
      <c r="AA56" s="582">
        <v>1</v>
      </c>
      <c r="AB56" s="583"/>
      <c r="AC56" s="583"/>
      <c r="AD56" s="582">
        <v>1</v>
      </c>
      <c r="AE56" s="582">
        <v>1</v>
      </c>
      <c r="AF56" s="582">
        <v>1</v>
      </c>
      <c r="AG56" s="582">
        <v>1</v>
      </c>
      <c r="AH56" s="582">
        <v>1</v>
      </c>
      <c r="AI56" s="583"/>
      <c r="AJ56" s="579">
        <f t="shared" si="5"/>
        <v>22</v>
      </c>
      <c r="AK56" s="580">
        <f t="shared" si="3"/>
        <v>1</v>
      </c>
      <c r="AL56" s="584">
        <f t="shared" si="7"/>
        <v>4420</v>
      </c>
      <c r="AM56" s="765">
        <f t="shared" ref="AM56:AM58" si="8">+AL56*AK56</f>
        <v>4420</v>
      </c>
      <c r="AN56" s="983"/>
    </row>
    <row r="57" spans="1:40" s="754" customFormat="1" ht="15" customHeight="1">
      <c r="A57" s="755" t="s">
        <v>856</v>
      </c>
      <c r="B57" s="762" t="s">
        <v>853</v>
      </c>
      <c r="C57" s="762" t="s">
        <v>771</v>
      </c>
      <c r="D57" s="581"/>
      <c r="E57" s="582">
        <v>1</v>
      </c>
      <c r="F57" s="582">
        <v>1</v>
      </c>
      <c r="G57" s="583"/>
      <c r="H57" s="583"/>
      <c r="I57" s="582">
        <v>1</v>
      </c>
      <c r="J57" s="582">
        <v>1</v>
      </c>
      <c r="K57" s="582">
        <v>1</v>
      </c>
      <c r="L57" s="582">
        <v>1</v>
      </c>
      <c r="M57" s="582">
        <v>1</v>
      </c>
      <c r="N57" s="583"/>
      <c r="O57" s="583"/>
      <c r="P57" s="582">
        <v>1</v>
      </c>
      <c r="Q57" s="582">
        <v>1</v>
      </c>
      <c r="R57" s="582">
        <v>1</v>
      </c>
      <c r="S57" s="582">
        <v>1</v>
      </c>
      <c r="T57" s="582">
        <v>1</v>
      </c>
      <c r="U57" s="583"/>
      <c r="V57" s="583"/>
      <c r="W57" s="582">
        <v>1</v>
      </c>
      <c r="X57" s="582">
        <v>1</v>
      </c>
      <c r="Y57" s="582">
        <v>1</v>
      </c>
      <c r="Z57" s="582">
        <v>1</v>
      </c>
      <c r="AA57" s="582">
        <v>1</v>
      </c>
      <c r="AB57" s="583"/>
      <c r="AC57" s="583"/>
      <c r="AD57" s="582">
        <v>1</v>
      </c>
      <c r="AE57" s="582">
        <v>1</v>
      </c>
      <c r="AF57" s="582">
        <v>1</v>
      </c>
      <c r="AG57" s="582">
        <v>1</v>
      </c>
      <c r="AH57" s="582">
        <v>1</v>
      </c>
      <c r="AI57" s="583"/>
      <c r="AJ57" s="579">
        <f t="shared" si="5"/>
        <v>22</v>
      </c>
      <c r="AK57" s="580">
        <f t="shared" si="3"/>
        <v>1</v>
      </c>
      <c r="AL57" s="584">
        <f t="shared" si="7"/>
        <v>4420</v>
      </c>
      <c r="AM57" s="765">
        <f t="shared" si="8"/>
        <v>4420</v>
      </c>
      <c r="AN57" s="983"/>
    </row>
    <row r="58" spans="1:40" s="754" customFormat="1" ht="15" customHeight="1">
      <c r="A58" s="755" t="s">
        <v>858</v>
      </c>
      <c r="B58" s="762" t="s">
        <v>853</v>
      </c>
      <c r="C58" s="762" t="s">
        <v>855</v>
      </c>
      <c r="D58" s="581"/>
      <c r="E58" s="582">
        <v>1</v>
      </c>
      <c r="F58" s="582">
        <v>1</v>
      </c>
      <c r="G58" s="583"/>
      <c r="H58" s="583"/>
      <c r="I58" s="582">
        <v>1</v>
      </c>
      <c r="J58" s="582">
        <v>1</v>
      </c>
      <c r="K58" s="582">
        <v>1</v>
      </c>
      <c r="L58" s="582">
        <v>1</v>
      </c>
      <c r="M58" s="582">
        <v>1</v>
      </c>
      <c r="N58" s="583"/>
      <c r="O58" s="583"/>
      <c r="P58" s="582">
        <v>1</v>
      </c>
      <c r="Q58" s="582">
        <v>1</v>
      </c>
      <c r="R58" s="582">
        <v>1</v>
      </c>
      <c r="S58" s="582">
        <v>1</v>
      </c>
      <c r="T58" s="582">
        <v>1</v>
      </c>
      <c r="U58" s="583"/>
      <c r="V58" s="583"/>
      <c r="W58" s="582">
        <v>1</v>
      </c>
      <c r="X58" s="582">
        <v>1</v>
      </c>
      <c r="Y58" s="582">
        <v>1</v>
      </c>
      <c r="Z58" s="582">
        <v>1</v>
      </c>
      <c r="AA58" s="582">
        <v>1</v>
      </c>
      <c r="AB58" s="583"/>
      <c r="AC58" s="583"/>
      <c r="AD58" s="582">
        <v>1</v>
      </c>
      <c r="AE58" s="582">
        <v>1</v>
      </c>
      <c r="AF58" s="582">
        <v>1</v>
      </c>
      <c r="AG58" s="582">
        <v>1</v>
      </c>
      <c r="AH58" s="582">
        <v>1</v>
      </c>
      <c r="AI58" s="583"/>
      <c r="AJ58" s="579">
        <f t="shared" si="5"/>
        <v>22</v>
      </c>
      <c r="AK58" s="580">
        <f t="shared" si="3"/>
        <v>1</v>
      </c>
      <c r="AL58" s="584">
        <f t="shared" si="7"/>
        <v>4420</v>
      </c>
      <c r="AM58" s="765">
        <f t="shared" si="8"/>
        <v>4420</v>
      </c>
      <c r="AN58" s="983"/>
    </row>
    <row r="59" spans="1:40" s="754" customFormat="1" ht="15" customHeight="1">
      <c r="A59" s="755" t="s">
        <v>925</v>
      </c>
      <c r="B59" s="762" t="s">
        <v>853</v>
      </c>
      <c r="C59" s="762" t="s">
        <v>857</v>
      </c>
      <c r="D59" s="581"/>
      <c r="E59" s="582">
        <v>1</v>
      </c>
      <c r="F59" s="582">
        <v>1</v>
      </c>
      <c r="G59" s="583"/>
      <c r="H59" s="583"/>
      <c r="I59" s="582">
        <v>1</v>
      </c>
      <c r="J59" s="582">
        <v>1</v>
      </c>
      <c r="K59" s="582">
        <v>1</v>
      </c>
      <c r="L59" s="582">
        <v>1</v>
      </c>
      <c r="M59" s="582">
        <v>1</v>
      </c>
      <c r="N59" s="583"/>
      <c r="O59" s="583"/>
      <c r="P59" s="582">
        <v>1</v>
      </c>
      <c r="Q59" s="582">
        <v>1</v>
      </c>
      <c r="R59" s="582">
        <v>1</v>
      </c>
      <c r="S59" s="582">
        <v>1</v>
      </c>
      <c r="T59" s="582">
        <v>1</v>
      </c>
      <c r="U59" s="583"/>
      <c r="V59" s="583"/>
      <c r="W59" s="582">
        <v>1</v>
      </c>
      <c r="X59" s="582">
        <v>1</v>
      </c>
      <c r="Y59" s="582">
        <v>1</v>
      </c>
      <c r="Z59" s="582">
        <v>1</v>
      </c>
      <c r="AA59" s="582">
        <v>1</v>
      </c>
      <c r="AB59" s="583"/>
      <c r="AC59" s="583"/>
      <c r="AD59" s="582">
        <v>1</v>
      </c>
      <c r="AE59" s="582">
        <v>1</v>
      </c>
      <c r="AF59" s="582">
        <v>1</v>
      </c>
      <c r="AG59" s="582">
        <v>1</v>
      </c>
      <c r="AH59" s="582">
        <v>1</v>
      </c>
      <c r="AI59" s="583"/>
      <c r="AJ59" s="579">
        <f t="shared" si="5"/>
        <v>22</v>
      </c>
      <c r="AK59" s="580">
        <f>+AJ59/AJ$3</f>
        <v>1</v>
      </c>
      <c r="AL59" s="584">
        <f>17*10*26</f>
        <v>4420</v>
      </c>
      <c r="AM59" s="765">
        <f>+AL59*AK59</f>
        <v>4420</v>
      </c>
      <c r="AN59" s="983"/>
    </row>
    <row r="60" spans="1:40" s="754" customFormat="1" ht="15" customHeight="1">
      <c r="A60" s="755"/>
      <c r="B60" s="762"/>
      <c r="C60" s="762"/>
      <c r="D60" s="581"/>
      <c r="E60" s="582"/>
      <c r="F60" s="582"/>
      <c r="G60" s="583"/>
      <c r="H60" s="583"/>
      <c r="I60" s="582"/>
      <c r="J60" s="582"/>
      <c r="K60" s="582"/>
      <c r="L60" s="582"/>
      <c r="M60" s="582"/>
      <c r="N60" s="583"/>
      <c r="O60" s="583"/>
      <c r="P60" s="582"/>
      <c r="Q60" s="582"/>
      <c r="R60" s="582"/>
      <c r="S60" s="582"/>
      <c r="T60" s="582"/>
      <c r="U60" s="583"/>
      <c r="V60" s="583"/>
      <c r="W60" s="582"/>
      <c r="X60" s="582"/>
      <c r="Y60" s="582"/>
      <c r="Z60" s="582"/>
      <c r="AA60" s="582"/>
      <c r="AB60" s="583"/>
      <c r="AC60" s="583"/>
      <c r="AD60" s="582"/>
      <c r="AE60" s="582"/>
      <c r="AF60" s="582"/>
      <c r="AG60" s="582"/>
      <c r="AH60" s="582"/>
      <c r="AI60" s="583"/>
      <c r="AJ60" s="579"/>
      <c r="AK60" s="580"/>
      <c r="AL60" s="584"/>
      <c r="AM60" s="765"/>
      <c r="AN60" s="983"/>
    </row>
    <row r="61" spans="1:40" s="754" customFormat="1" ht="15" customHeight="1">
      <c r="A61" s="755">
        <v>8</v>
      </c>
      <c r="B61" s="762" t="s">
        <v>403</v>
      </c>
      <c r="C61" s="762"/>
      <c r="D61" s="581">
        <v>0</v>
      </c>
      <c r="E61" s="582"/>
      <c r="F61" s="582"/>
      <c r="G61" s="583"/>
      <c r="H61" s="583"/>
      <c r="I61" s="582"/>
      <c r="J61" s="582"/>
      <c r="K61" s="582"/>
      <c r="L61" s="582"/>
      <c r="M61" s="582"/>
      <c r="N61" s="583"/>
      <c r="O61" s="583"/>
      <c r="P61" s="582"/>
      <c r="Q61" s="582"/>
      <c r="R61" s="582"/>
      <c r="S61" s="582"/>
      <c r="T61" s="582"/>
      <c r="U61" s="583"/>
      <c r="V61" s="583"/>
      <c r="W61" s="582"/>
      <c r="X61" s="582"/>
      <c r="Y61" s="582"/>
      <c r="Z61" s="582"/>
      <c r="AA61" s="582"/>
      <c r="AB61" s="583"/>
      <c r="AC61" s="583"/>
      <c r="AD61" s="582"/>
      <c r="AE61" s="582"/>
      <c r="AF61" s="582"/>
      <c r="AG61" s="582"/>
      <c r="AH61" s="582"/>
      <c r="AI61" s="583"/>
      <c r="AJ61" s="579">
        <f>SUM(E61:AI61)</f>
        <v>0</v>
      </c>
      <c r="AK61" s="580">
        <f t="shared" si="3"/>
        <v>0</v>
      </c>
      <c r="AL61" s="584">
        <v>4000</v>
      </c>
      <c r="AM61" s="765">
        <f t="shared" si="2"/>
        <v>0</v>
      </c>
      <c r="AN61" s="983"/>
    </row>
    <row r="62" spans="1:40" s="754" customFormat="1" ht="15" customHeight="1">
      <c r="A62" s="755"/>
      <c r="B62" s="762"/>
      <c r="C62" s="762"/>
      <c r="D62" s="581"/>
      <c r="E62" s="582"/>
      <c r="F62" s="582"/>
      <c r="G62" s="583"/>
      <c r="H62" s="583"/>
      <c r="I62" s="582"/>
      <c r="J62" s="582"/>
      <c r="K62" s="582"/>
      <c r="L62" s="582"/>
      <c r="M62" s="582"/>
      <c r="N62" s="583"/>
      <c r="O62" s="583"/>
      <c r="P62" s="582"/>
      <c r="Q62" s="582"/>
      <c r="R62" s="582"/>
      <c r="S62" s="582"/>
      <c r="T62" s="582"/>
      <c r="U62" s="583"/>
      <c r="V62" s="583"/>
      <c r="W62" s="582"/>
      <c r="X62" s="582"/>
      <c r="Y62" s="582"/>
      <c r="Z62" s="582"/>
      <c r="AA62" s="582"/>
      <c r="AB62" s="583"/>
      <c r="AC62" s="583"/>
      <c r="AD62" s="582"/>
      <c r="AE62" s="582"/>
      <c r="AF62" s="582"/>
      <c r="AG62" s="582"/>
      <c r="AH62" s="582"/>
      <c r="AI62" s="583"/>
      <c r="AJ62" s="579"/>
      <c r="AK62" s="580"/>
      <c r="AL62" s="578"/>
      <c r="AM62" s="765"/>
      <c r="AN62" s="983"/>
    </row>
    <row r="63" spans="1:40" s="754" customFormat="1" ht="15" customHeight="1">
      <c r="A63" s="755"/>
      <c r="B63" s="756" t="s">
        <v>404</v>
      </c>
      <c r="C63" s="757"/>
      <c r="D63" s="581"/>
      <c r="E63" s="582"/>
      <c r="F63" s="582"/>
      <c r="G63" s="583"/>
      <c r="H63" s="583"/>
      <c r="I63" s="582"/>
      <c r="J63" s="582"/>
      <c r="K63" s="582"/>
      <c r="L63" s="582"/>
      <c r="M63" s="582"/>
      <c r="N63" s="583"/>
      <c r="O63" s="583"/>
      <c r="P63" s="582"/>
      <c r="Q63" s="582"/>
      <c r="R63" s="582"/>
      <c r="S63" s="582"/>
      <c r="T63" s="582"/>
      <c r="U63" s="583"/>
      <c r="V63" s="583"/>
      <c r="W63" s="582"/>
      <c r="X63" s="582"/>
      <c r="Y63" s="582"/>
      <c r="Z63" s="582"/>
      <c r="AA63" s="582"/>
      <c r="AB63" s="583"/>
      <c r="AC63" s="583"/>
      <c r="AD63" s="582"/>
      <c r="AE63" s="582"/>
      <c r="AF63" s="582"/>
      <c r="AG63" s="582"/>
      <c r="AH63" s="582"/>
      <c r="AI63" s="583"/>
      <c r="AJ63" s="579"/>
      <c r="AK63" s="580"/>
      <c r="AL63" s="578"/>
      <c r="AM63" s="765"/>
      <c r="AN63" s="983"/>
    </row>
    <row r="64" spans="1:40" s="754" customFormat="1" ht="15" customHeight="1">
      <c r="A64" s="755">
        <v>9</v>
      </c>
      <c r="B64" s="762" t="s">
        <v>405</v>
      </c>
      <c r="C64" s="762" t="s">
        <v>406</v>
      </c>
      <c r="D64" s="581">
        <v>0</v>
      </c>
      <c r="E64" s="582"/>
      <c r="F64" s="582">
        <v>1</v>
      </c>
      <c r="G64" s="583"/>
      <c r="H64" s="583"/>
      <c r="I64" s="582"/>
      <c r="J64" s="582"/>
      <c r="K64" s="582"/>
      <c r="L64" s="582"/>
      <c r="M64" s="582">
        <v>1</v>
      </c>
      <c r="N64" s="583"/>
      <c r="O64" s="583"/>
      <c r="P64" s="582"/>
      <c r="Q64" s="582"/>
      <c r="R64" s="582"/>
      <c r="S64" s="582"/>
      <c r="T64" s="582">
        <v>1</v>
      </c>
      <c r="U64" s="583"/>
      <c r="V64" s="583"/>
      <c r="W64" s="582"/>
      <c r="X64" s="582"/>
      <c r="Y64" s="582"/>
      <c r="Z64" s="582"/>
      <c r="AA64" s="582">
        <v>1</v>
      </c>
      <c r="AB64" s="583"/>
      <c r="AC64" s="583"/>
      <c r="AD64" s="582"/>
      <c r="AE64" s="582"/>
      <c r="AF64" s="582"/>
      <c r="AG64" s="582"/>
      <c r="AH64" s="582">
        <v>1</v>
      </c>
      <c r="AI64" s="583"/>
      <c r="AJ64" s="579">
        <f t="shared" ref="AJ64:AJ104" si="9">SUM(E64:AI64)</f>
        <v>5</v>
      </c>
      <c r="AK64" s="580">
        <f>+AJ64/AJ$3</f>
        <v>0.22727272727272727</v>
      </c>
      <c r="AL64" s="584">
        <v>56800</v>
      </c>
      <c r="AM64" s="765">
        <f t="shared" ref="AM64:AM93" si="10">+AL64*AK64</f>
        <v>12909.090909090908</v>
      </c>
      <c r="AN64" s="983"/>
    </row>
    <row r="65" spans="1:40" s="754" customFormat="1" ht="15" customHeight="1">
      <c r="A65" s="755">
        <v>10</v>
      </c>
      <c r="B65" s="762" t="s">
        <v>407</v>
      </c>
      <c r="C65" s="762" t="s">
        <v>408</v>
      </c>
      <c r="D65" s="581">
        <v>2</v>
      </c>
      <c r="E65" s="582">
        <v>1</v>
      </c>
      <c r="F65" s="582">
        <v>1</v>
      </c>
      <c r="G65" s="583"/>
      <c r="H65" s="583"/>
      <c r="I65" s="582">
        <v>1</v>
      </c>
      <c r="J65" s="582">
        <v>1</v>
      </c>
      <c r="K65" s="582">
        <v>1</v>
      </c>
      <c r="L65" s="582">
        <v>1</v>
      </c>
      <c r="M65" s="582">
        <v>1</v>
      </c>
      <c r="N65" s="583"/>
      <c r="O65" s="583"/>
      <c r="P65" s="582">
        <v>1</v>
      </c>
      <c r="Q65" s="582">
        <v>1</v>
      </c>
      <c r="R65" s="582">
        <v>1</v>
      </c>
      <c r="S65" s="582">
        <v>1</v>
      </c>
      <c r="T65" s="582">
        <v>1</v>
      </c>
      <c r="U65" s="583"/>
      <c r="V65" s="583"/>
      <c r="W65" s="582">
        <v>1</v>
      </c>
      <c r="X65" s="582">
        <v>1</v>
      </c>
      <c r="Y65" s="582">
        <v>1</v>
      </c>
      <c r="Z65" s="582">
        <v>1</v>
      </c>
      <c r="AA65" s="582">
        <v>1</v>
      </c>
      <c r="AB65" s="583"/>
      <c r="AC65" s="583"/>
      <c r="AD65" s="582">
        <v>1</v>
      </c>
      <c r="AE65" s="582">
        <v>1</v>
      </c>
      <c r="AF65" s="582">
        <v>1</v>
      </c>
      <c r="AG65" s="582">
        <v>1</v>
      </c>
      <c r="AH65" s="582">
        <v>1</v>
      </c>
      <c r="AI65" s="583"/>
      <c r="AJ65" s="579">
        <f t="shared" si="9"/>
        <v>22</v>
      </c>
      <c r="AK65" s="580">
        <f>+AJ65/AJ$3</f>
        <v>1</v>
      </c>
      <c r="AL65" s="584">
        <v>25200</v>
      </c>
      <c r="AM65" s="765">
        <f t="shared" si="10"/>
        <v>25200</v>
      </c>
      <c r="AN65" s="983"/>
    </row>
    <row r="66" spans="1:40" s="754" customFormat="1" ht="15" customHeight="1">
      <c r="A66" s="755" t="s">
        <v>409</v>
      </c>
      <c r="B66" s="762" t="s">
        <v>407</v>
      </c>
      <c r="C66" s="762" t="s">
        <v>410</v>
      </c>
      <c r="D66" s="581"/>
      <c r="E66" s="582">
        <v>1</v>
      </c>
      <c r="F66" s="582">
        <v>1</v>
      </c>
      <c r="G66" s="583"/>
      <c r="H66" s="583"/>
      <c r="I66" s="582">
        <v>1</v>
      </c>
      <c r="J66" s="582">
        <v>1</v>
      </c>
      <c r="K66" s="582">
        <v>1</v>
      </c>
      <c r="L66" s="582">
        <v>1</v>
      </c>
      <c r="M66" s="582">
        <v>1</v>
      </c>
      <c r="N66" s="583"/>
      <c r="O66" s="583"/>
      <c r="P66" s="582">
        <v>1</v>
      </c>
      <c r="Q66" s="582">
        <v>1</v>
      </c>
      <c r="R66" s="582">
        <v>1</v>
      </c>
      <c r="S66" s="582">
        <v>1</v>
      </c>
      <c r="T66" s="582">
        <v>1</v>
      </c>
      <c r="U66" s="583"/>
      <c r="V66" s="583"/>
      <c r="W66" s="582">
        <v>1</v>
      </c>
      <c r="X66" s="582">
        <v>1</v>
      </c>
      <c r="Y66" s="582">
        <v>1</v>
      </c>
      <c r="Z66" s="582">
        <v>1</v>
      </c>
      <c r="AA66" s="582">
        <v>1</v>
      </c>
      <c r="AB66" s="583"/>
      <c r="AC66" s="583"/>
      <c r="AD66" s="582">
        <v>1</v>
      </c>
      <c r="AE66" s="582">
        <v>1</v>
      </c>
      <c r="AF66" s="582">
        <v>1</v>
      </c>
      <c r="AG66" s="582">
        <v>1</v>
      </c>
      <c r="AH66" s="582">
        <v>1</v>
      </c>
      <c r="AI66" s="583"/>
      <c r="AJ66" s="579">
        <f t="shared" si="9"/>
        <v>22</v>
      </c>
      <c r="AK66" s="580">
        <f>+AJ66/AJ$3</f>
        <v>1</v>
      </c>
      <c r="AL66" s="584">
        <v>25200</v>
      </c>
      <c r="AM66" s="765">
        <f t="shared" si="10"/>
        <v>25200</v>
      </c>
      <c r="AN66" s="983"/>
    </row>
    <row r="67" spans="1:40" s="754" customFormat="1" ht="15" customHeight="1">
      <c r="A67" s="755" t="s">
        <v>411</v>
      </c>
      <c r="B67" s="762" t="s">
        <v>407</v>
      </c>
      <c r="C67" s="762" t="s">
        <v>412</v>
      </c>
      <c r="D67" s="581"/>
      <c r="E67" s="582">
        <v>1</v>
      </c>
      <c r="F67" s="582">
        <v>1</v>
      </c>
      <c r="G67" s="583"/>
      <c r="H67" s="583"/>
      <c r="I67" s="582">
        <v>1</v>
      </c>
      <c r="J67" s="582">
        <v>1</v>
      </c>
      <c r="K67" s="582">
        <v>1</v>
      </c>
      <c r="L67" s="582">
        <v>1</v>
      </c>
      <c r="M67" s="582">
        <v>1</v>
      </c>
      <c r="N67" s="583"/>
      <c r="O67" s="583"/>
      <c r="P67" s="582">
        <v>1</v>
      </c>
      <c r="Q67" s="582">
        <v>1</v>
      </c>
      <c r="R67" s="582">
        <v>1</v>
      </c>
      <c r="S67" s="582">
        <v>1</v>
      </c>
      <c r="T67" s="582">
        <v>1</v>
      </c>
      <c r="U67" s="583"/>
      <c r="V67" s="583"/>
      <c r="W67" s="582">
        <v>1</v>
      </c>
      <c r="X67" s="582">
        <v>1</v>
      </c>
      <c r="Y67" s="582">
        <v>1</v>
      </c>
      <c r="Z67" s="582">
        <v>1</v>
      </c>
      <c r="AA67" s="582">
        <v>1</v>
      </c>
      <c r="AB67" s="583"/>
      <c r="AC67" s="583"/>
      <c r="AD67" s="582">
        <v>1</v>
      </c>
      <c r="AE67" s="582">
        <v>1</v>
      </c>
      <c r="AF67" s="582">
        <v>1</v>
      </c>
      <c r="AG67" s="582">
        <v>1</v>
      </c>
      <c r="AH67" s="582">
        <v>1</v>
      </c>
      <c r="AI67" s="583"/>
      <c r="AJ67" s="579">
        <f t="shared" si="9"/>
        <v>22</v>
      </c>
      <c r="AK67" s="580">
        <f>+AJ67/AJ$3</f>
        <v>1</v>
      </c>
      <c r="AL67" s="584">
        <v>25200</v>
      </c>
      <c r="AM67" s="765">
        <f>+AL67*AK67</f>
        <v>25200</v>
      </c>
      <c r="AN67" s="983"/>
    </row>
    <row r="68" spans="1:40" s="754" customFormat="1" ht="15" customHeight="1">
      <c r="A68" s="755" t="s">
        <v>413</v>
      </c>
      <c r="B68" s="762" t="s">
        <v>407</v>
      </c>
      <c r="C68" s="762" t="s">
        <v>414</v>
      </c>
      <c r="D68" s="581"/>
      <c r="E68" s="582">
        <v>1</v>
      </c>
      <c r="F68" s="582">
        <v>1</v>
      </c>
      <c r="G68" s="583"/>
      <c r="H68" s="583"/>
      <c r="I68" s="582">
        <v>1</v>
      </c>
      <c r="J68" s="582">
        <v>1</v>
      </c>
      <c r="K68" s="582">
        <v>1</v>
      </c>
      <c r="L68" s="582">
        <v>1</v>
      </c>
      <c r="M68" s="582">
        <v>1</v>
      </c>
      <c r="N68" s="583"/>
      <c r="O68" s="583"/>
      <c r="P68" s="582">
        <v>1</v>
      </c>
      <c r="Q68" s="582">
        <v>1</v>
      </c>
      <c r="R68" s="582">
        <v>1</v>
      </c>
      <c r="S68" s="582">
        <v>1</v>
      </c>
      <c r="T68" s="582">
        <v>1</v>
      </c>
      <c r="U68" s="583"/>
      <c r="V68" s="583"/>
      <c r="W68" s="582">
        <v>1</v>
      </c>
      <c r="X68" s="582">
        <v>1</v>
      </c>
      <c r="Y68" s="582">
        <v>1</v>
      </c>
      <c r="Z68" s="582">
        <v>1</v>
      </c>
      <c r="AA68" s="582">
        <v>1</v>
      </c>
      <c r="AB68" s="583"/>
      <c r="AC68" s="583"/>
      <c r="AD68" s="582">
        <v>1</v>
      </c>
      <c r="AE68" s="582">
        <v>1</v>
      </c>
      <c r="AF68" s="582">
        <v>1</v>
      </c>
      <c r="AG68" s="582">
        <v>1</v>
      </c>
      <c r="AH68" s="582">
        <v>1</v>
      </c>
      <c r="AI68" s="583"/>
      <c r="AJ68" s="579">
        <f t="shared" si="9"/>
        <v>22</v>
      </c>
      <c r="AK68" s="580">
        <f>+AJ68/AJ$3</f>
        <v>1</v>
      </c>
      <c r="AL68" s="584">
        <v>25200</v>
      </c>
      <c r="AM68" s="765">
        <f>+AL68*AK68</f>
        <v>25200</v>
      </c>
      <c r="AN68" s="983"/>
    </row>
    <row r="69" spans="1:40" s="754" customFormat="1" ht="15" customHeight="1">
      <c r="A69" s="755">
        <v>11</v>
      </c>
      <c r="B69" s="762" t="s">
        <v>415</v>
      </c>
      <c r="C69" s="762" t="s">
        <v>416</v>
      </c>
      <c r="D69" s="581">
        <v>2</v>
      </c>
      <c r="E69" s="582">
        <v>1</v>
      </c>
      <c r="F69" s="582">
        <v>1</v>
      </c>
      <c r="G69" s="583"/>
      <c r="H69" s="583"/>
      <c r="I69" s="582">
        <v>1</v>
      </c>
      <c r="J69" s="582">
        <v>1</v>
      </c>
      <c r="K69" s="582">
        <v>1</v>
      </c>
      <c r="L69" s="582">
        <v>1</v>
      </c>
      <c r="M69" s="582">
        <v>1</v>
      </c>
      <c r="N69" s="583"/>
      <c r="O69" s="583"/>
      <c r="P69" s="582">
        <v>1</v>
      </c>
      <c r="Q69" s="582">
        <v>1</v>
      </c>
      <c r="R69" s="582">
        <v>1</v>
      </c>
      <c r="S69" s="582">
        <v>1</v>
      </c>
      <c r="T69" s="582">
        <v>1</v>
      </c>
      <c r="U69" s="583"/>
      <c r="V69" s="583"/>
      <c r="W69" s="582">
        <v>1</v>
      </c>
      <c r="X69" s="582">
        <v>1</v>
      </c>
      <c r="Y69" s="582">
        <v>1</v>
      </c>
      <c r="Z69" s="582">
        <v>1</v>
      </c>
      <c r="AA69" s="582">
        <v>1</v>
      </c>
      <c r="AB69" s="583"/>
      <c r="AC69" s="583"/>
      <c r="AD69" s="582">
        <v>1</v>
      </c>
      <c r="AE69" s="582">
        <v>1</v>
      </c>
      <c r="AF69" s="582">
        <v>1</v>
      </c>
      <c r="AG69" s="582">
        <v>1</v>
      </c>
      <c r="AH69" s="582">
        <v>1</v>
      </c>
      <c r="AI69" s="583"/>
      <c r="AJ69" s="579">
        <f t="shared" si="9"/>
        <v>22</v>
      </c>
      <c r="AK69" s="580">
        <f t="shared" si="3"/>
        <v>1</v>
      </c>
      <c r="AL69" s="584">
        <v>22600</v>
      </c>
      <c r="AM69" s="765">
        <f t="shared" si="10"/>
        <v>22600</v>
      </c>
      <c r="AN69" s="983"/>
    </row>
    <row r="70" spans="1:40" s="754" customFormat="1" ht="15" customHeight="1">
      <c r="A70" s="755" t="s">
        <v>417</v>
      </c>
      <c r="B70" s="762" t="s">
        <v>415</v>
      </c>
      <c r="C70" s="762" t="s">
        <v>418</v>
      </c>
      <c r="D70" s="581"/>
      <c r="E70" s="582">
        <v>1</v>
      </c>
      <c r="F70" s="582">
        <v>1</v>
      </c>
      <c r="G70" s="583"/>
      <c r="H70" s="583"/>
      <c r="I70" s="582">
        <v>1</v>
      </c>
      <c r="J70" s="582">
        <v>1</v>
      </c>
      <c r="K70" s="582">
        <v>1</v>
      </c>
      <c r="L70" s="582">
        <v>1</v>
      </c>
      <c r="M70" s="582">
        <v>1</v>
      </c>
      <c r="N70" s="583"/>
      <c r="O70" s="583"/>
      <c r="P70" s="582">
        <v>1</v>
      </c>
      <c r="Q70" s="582">
        <v>1</v>
      </c>
      <c r="R70" s="582">
        <v>1</v>
      </c>
      <c r="S70" s="582">
        <v>1</v>
      </c>
      <c r="T70" s="582">
        <v>1</v>
      </c>
      <c r="U70" s="583"/>
      <c r="V70" s="583"/>
      <c r="W70" s="582">
        <v>1</v>
      </c>
      <c r="X70" s="582">
        <v>1</v>
      </c>
      <c r="Y70" s="582">
        <v>1</v>
      </c>
      <c r="Z70" s="582">
        <v>1</v>
      </c>
      <c r="AA70" s="582">
        <v>1</v>
      </c>
      <c r="AB70" s="583"/>
      <c r="AC70" s="583"/>
      <c r="AD70" s="582">
        <v>1</v>
      </c>
      <c r="AE70" s="582">
        <v>1</v>
      </c>
      <c r="AF70" s="582">
        <v>1</v>
      </c>
      <c r="AG70" s="582">
        <v>1</v>
      </c>
      <c r="AH70" s="582">
        <v>1</v>
      </c>
      <c r="AI70" s="583"/>
      <c r="AJ70" s="579">
        <f t="shared" si="9"/>
        <v>22</v>
      </c>
      <c r="AK70" s="580">
        <f>+AJ70/AJ$3</f>
        <v>1</v>
      </c>
      <c r="AL70" s="584">
        <v>22600</v>
      </c>
      <c r="AM70" s="765">
        <f t="shared" si="10"/>
        <v>22600</v>
      </c>
      <c r="AN70" s="983"/>
    </row>
    <row r="71" spans="1:40" s="754" customFormat="1" ht="15" customHeight="1">
      <c r="A71" s="755">
        <v>12</v>
      </c>
      <c r="B71" s="762" t="s">
        <v>419</v>
      </c>
      <c r="C71" s="762" t="s">
        <v>420</v>
      </c>
      <c r="D71" s="581">
        <v>1</v>
      </c>
      <c r="E71" s="582"/>
      <c r="F71" s="582"/>
      <c r="G71" s="583"/>
      <c r="H71" s="583"/>
      <c r="I71" s="582"/>
      <c r="J71" s="582"/>
      <c r="K71" s="582"/>
      <c r="L71" s="582"/>
      <c r="M71" s="582"/>
      <c r="N71" s="583"/>
      <c r="O71" s="583"/>
      <c r="P71" s="582"/>
      <c r="Q71" s="582"/>
      <c r="R71" s="582"/>
      <c r="S71" s="582"/>
      <c r="T71" s="582"/>
      <c r="U71" s="583"/>
      <c r="V71" s="583"/>
      <c r="W71" s="582"/>
      <c r="X71" s="582"/>
      <c r="Y71" s="582"/>
      <c r="Z71" s="582"/>
      <c r="AA71" s="582"/>
      <c r="AB71" s="583"/>
      <c r="AC71" s="583"/>
      <c r="AD71" s="582"/>
      <c r="AE71" s="582"/>
      <c r="AF71" s="582"/>
      <c r="AG71" s="582"/>
      <c r="AH71" s="582"/>
      <c r="AI71" s="583"/>
      <c r="AJ71" s="579">
        <f t="shared" si="9"/>
        <v>0</v>
      </c>
      <c r="AK71" s="580">
        <f t="shared" si="3"/>
        <v>0</v>
      </c>
      <c r="AL71" s="584">
        <v>25200</v>
      </c>
      <c r="AM71" s="765">
        <f t="shared" si="10"/>
        <v>0</v>
      </c>
      <c r="AN71" s="983"/>
    </row>
    <row r="72" spans="1:40" s="754" customFormat="1" ht="15" customHeight="1">
      <c r="A72" s="755">
        <v>13</v>
      </c>
      <c r="B72" s="762" t="s">
        <v>421</v>
      </c>
      <c r="C72" s="762" t="s">
        <v>422</v>
      </c>
      <c r="D72" s="581">
        <v>2</v>
      </c>
      <c r="E72" s="582">
        <v>1</v>
      </c>
      <c r="F72" s="582">
        <v>1</v>
      </c>
      <c r="G72" s="583"/>
      <c r="H72" s="583"/>
      <c r="I72" s="582">
        <v>1</v>
      </c>
      <c r="J72" s="582">
        <v>1</v>
      </c>
      <c r="K72" s="582">
        <v>1</v>
      </c>
      <c r="L72" s="582">
        <v>1</v>
      </c>
      <c r="M72" s="582">
        <v>1</v>
      </c>
      <c r="N72" s="583"/>
      <c r="O72" s="583"/>
      <c r="P72" s="582">
        <v>1</v>
      </c>
      <c r="Q72" s="582">
        <v>1</v>
      </c>
      <c r="R72" s="582">
        <v>1</v>
      </c>
      <c r="S72" s="582">
        <v>1</v>
      </c>
      <c r="T72" s="582">
        <v>1</v>
      </c>
      <c r="U72" s="583"/>
      <c r="V72" s="583"/>
      <c r="W72" s="582">
        <v>1</v>
      </c>
      <c r="X72" s="582">
        <v>1</v>
      </c>
      <c r="Y72" s="582">
        <v>1</v>
      </c>
      <c r="Z72" s="582">
        <v>1</v>
      </c>
      <c r="AA72" s="582">
        <v>1</v>
      </c>
      <c r="AB72" s="583"/>
      <c r="AC72" s="583"/>
      <c r="AD72" s="582">
        <v>1</v>
      </c>
      <c r="AE72" s="582">
        <v>1</v>
      </c>
      <c r="AF72" s="582">
        <v>1</v>
      </c>
      <c r="AG72" s="582">
        <v>1</v>
      </c>
      <c r="AH72" s="582">
        <v>1</v>
      </c>
      <c r="AI72" s="583"/>
      <c r="AJ72" s="579">
        <f t="shared" si="9"/>
        <v>22</v>
      </c>
      <c r="AK72" s="580">
        <f>+AJ72/AJ$3</f>
        <v>1</v>
      </c>
      <c r="AL72" s="584">
        <v>14300</v>
      </c>
      <c r="AM72" s="765">
        <f>+AL72*AK72</f>
        <v>14300</v>
      </c>
      <c r="AN72" s="983"/>
    </row>
    <row r="73" spans="1:40" s="754" customFormat="1" ht="15" customHeight="1">
      <c r="A73" s="755" t="s">
        <v>423</v>
      </c>
      <c r="B73" s="762" t="s">
        <v>421</v>
      </c>
      <c r="C73" s="762" t="s">
        <v>424</v>
      </c>
      <c r="D73" s="581"/>
      <c r="E73" s="582">
        <v>1</v>
      </c>
      <c r="F73" s="582">
        <v>1</v>
      </c>
      <c r="G73" s="583"/>
      <c r="H73" s="583"/>
      <c r="I73" s="582">
        <v>1</v>
      </c>
      <c r="J73" s="582">
        <v>1</v>
      </c>
      <c r="K73" s="582">
        <v>1</v>
      </c>
      <c r="L73" s="582">
        <v>1</v>
      </c>
      <c r="M73" s="582">
        <v>1</v>
      </c>
      <c r="N73" s="583"/>
      <c r="O73" s="583"/>
      <c r="P73" s="582">
        <v>1</v>
      </c>
      <c r="Q73" s="582">
        <v>1</v>
      </c>
      <c r="R73" s="582">
        <v>1</v>
      </c>
      <c r="S73" s="582">
        <v>1</v>
      </c>
      <c r="T73" s="582">
        <v>1</v>
      </c>
      <c r="U73" s="583"/>
      <c r="V73" s="583"/>
      <c r="W73" s="582">
        <v>1</v>
      </c>
      <c r="X73" s="582">
        <v>1</v>
      </c>
      <c r="Y73" s="582">
        <v>1</v>
      </c>
      <c r="Z73" s="582">
        <v>1</v>
      </c>
      <c r="AA73" s="582">
        <v>1</v>
      </c>
      <c r="AB73" s="583"/>
      <c r="AC73" s="583"/>
      <c r="AD73" s="582">
        <v>1</v>
      </c>
      <c r="AE73" s="582">
        <v>1</v>
      </c>
      <c r="AF73" s="582">
        <v>1</v>
      </c>
      <c r="AG73" s="582">
        <v>1</v>
      </c>
      <c r="AH73" s="582">
        <v>1</v>
      </c>
      <c r="AI73" s="583"/>
      <c r="AJ73" s="579">
        <f t="shared" si="9"/>
        <v>22</v>
      </c>
      <c r="AK73" s="580">
        <f>+AJ73/AJ$3</f>
        <v>1</v>
      </c>
      <c r="AL73" s="584">
        <v>14300</v>
      </c>
      <c r="AM73" s="765">
        <f>+AL73*AK73</f>
        <v>14300</v>
      </c>
      <c r="AN73" s="983"/>
    </row>
    <row r="74" spans="1:40" s="754" customFormat="1" ht="15" customHeight="1">
      <c r="A74" s="755" t="s">
        <v>425</v>
      </c>
      <c r="B74" s="762" t="s">
        <v>421</v>
      </c>
      <c r="C74" s="762" t="s">
        <v>426</v>
      </c>
      <c r="D74" s="581"/>
      <c r="E74" s="582">
        <v>1</v>
      </c>
      <c r="F74" s="582">
        <v>1</v>
      </c>
      <c r="G74" s="583"/>
      <c r="H74" s="583"/>
      <c r="I74" s="582">
        <v>1</v>
      </c>
      <c r="J74" s="582">
        <v>1</v>
      </c>
      <c r="K74" s="582">
        <v>1</v>
      </c>
      <c r="L74" s="582">
        <v>1</v>
      </c>
      <c r="M74" s="582">
        <v>1</v>
      </c>
      <c r="N74" s="583"/>
      <c r="O74" s="583"/>
      <c r="P74" s="582">
        <v>1</v>
      </c>
      <c r="Q74" s="582">
        <v>1</v>
      </c>
      <c r="R74" s="582">
        <v>1</v>
      </c>
      <c r="S74" s="582">
        <v>1</v>
      </c>
      <c r="T74" s="582">
        <v>1</v>
      </c>
      <c r="U74" s="583"/>
      <c r="V74" s="583"/>
      <c r="W74" s="582">
        <v>1</v>
      </c>
      <c r="X74" s="582">
        <v>1</v>
      </c>
      <c r="Y74" s="582">
        <v>1</v>
      </c>
      <c r="Z74" s="582">
        <v>1</v>
      </c>
      <c r="AA74" s="582">
        <v>1</v>
      </c>
      <c r="AB74" s="583"/>
      <c r="AC74" s="583"/>
      <c r="AD74" s="582">
        <v>1</v>
      </c>
      <c r="AE74" s="582">
        <v>1</v>
      </c>
      <c r="AF74" s="582">
        <v>1</v>
      </c>
      <c r="AG74" s="582">
        <v>1</v>
      </c>
      <c r="AH74" s="582">
        <v>1</v>
      </c>
      <c r="AI74" s="583"/>
      <c r="AJ74" s="579">
        <f t="shared" si="9"/>
        <v>22</v>
      </c>
      <c r="AK74" s="580">
        <f>+AJ74/AJ$3</f>
        <v>1</v>
      </c>
      <c r="AL74" s="584">
        <v>14300</v>
      </c>
      <c r="AM74" s="765">
        <f>+AL74*AK74</f>
        <v>14300</v>
      </c>
      <c r="AN74" s="983"/>
    </row>
    <row r="75" spans="1:40" s="754" customFormat="1" ht="15" customHeight="1">
      <c r="A75" s="755">
        <v>14</v>
      </c>
      <c r="B75" s="762" t="s">
        <v>427</v>
      </c>
      <c r="C75" s="762" t="s">
        <v>428</v>
      </c>
      <c r="D75" s="581">
        <v>1</v>
      </c>
      <c r="E75" s="582">
        <v>1</v>
      </c>
      <c r="F75" s="582">
        <v>1</v>
      </c>
      <c r="G75" s="583"/>
      <c r="H75" s="583"/>
      <c r="I75" s="582">
        <v>1</v>
      </c>
      <c r="J75" s="582">
        <v>1</v>
      </c>
      <c r="K75" s="582">
        <v>1</v>
      </c>
      <c r="L75" s="582">
        <v>1</v>
      </c>
      <c r="M75" s="582">
        <v>1</v>
      </c>
      <c r="N75" s="583"/>
      <c r="O75" s="583"/>
      <c r="P75" s="582">
        <v>1</v>
      </c>
      <c r="Q75" s="582">
        <v>1</v>
      </c>
      <c r="R75" s="582">
        <v>1</v>
      </c>
      <c r="S75" s="582">
        <v>1</v>
      </c>
      <c r="T75" s="582">
        <v>1</v>
      </c>
      <c r="U75" s="583"/>
      <c r="V75" s="583"/>
      <c r="W75" s="582">
        <v>1</v>
      </c>
      <c r="X75" s="582">
        <v>1</v>
      </c>
      <c r="Y75" s="582">
        <v>1</v>
      </c>
      <c r="Z75" s="582">
        <v>1</v>
      </c>
      <c r="AA75" s="582">
        <v>1</v>
      </c>
      <c r="AB75" s="583"/>
      <c r="AC75" s="583"/>
      <c r="AD75" s="582">
        <v>1</v>
      </c>
      <c r="AE75" s="582">
        <v>1</v>
      </c>
      <c r="AF75" s="582">
        <v>1</v>
      </c>
      <c r="AG75" s="582">
        <v>1</v>
      </c>
      <c r="AH75" s="582">
        <v>1</v>
      </c>
      <c r="AI75" s="583"/>
      <c r="AJ75" s="579">
        <f t="shared" si="9"/>
        <v>22</v>
      </c>
      <c r="AK75" s="580">
        <f t="shared" si="3"/>
        <v>1</v>
      </c>
      <c r="AL75" s="584">
        <v>29100</v>
      </c>
      <c r="AM75" s="765">
        <f t="shared" si="10"/>
        <v>29100</v>
      </c>
      <c r="AN75" s="983"/>
    </row>
    <row r="76" spans="1:40" s="754" customFormat="1" ht="15" customHeight="1">
      <c r="A76" s="755">
        <v>15</v>
      </c>
      <c r="B76" s="762" t="s">
        <v>429</v>
      </c>
      <c r="C76" s="762"/>
      <c r="D76" s="581">
        <v>1</v>
      </c>
      <c r="E76" s="582"/>
      <c r="F76" s="582"/>
      <c r="G76" s="583"/>
      <c r="H76" s="583"/>
      <c r="I76" s="582"/>
      <c r="J76" s="582"/>
      <c r="K76" s="582"/>
      <c r="L76" s="582"/>
      <c r="M76" s="582"/>
      <c r="N76" s="583"/>
      <c r="O76" s="583"/>
      <c r="P76" s="582"/>
      <c r="Q76" s="582"/>
      <c r="R76" s="582"/>
      <c r="S76" s="582"/>
      <c r="T76" s="582"/>
      <c r="U76" s="583"/>
      <c r="V76" s="583"/>
      <c r="W76" s="582"/>
      <c r="X76" s="582"/>
      <c r="Y76" s="582"/>
      <c r="Z76" s="582"/>
      <c r="AA76" s="582"/>
      <c r="AB76" s="583"/>
      <c r="AC76" s="583"/>
      <c r="AD76" s="582"/>
      <c r="AE76" s="582"/>
      <c r="AF76" s="582"/>
      <c r="AG76" s="582"/>
      <c r="AH76" s="582"/>
      <c r="AI76" s="583"/>
      <c r="AJ76" s="579">
        <f t="shared" si="9"/>
        <v>0</v>
      </c>
      <c r="AK76" s="580">
        <f t="shared" si="3"/>
        <v>0</v>
      </c>
      <c r="AL76" s="584">
        <v>19500</v>
      </c>
      <c r="AM76" s="765">
        <f t="shared" si="10"/>
        <v>0</v>
      </c>
      <c r="AN76" s="983"/>
    </row>
    <row r="77" spans="1:40" s="754" customFormat="1" ht="15" customHeight="1">
      <c r="A77" s="755">
        <v>16</v>
      </c>
      <c r="B77" s="762" t="s">
        <v>430</v>
      </c>
      <c r="C77" s="762" t="s">
        <v>431</v>
      </c>
      <c r="D77" s="581">
        <v>0.2</v>
      </c>
      <c r="E77" s="582"/>
      <c r="F77" s="582"/>
      <c r="G77" s="583"/>
      <c r="H77" s="583"/>
      <c r="I77" s="582"/>
      <c r="J77" s="985"/>
      <c r="K77" s="582"/>
      <c r="L77" s="582"/>
      <c r="M77" s="582"/>
      <c r="N77" s="583"/>
      <c r="O77" s="583"/>
      <c r="P77" s="582"/>
      <c r="Q77" s="582"/>
      <c r="R77" s="582"/>
      <c r="S77" s="582"/>
      <c r="T77" s="582"/>
      <c r="U77" s="583"/>
      <c r="V77" s="583"/>
      <c r="W77" s="582"/>
      <c r="X77" s="582"/>
      <c r="Y77" s="582"/>
      <c r="Z77" s="582"/>
      <c r="AA77" s="582"/>
      <c r="AB77" s="583"/>
      <c r="AC77" s="583"/>
      <c r="AD77" s="582"/>
      <c r="AE77" s="582"/>
      <c r="AF77" s="582"/>
      <c r="AG77" s="582"/>
      <c r="AH77" s="582"/>
      <c r="AI77" s="583"/>
      <c r="AJ77" s="579">
        <f t="shared" si="9"/>
        <v>0</v>
      </c>
      <c r="AK77" s="580">
        <f t="shared" si="3"/>
        <v>0</v>
      </c>
      <c r="AL77" s="584">
        <v>68500</v>
      </c>
      <c r="AM77" s="765">
        <f t="shared" si="10"/>
        <v>0</v>
      </c>
      <c r="AN77" s="983"/>
    </row>
    <row r="78" spans="1:40" s="754" customFormat="1" ht="15" customHeight="1">
      <c r="A78" s="755">
        <v>17</v>
      </c>
      <c r="B78" s="762" t="s">
        <v>432</v>
      </c>
      <c r="C78" s="762" t="s">
        <v>433</v>
      </c>
      <c r="D78" s="581">
        <v>2</v>
      </c>
      <c r="E78" s="582"/>
      <c r="F78" s="582"/>
      <c r="G78" s="583"/>
      <c r="H78" s="583"/>
      <c r="I78" s="582"/>
      <c r="J78" s="582"/>
      <c r="K78" s="582"/>
      <c r="L78" s="582"/>
      <c r="M78" s="582"/>
      <c r="N78" s="583"/>
      <c r="O78" s="583"/>
      <c r="P78" s="582"/>
      <c r="Q78" s="582"/>
      <c r="R78" s="582"/>
      <c r="S78" s="582"/>
      <c r="T78" s="582"/>
      <c r="U78" s="583"/>
      <c r="V78" s="583"/>
      <c r="W78" s="582"/>
      <c r="X78" s="582"/>
      <c r="Y78" s="582"/>
      <c r="Z78" s="582"/>
      <c r="AA78" s="582"/>
      <c r="AB78" s="583"/>
      <c r="AC78" s="583"/>
      <c r="AD78" s="582"/>
      <c r="AE78" s="582"/>
      <c r="AF78" s="582"/>
      <c r="AG78" s="582"/>
      <c r="AH78" s="582"/>
      <c r="AI78" s="583"/>
      <c r="AJ78" s="579">
        <f t="shared" si="9"/>
        <v>0</v>
      </c>
      <c r="AK78" s="580">
        <f t="shared" si="3"/>
        <v>0</v>
      </c>
      <c r="AL78" s="584">
        <v>19500</v>
      </c>
      <c r="AM78" s="765">
        <f t="shared" si="10"/>
        <v>0</v>
      </c>
      <c r="AN78" s="983"/>
    </row>
    <row r="79" spans="1:40" s="754" customFormat="1" ht="15" customHeight="1">
      <c r="A79" s="755" t="s">
        <v>434</v>
      </c>
      <c r="B79" s="762" t="s">
        <v>432</v>
      </c>
      <c r="C79" s="762" t="s">
        <v>435</v>
      </c>
      <c r="D79" s="581"/>
      <c r="E79" s="582">
        <v>1</v>
      </c>
      <c r="F79" s="582">
        <v>1</v>
      </c>
      <c r="G79" s="583"/>
      <c r="H79" s="583"/>
      <c r="I79" s="582">
        <v>1</v>
      </c>
      <c r="J79" s="582">
        <v>1</v>
      </c>
      <c r="K79" s="582">
        <v>1</v>
      </c>
      <c r="L79" s="582">
        <v>1</v>
      </c>
      <c r="M79" s="582">
        <v>1</v>
      </c>
      <c r="N79" s="583"/>
      <c r="O79" s="583"/>
      <c r="P79" s="582">
        <v>1</v>
      </c>
      <c r="Q79" s="582">
        <v>1</v>
      </c>
      <c r="R79" s="582">
        <v>1</v>
      </c>
      <c r="S79" s="582">
        <v>1</v>
      </c>
      <c r="T79" s="582">
        <v>1</v>
      </c>
      <c r="U79" s="583"/>
      <c r="V79" s="583"/>
      <c r="W79" s="582">
        <v>1</v>
      </c>
      <c r="X79" s="582">
        <v>1</v>
      </c>
      <c r="Y79" s="582">
        <v>1</v>
      </c>
      <c r="Z79" s="582">
        <v>1</v>
      </c>
      <c r="AA79" s="582">
        <v>1</v>
      </c>
      <c r="AB79" s="583"/>
      <c r="AC79" s="583"/>
      <c r="AD79" s="582">
        <v>1</v>
      </c>
      <c r="AE79" s="582">
        <v>1</v>
      </c>
      <c r="AF79" s="582">
        <v>1</v>
      </c>
      <c r="AG79" s="582">
        <v>1</v>
      </c>
      <c r="AH79" s="582">
        <v>1</v>
      </c>
      <c r="AI79" s="583"/>
      <c r="AJ79" s="579">
        <f t="shared" si="9"/>
        <v>22</v>
      </c>
      <c r="AK79" s="580">
        <f t="shared" si="3"/>
        <v>1</v>
      </c>
      <c r="AL79" s="584">
        <v>19500</v>
      </c>
      <c r="AM79" s="765">
        <f t="shared" si="10"/>
        <v>19500</v>
      </c>
      <c r="AN79" s="983"/>
    </row>
    <row r="80" spans="1:40" s="754" customFormat="1" ht="15" customHeight="1">
      <c r="A80" s="755" t="s">
        <v>436</v>
      </c>
      <c r="B80" s="762" t="s">
        <v>432</v>
      </c>
      <c r="C80" s="762" t="s">
        <v>773</v>
      </c>
      <c r="D80" s="581"/>
      <c r="E80" s="582">
        <v>1</v>
      </c>
      <c r="F80" s="582">
        <v>1</v>
      </c>
      <c r="G80" s="583"/>
      <c r="H80" s="583"/>
      <c r="I80" s="582">
        <v>1</v>
      </c>
      <c r="J80" s="582">
        <v>1</v>
      </c>
      <c r="K80" s="582">
        <v>1</v>
      </c>
      <c r="L80" s="582">
        <v>1</v>
      </c>
      <c r="M80" s="582">
        <v>1</v>
      </c>
      <c r="N80" s="583"/>
      <c r="O80" s="583"/>
      <c r="P80" s="582">
        <v>1</v>
      </c>
      <c r="Q80" s="582">
        <v>1</v>
      </c>
      <c r="R80" s="582">
        <v>1</v>
      </c>
      <c r="S80" s="582">
        <v>1</v>
      </c>
      <c r="T80" s="582">
        <v>1</v>
      </c>
      <c r="U80" s="583"/>
      <c r="V80" s="583"/>
      <c r="W80" s="582">
        <v>1</v>
      </c>
      <c r="X80" s="582">
        <v>1</v>
      </c>
      <c r="Y80" s="582">
        <v>1</v>
      </c>
      <c r="Z80" s="582">
        <v>1</v>
      </c>
      <c r="AA80" s="582">
        <v>1</v>
      </c>
      <c r="AB80" s="583"/>
      <c r="AC80" s="583"/>
      <c r="AD80" s="582">
        <v>1</v>
      </c>
      <c r="AE80" s="582">
        <v>1</v>
      </c>
      <c r="AF80" s="582">
        <v>1</v>
      </c>
      <c r="AG80" s="582">
        <v>1</v>
      </c>
      <c r="AH80" s="582">
        <v>1</v>
      </c>
      <c r="AI80" s="583"/>
      <c r="AJ80" s="579">
        <f>SUM(E80:AI80)</f>
        <v>22</v>
      </c>
      <c r="AK80" s="580">
        <f t="shared" si="3"/>
        <v>1</v>
      </c>
      <c r="AL80" s="584">
        <v>19500</v>
      </c>
      <c r="AM80" s="765">
        <f t="shared" si="10"/>
        <v>19500</v>
      </c>
      <c r="AN80" s="983"/>
    </row>
    <row r="81" spans="1:40" s="754" customFormat="1" ht="15" customHeight="1">
      <c r="A81" s="755" t="s">
        <v>772</v>
      </c>
      <c r="B81" s="762" t="s">
        <v>432</v>
      </c>
      <c r="C81" s="762" t="s">
        <v>926</v>
      </c>
      <c r="D81" s="581"/>
      <c r="E81" s="582"/>
      <c r="F81" s="582"/>
      <c r="G81" s="583"/>
      <c r="H81" s="583"/>
      <c r="I81" s="582"/>
      <c r="J81" s="582"/>
      <c r="K81" s="582"/>
      <c r="L81" s="582"/>
      <c r="M81" s="582"/>
      <c r="N81" s="583"/>
      <c r="O81" s="583"/>
      <c r="P81" s="582"/>
      <c r="Q81" s="582"/>
      <c r="R81" s="582"/>
      <c r="S81" s="582"/>
      <c r="T81" s="582"/>
      <c r="U81" s="583"/>
      <c r="V81" s="583"/>
      <c r="W81" s="582"/>
      <c r="X81" s="582">
        <v>1</v>
      </c>
      <c r="Y81" s="582">
        <v>1</v>
      </c>
      <c r="Z81" s="582">
        <v>1</v>
      </c>
      <c r="AA81" s="582">
        <v>1</v>
      </c>
      <c r="AB81" s="583"/>
      <c r="AC81" s="583"/>
      <c r="AD81" s="582">
        <v>1</v>
      </c>
      <c r="AE81" s="582">
        <v>1</v>
      </c>
      <c r="AF81" s="582">
        <v>1</v>
      </c>
      <c r="AG81" s="582">
        <v>1</v>
      </c>
      <c r="AH81" s="582">
        <v>1</v>
      </c>
      <c r="AI81" s="583"/>
      <c r="AJ81" s="579">
        <f>SUM(E81:AI81)</f>
        <v>9</v>
      </c>
      <c r="AK81" s="580">
        <f t="shared" si="3"/>
        <v>0.40909090909090912</v>
      </c>
      <c r="AL81" s="584">
        <v>19500</v>
      </c>
      <c r="AM81" s="765">
        <f t="shared" si="10"/>
        <v>7977.2727272727279</v>
      </c>
      <c r="AN81" s="983"/>
    </row>
    <row r="82" spans="1:40" s="754" customFormat="1" ht="15" customHeight="1">
      <c r="A82" s="755">
        <v>18</v>
      </c>
      <c r="B82" s="762" t="s">
        <v>437</v>
      </c>
      <c r="C82" s="762" t="s">
        <v>438</v>
      </c>
      <c r="D82" s="581">
        <v>0.6</v>
      </c>
      <c r="E82" s="582">
        <v>0.8</v>
      </c>
      <c r="F82" s="582">
        <v>0.8</v>
      </c>
      <c r="G82" s="583"/>
      <c r="H82" s="583"/>
      <c r="I82" s="582">
        <v>0.8</v>
      </c>
      <c r="J82" s="582">
        <v>0.8</v>
      </c>
      <c r="K82" s="582">
        <v>0.8</v>
      </c>
      <c r="L82" s="582">
        <v>0.8</v>
      </c>
      <c r="M82" s="582">
        <v>0.8</v>
      </c>
      <c r="N82" s="583"/>
      <c r="O82" s="583"/>
      <c r="P82" s="582">
        <v>0.8</v>
      </c>
      <c r="Q82" s="582">
        <v>0.8</v>
      </c>
      <c r="R82" s="582">
        <v>0.8</v>
      </c>
      <c r="S82" s="582">
        <v>0.8</v>
      </c>
      <c r="T82" s="582">
        <v>0.8</v>
      </c>
      <c r="U82" s="583"/>
      <c r="V82" s="583"/>
      <c r="W82" s="582">
        <v>0.8</v>
      </c>
      <c r="X82" s="582">
        <v>0.8</v>
      </c>
      <c r="Y82" s="582">
        <v>0.8</v>
      </c>
      <c r="Z82" s="582">
        <v>0.8</v>
      </c>
      <c r="AA82" s="582">
        <v>0.8</v>
      </c>
      <c r="AB82" s="583"/>
      <c r="AC82" s="583"/>
      <c r="AD82" s="582">
        <v>0.8</v>
      </c>
      <c r="AE82" s="582">
        <v>0.8</v>
      </c>
      <c r="AF82" s="582">
        <v>0.8</v>
      </c>
      <c r="AG82" s="582">
        <v>0.8</v>
      </c>
      <c r="AH82" s="582">
        <v>0.8</v>
      </c>
      <c r="AI82" s="583"/>
      <c r="AJ82" s="579">
        <f t="shared" si="9"/>
        <v>17.600000000000005</v>
      </c>
      <c r="AK82" s="580">
        <f>+AJ82/AJ$3</f>
        <v>0.80000000000000027</v>
      </c>
      <c r="AL82" s="584">
        <v>78000</v>
      </c>
      <c r="AM82" s="765">
        <f t="shared" si="10"/>
        <v>62400.000000000022</v>
      </c>
      <c r="AN82" s="983"/>
    </row>
    <row r="83" spans="1:40" s="754" customFormat="1" ht="15" customHeight="1">
      <c r="A83" s="755">
        <v>19</v>
      </c>
      <c r="B83" s="762" t="s">
        <v>439</v>
      </c>
      <c r="C83" s="762"/>
      <c r="D83" s="581">
        <v>2</v>
      </c>
      <c r="E83" s="582"/>
      <c r="F83" s="582"/>
      <c r="G83" s="583"/>
      <c r="H83" s="583"/>
      <c r="I83" s="582"/>
      <c r="J83" s="582"/>
      <c r="K83" s="582"/>
      <c r="L83" s="582"/>
      <c r="M83" s="582"/>
      <c r="N83" s="583"/>
      <c r="O83" s="583"/>
      <c r="P83" s="582"/>
      <c r="Q83" s="582"/>
      <c r="R83" s="582"/>
      <c r="S83" s="582"/>
      <c r="T83" s="582"/>
      <c r="U83" s="583"/>
      <c r="V83" s="583"/>
      <c r="W83" s="582"/>
      <c r="X83" s="582"/>
      <c r="Y83" s="582"/>
      <c r="Z83" s="582"/>
      <c r="AA83" s="582"/>
      <c r="AB83" s="583"/>
      <c r="AC83" s="583"/>
      <c r="AD83" s="582"/>
      <c r="AE83" s="582"/>
      <c r="AF83" s="582"/>
      <c r="AG83" s="582"/>
      <c r="AH83" s="582"/>
      <c r="AI83" s="583"/>
      <c r="AJ83" s="579">
        <f t="shared" si="9"/>
        <v>0</v>
      </c>
      <c r="AK83" s="580">
        <f t="shared" si="3"/>
        <v>0</v>
      </c>
      <c r="AL83" s="584">
        <v>28000</v>
      </c>
      <c r="AM83" s="765">
        <f t="shared" si="10"/>
        <v>0</v>
      </c>
      <c r="AN83" s="983"/>
    </row>
    <row r="84" spans="1:40" s="754" customFormat="1" ht="15" customHeight="1">
      <c r="A84" s="755">
        <v>20</v>
      </c>
      <c r="B84" s="762" t="s">
        <v>440</v>
      </c>
      <c r="C84" s="762" t="s">
        <v>441</v>
      </c>
      <c r="D84" s="581">
        <v>1</v>
      </c>
      <c r="E84" s="582">
        <v>1</v>
      </c>
      <c r="F84" s="582">
        <v>1</v>
      </c>
      <c r="G84" s="583"/>
      <c r="H84" s="583"/>
      <c r="I84" s="582">
        <v>1</v>
      </c>
      <c r="J84" s="582">
        <v>1</v>
      </c>
      <c r="K84" s="582">
        <v>1</v>
      </c>
      <c r="L84" s="582">
        <v>1</v>
      </c>
      <c r="M84" s="582">
        <v>1</v>
      </c>
      <c r="N84" s="583"/>
      <c r="O84" s="583"/>
      <c r="P84" s="582">
        <v>1</v>
      </c>
      <c r="Q84" s="582">
        <v>1</v>
      </c>
      <c r="R84" s="582">
        <v>1</v>
      </c>
      <c r="S84" s="582">
        <v>1</v>
      </c>
      <c r="T84" s="582">
        <v>1</v>
      </c>
      <c r="U84" s="583"/>
      <c r="V84" s="583"/>
      <c r="W84" s="582">
        <v>1</v>
      </c>
      <c r="X84" s="582">
        <v>1</v>
      </c>
      <c r="Y84" s="582">
        <v>1</v>
      </c>
      <c r="Z84" s="582">
        <v>1</v>
      </c>
      <c r="AA84" s="582">
        <v>1</v>
      </c>
      <c r="AB84" s="583"/>
      <c r="AC84" s="583"/>
      <c r="AD84" s="582">
        <v>1</v>
      </c>
      <c r="AE84" s="582">
        <v>1</v>
      </c>
      <c r="AF84" s="582">
        <v>1</v>
      </c>
      <c r="AG84" s="582">
        <v>1</v>
      </c>
      <c r="AH84" s="582">
        <v>1</v>
      </c>
      <c r="AI84" s="583"/>
      <c r="AJ84" s="579">
        <f t="shared" si="9"/>
        <v>22</v>
      </c>
      <c r="AK84" s="580">
        <f t="shared" si="3"/>
        <v>1</v>
      </c>
      <c r="AL84" s="584">
        <v>8300</v>
      </c>
      <c r="AM84" s="765">
        <f t="shared" si="10"/>
        <v>8300</v>
      </c>
      <c r="AN84" s="983"/>
    </row>
    <row r="85" spans="1:40" s="754" customFormat="1" ht="15" customHeight="1">
      <c r="A85" s="755" t="s">
        <v>442</v>
      </c>
      <c r="B85" s="762" t="s">
        <v>440</v>
      </c>
      <c r="C85" s="762" t="s">
        <v>443</v>
      </c>
      <c r="D85" s="581"/>
      <c r="E85" s="582">
        <v>1</v>
      </c>
      <c r="F85" s="582">
        <v>1</v>
      </c>
      <c r="G85" s="583"/>
      <c r="H85" s="583"/>
      <c r="I85" s="582">
        <v>1</v>
      </c>
      <c r="J85" s="582">
        <v>1</v>
      </c>
      <c r="K85" s="582">
        <v>1</v>
      </c>
      <c r="L85" s="582">
        <v>1</v>
      </c>
      <c r="M85" s="582">
        <v>1</v>
      </c>
      <c r="N85" s="583"/>
      <c r="O85" s="583"/>
      <c r="P85" s="582">
        <v>1</v>
      </c>
      <c r="Q85" s="582">
        <v>1</v>
      </c>
      <c r="R85" s="582">
        <v>1</v>
      </c>
      <c r="S85" s="582">
        <v>1</v>
      </c>
      <c r="T85" s="582">
        <v>1</v>
      </c>
      <c r="U85" s="583"/>
      <c r="V85" s="583"/>
      <c r="W85" s="582">
        <v>1</v>
      </c>
      <c r="X85" s="582">
        <v>1</v>
      </c>
      <c r="Y85" s="582">
        <v>1</v>
      </c>
      <c r="Z85" s="582">
        <v>1</v>
      </c>
      <c r="AA85" s="582">
        <v>1</v>
      </c>
      <c r="AB85" s="583"/>
      <c r="AC85" s="583"/>
      <c r="AD85" s="582">
        <v>1</v>
      </c>
      <c r="AE85" s="582">
        <v>1</v>
      </c>
      <c r="AF85" s="582">
        <v>1</v>
      </c>
      <c r="AG85" s="582">
        <v>1</v>
      </c>
      <c r="AH85" s="582">
        <v>1</v>
      </c>
      <c r="AI85" s="583"/>
      <c r="AJ85" s="579">
        <f t="shared" si="9"/>
        <v>22</v>
      </c>
      <c r="AK85" s="580">
        <f t="shared" si="3"/>
        <v>1</v>
      </c>
      <c r="AL85" s="584">
        <v>8300</v>
      </c>
      <c r="AM85" s="765">
        <f t="shared" si="10"/>
        <v>8300</v>
      </c>
      <c r="AN85" s="983"/>
    </row>
    <row r="86" spans="1:40" s="754" customFormat="1" ht="15" customHeight="1">
      <c r="A86" s="755">
        <v>21</v>
      </c>
      <c r="B86" s="762" t="s">
        <v>444</v>
      </c>
      <c r="C86" s="762" t="s">
        <v>445</v>
      </c>
      <c r="D86" s="581">
        <v>0</v>
      </c>
      <c r="E86" s="582">
        <v>1</v>
      </c>
      <c r="F86" s="582">
        <v>1</v>
      </c>
      <c r="G86" s="583"/>
      <c r="H86" s="583"/>
      <c r="I86" s="582">
        <v>1</v>
      </c>
      <c r="J86" s="582">
        <v>1</v>
      </c>
      <c r="K86" s="582">
        <v>1</v>
      </c>
      <c r="L86" s="582">
        <v>1</v>
      </c>
      <c r="M86" s="582">
        <v>1</v>
      </c>
      <c r="N86" s="583"/>
      <c r="O86" s="583"/>
      <c r="P86" s="582">
        <v>1</v>
      </c>
      <c r="Q86" s="582">
        <v>1</v>
      </c>
      <c r="R86" s="582">
        <v>1</v>
      </c>
      <c r="S86" s="582">
        <v>1</v>
      </c>
      <c r="T86" s="582">
        <v>1</v>
      </c>
      <c r="U86" s="583"/>
      <c r="V86" s="583"/>
      <c r="W86" s="582">
        <v>1</v>
      </c>
      <c r="X86" s="582">
        <v>1</v>
      </c>
      <c r="Y86" s="582">
        <v>1</v>
      </c>
      <c r="Z86" s="582">
        <v>1</v>
      </c>
      <c r="AA86" s="582">
        <v>1</v>
      </c>
      <c r="AB86" s="583"/>
      <c r="AC86" s="583"/>
      <c r="AD86" s="582">
        <v>1</v>
      </c>
      <c r="AE86" s="582">
        <v>1</v>
      </c>
      <c r="AF86" s="582">
        <v>1</v>
      </c>
      <c r="AG86" s="582">
        <v>1</v>
      </c>
      <c r="AH86" s="582">
        <v>1</v>
      </c>
      <c r="AI86" s="583"/>
      <c r="AJ86" s="579">
        <f t="shared" si="9"/>
        <v>22</v>
      </c>
      <c r="AK86" s="580">
        <f>+AJ86/AJ$3</f>
        <v>1</v>
      </c>
      <c r="AL86" s="584">
        <v>54200</v>
      </c>
      <c r="AM86" s="765">
        <f t="shared" si="10"/>
        <v>54200</v>
      </c>
      <c r="AN86" s="983"/>
    </row>
    <row r="87" spans="1:40" s="754" customFormat="1" ht="15" customHeight="1">
      <c r="A87" s="755">
        <v>22</v>
      </c>
      <c r="B87" s="762" t="s">
        <v>446</v>
      </c>
      <c r="C87" s="762" t="s">
        <v>447</v>
      </c>
      <c r="D87" s="581">
        <v>2</v>
      </c>
      <c r="E87" s="582">
        <v>1</v>
      </c>
      <c r="F87" s="582">
        <v>1</v>
      </c>
      <c r="G87" s="583"/>
      <c r="H87" s="583"/>
      <c r="I87" s="582">
        <v>1</v>
      </c>
      <c r="J87" s="582">
        <v>1</v>
      </c>
      <c r="K87" s="582">
        <v>1</v>
      </c>
      <c r="L87" s="582">
        <v>1</v>
      </c>
      <c r="M87" s="582">
        <v>1</v>
      </c>
      <c r="N87" s="583"/>
      <c r="O87" s="583"/>
      <c r="P87" s="582">
        <v>1</v>
      </c>
      <c r="Q87" s="582">
        <v>1</v>
      </c>
      <c r="R87" s="582">
        <v>1</v>
      </c>
      <c r="S87" s="582">
        <v>1</v>
      </c>
      <c r="T87" s="582">
        <v>1</v>
      </c>
      <c r="U87" s="583"/>
      <c r="V87" s="583"/>
      <c r="W87" s="582">
        <v>1</v>
      </c>
      <c r="X87" s="582">
        <v>1</v>
      </c>
      <c r="Y87" s="582">
        <v>1</v>
      </c>
      <c r="Z87" s="582">
        <v>1</v>
      </c>
      <c r="AA87" s="582">
        <v>1</v>
      </c>
      <c r="AB87" s="583"/>
      <c r="AC87" s="583"/>
      <c r="AD87" s="582">
        <v>1</v>
      </c>
      <c r="AE87" s="582">
        <v>1</v>
      </c>
      <c r="AF87" s="582">
        <v>1</v>
      </c>
      <c r="AG87" s="582">
        <v>1</v>
      </c>
      <c r="AH87" s="582">
        <v>1</v>
      </c>
      <c r="AI87" s="583"/>
      <c r="AJ87" s="579">
        <f t="shared" si="9"/>
        <v>22</v>
      </c>
      <c r="AK87" s="580">
        <f>+AJ87/AJ$3</f>
        <v>1</v>
      </c>
      <c r="AL87" s="584">
        <v>17500</v>
      </c>
      <c r="AM87" s="765">
        <f t="shared" si="10"/>
        <v>17500</v>
      </c>
      <c r="AN87" s="983"/>
    </row>
    <row r="88" spans="1:40" s="754" customFormat="1" ht="15" customHeight="1">
      <c r="A88" s="755" t="s">
        <v>448</v>
      </c>
      <c r="B88" s="762" t="s">
        <v>446</v>
      </c>
      <c r="C88" s="762" t="s">
        <v>449</v>
      </c>
      <c r="D88" s="581"/>
      <c r="E88" s="582">
        <v>1</v>
      </c>
      <c r="F88" s="582">
        <v>1</v>
      </c>
      <c r="G88" s="583"/>
      <c r="H88" s="583"/>
      <c r="I88" s="582">
        <v>1</v>
      </c>
      <c r="J88" s="582">
        <v>1</v>
      </c>
      <c r="K88" s="582">
        <v>1</v>
      </c>
      <c r="L88" s="582">
        <v>1</v>
      </c>
      <c r="M88" s="582">
        <v>1</v>
      </c>
      <c r="N88" s="583"/>
      <c r="O88" s="583"/>
      <c r="P88" s="582">
        <v>1</v>
      </c>
      <c r="Q88" s="582">
        <v>1</v>
      </c>
      <c r="R88" s="582">
        <v>1</v>
      </c>
      <c r="S88" s="582">
        <v>1</v>
      </c>
      <c r="T88" s="582">
        <v>1</v>
      </c>
      <c r="U88" s="583"/>
      <c r="V88" s="583"/>
      <c r="W88" s="582">
        <v>1</v>
      </c>
      <c r="X88" s="582">
        <v>1</v>
      </c>
      <c r="Y88" s="582">
        <v>1</v>
      </c>
      <c r="Z88" s="582">
        <v>1</v>
      </c>
      <c r="AA88" s="582">
        <v>1</v>
      </c>
      <c r="AB88" s="583"/>
      <c r="AC88" s="583"/>
      <c r="AD88" s="582">
        <v>1</v>
      </c>
      <c r="AE88" s="582">
        <v>1</v>
      </c>
      <c r="AF88" s="582">
        <v>1</v>
      </c>
      <c r="AG88" s="582">
        <v>1</v>
      </c>
      <c r="AH88" s="582">
        <v>1</v>
      </c>
      <c r="AI88" s="583"/>
      <c r="AJ88" s="579">
        <f t="shared" si="9"/>
        <v>22</v>
      </c>
      <c r="AK88" s="580">
        <f>+AJ88/AJ$3</f>
        <v>1</v>
      </c>
      <c r="AL88" s="584">
        <v>17500</v>
      </c>
      <c r="AM88" s="765">
        <f>+AL88*AK88</f>
        <v>17500</v>
      </c>
      <c r="AN88" s="983"/>
    </row>
    <row r="89" spans="1:40" s="754" customFormat="1" ht="15" customHeight="1">
      <c r="A89" s="755" t="s">
        <v>450</v>
      </c>
      <c r="B89" s="762" t="s">
        <v>446</v>
      </c>
      <c r="C89" s="762" t="s">
        <v>451</v>
      </c>
      <c r="D89" s="581"/>
      <c r="E89" s="582">
        <v>1</v>
      </c>
      <c r="F89" s="582">
        <v>1</v>
      </c>
      <c r="G89" s="583"/>
      <c r="H89" s="583"/>
      <c r="I89" s="582">
        <v>1</v>
      </c>
      <c r="J89" s="582">
        <v>1</v>
      </c>
      <c r="K89" s="582">
        <v>1</v>
      </c>
      <c r="L89" s="582">
        <v>1</v>
      </c>
      <c r="M89" s="582">
        <v>1</v>
      </c>
      <c r="N89" s="583"/>
      <c r="O89" s="583"/>
      <c r="P89" s="582">
        <v>1</v>
      </c>
      <c r="Q89" s="582">
        <v>1</v>
      </c>
      <c r="R89" s="582">
        <v>1</v>
      </c>
      <c r="S89" s="582">
        <v>1</v>
      </c>
      <c r="T89" s="582">
        <v>1</v>
      </c>
      <c r="U89" s="583"/>
      <c r="V89" s="583"/>
      <c r="W89" s="582">
        <v>1</v>
      </c>
      <c r="X89" s="582">
        <v>1</v>
      </c>
      <c r="Y89" s="582">
        <v>1</v>
      </c>
      <c r="Z89" s="582">
        <v>1</v>
      </c>
      <c r="AA89" s="582">
        <v>1</v>
      </c>
      <c r="AB89" s="583"/>
      <c r="AC89" s="583"/>
      <c r="AD89" s="582">
        <v>1</v>
      </c>
      <c r="AE89" s="582">
        <v>1</v>
      </c>
      <c r="AF89" s="582">
        <v>1</v>
      </c>
      <c r="AG89" s="582">
        <v>1</v>
      </c>
      <c r="AH89" s="582">
        <v>1</v>
      </c>
      <c r="AI89" s="583"/>
      <c r="AJ89" s="579">
        <f t="shared" si="9"/>
        <v>22</v>
      </c>
      <c r="AK89" s="580">
        <f t="shared" ref="AK89" si="11">+AJ89/AJ$3</f>
        <v>1</v>
      </c>
      <c r="AL89" s="584">
        <v>17500</v>
      </c>
      <c r="AM89" s="765">
        <f t="shared" ref="AM89" si="12">+AL89*AK89</f>
        <v>17500</v>
      </c>
      <c r="AN89" s="983"/>
    </row>
    <row r="90" spans="1:40" s="754" customFormat="1" ht="15" customHeight="1">
      <c r="A90" s="755">
        <v>23</v>
      </c>
      <c r="B90" s="762" t="s">
        <v>452</v>
      </c>
      <c r="C90" s="762" t="s">
        <v>453</v>
      </c>
      <c r="D90" s="581">
        <v>0.2</v>
      </c>
      <c r="E90" s="582"/>
      <c r="F90" s="582"/>
      <c r="G90" s="583"/>
      <c r="H90" s="583"/>
      <c r="I90" s="582"/>
      <c r="J90" s="582"/>
      <c r="K90" s="582"/>
      <c r="L90" s="582"/>
      <c r="M90" s="582"/>
      <c r="N90" s="583"/>
      <c r="O90" s="583"/>
      <c r="P90" s="582"/>
      <c r="Q90" s="582"/>
      <c r="R90" s="582"/>
      <c r="S90" s="582"/>
      <c r="T90" s="582"/>
      <c r="U90" s="583"/>
      <c r="V90" s="583"/>
      <c r="W90" s="582"/>
      <c r="X90" s="582"/>
      <c r="Y90" s="582"/>
      <c r="Z90" s="582"/>
      <c r="AA90" s="582"/>
      <c r="AB90" s="583"/>
      <c r="AC90" s="583"/>
      <c r="AD90" s="582"/>
      <c r="AE90" s="582"/>
      <c r="AF90" s="582"/>
      <c r="AG90" s="582"/>
      <c r="AH90" s="582"/>
      <c r="AI90" s="583"/>
      <c r="AJ90" s="579">
        <f t="shared" si="9"/>
        <v>0</v>
      </c>
      <c r="AK90" s="580">
        <f t="shared" si="3"/>
        <v>0</v>
      </c>
      <c r="AL90" s="584">
        <v>63700</v>
      </c>
      <c r="AM90" s="765">
        <f t="shared" si="10"/>
        <v>0</v>
      </c>
      <c r="AN90" s="983"/>
    </row>
    <row r="91" spans="1:40" s="754" customFormat="1" ht="15" customHeight="1">
      <c r="A91" s="755">
        <v>24</v>
      </c>
      <c r="B91" s="762" t="s">
        <v>454</v>
      </c>
      <c r="C91" s="762" t="s">
        <v>455</v>
      </c>
      <c r="D91" s="581">
        <v>1</v>
      </c>
      <c r="E91" s="582">
        <v>1</v>
      </c>
      <c r="F91" s="582">
        <v>1</v>
      </c>
      <c r="G91" s="583"/>
      <c r="H91" s="583"/>
      <c r="I91" s="582">
        <v>1</v>
      </c>
      <c r="J91" s="582">
        <v>1</v>
      </c>
      <c r="K91" s="582">
        <v>1</v>
      </c>
      <c r="L91" s="582">
        <v>1</v>
      </c>
      <c r="M91" s="582">
        <v>1</v>
      </c>
      <c r="N91" s="583"/>
      <c r="O91" s="583"/>
      <c r="P91" s="582">
        <v>1</v>
      </c>
      <c r="Q91" s="582">
        <v>1</v>
      </c>
      <c r="R91" s="582">
        <v>1</v>
      </c>
      <c r="S91" s="582">
        <v>1</v>
      </c>
      <c r="T91" s="582">
        <v>1</v>
      </c>
      <c r="U91" s="583"/>
      <c r="V91" s="583"/>
      <c r="W91" s="582">
        <v>1</v>
      </c>
      <c r="X91" s="582">
        <v>1</v>
      </c>
      <c r="Y91" s="582">
        <v>1</v>
      </c>
      <c r="Z91" s="582">
        <v>1</v>
      </c>
      <c r="AA91" s="582">
        <v>1</v>
      </c>
      <c r="AB91" s="583"/>
      <c r="AC91" s="583"/>
      <c r="AD91" s="582">
        <v>1</v>
      </c>
      <c r="AE91" s="582">
        <v>1</v>
      </c>
      <c r="AF91" s="582">
        <v>1</v>
      </c>
      <c r="AG91" s="582">
        <v>1</v>
      </c>
      <c r="AH91" s="582">
        <v>1</v>
      </c>
      <c r="AI91" s="583"/>
      <c r="AJ91" s="579">
        <f t="shared" si="9"/>
        <v>22</v>
      </c>
      <c r="AK91" s="580">
        <f t="shared" si="3"/>
        <v>1</v>
      </c>
      <c r="AL91" s="584">
        <v>23900</v>
      </c>
      <c r="AM91" s="765">
        <f t="shared" si="10"/>
        <v>23900</v>
      </c>
      <c r="AN91" s="983"/>
    </row>
    <row r="92" spans="1:40" s="754" customFormat="1" ht="15" customHeight="1">
      <c r="A92" s="755" t="s">
        <v>456</v>
      </c>
      <c r="B92" s="762" t="s">
        <v>454</v>
      </c>
      <c r="C92" s="762" t="s">
        <v>859</v>
      </c>
      <c r="D92" s="581"/>
      <c r="E92" s="582"/>
      <c r="F92" s="582"/>
      <c r="G92" s="583"/>
      <c r="H92" s="583"/>
      <c r="I92" s="582"/>
      <c r="J92" s="582"/>
      <c r="K92" s="582"/>
      <c r="L92" s="582"/>
      <c r="M92" s="582"/>
      <c r="N92" s="583"/>
      <c r="O92" s="583"/>
      <c r="P92" s="582"/>
      <c r="Q92" s="582"/>
      <c r="R92" s="582"/>
      <c r="S92" s="582"/>
      <c r="T92" s="582"/>
      <c r="U92" s="583"/>
      <c r="V92" s="583"/>
      <c r="W92" s="582"/>
      <c r="X92" s="582"/>
      <c r="Y92" s="582"/>
      <c r="Z92" s="582"/>
      <c r="AA92" s="582"/>
      <c r="AB92" s="583"/>
      <c r="AC92" s="583"/>
      <c r="AD92" s="582"/>
      <c r="AE92" s="582"/>
      <c r="AF92" s="582"/>
      <c r="AG92" s="582"/>
      <c r="AH92" s="582"/>
      <c r="AI92" s="583"/>
      <c r="AJ92" s="579">
        <f t="shared" si="9"/>
        <v>0</v>
      </c>
      <c r="AK92" s="580">
        <f t="shared" si="3"/>
        <v>0</v>
      </c>
      <c r="AL92" s="584">
        <v>23900</v>
      </c>
      <c r="AM92" s="765">
        <f t="shared" si="10"/>
        <v>0</v>
      </c>
      <c r="AN92" s="983"/>
    </row>
    <row r="93" spans="1:40" s="754" customFormat="1" ht="15" customHeight="1">
      <c r="A93" s="755">
        <v>25</v>
      </c>
      <c r="B93" s="762" t="s">
        <v>457</v>
      </c>
      <c r="C93" s="762" t="s">
        <v>458</v>
      </c>
      <c r="D93" s="581">
        <v>3</v>
      </c>
      <c r="E93" s="582">
        <v>1</v>
      </c>
      <c r="F93" s="582">
        <v>1</v>
      </c>
      <c r="G93" s="583"/>
      <c r="H93" s="583"/>
      <c r="I93" s="582">
        <v>1</v>
      </c>
      <c r="J93" s="582">
        <v>1</v>
      </c>
      <c r="K93" s="582">
        <v>1</v>
      </c>
      <c r="L93" s="582">
        <v>1</v>
      </c>
      <c r="M93" s="582">
        <v>1</v>
      </c>
      <c r="N93" s="583"/>
      <c r="O93" s="583"/>
      <c r="P93" s="582">
        <v>1</v>
      </c>
      <c r="Q93" s="582">
        <v>1</v>
      </c>
      <c r="R93" s="582">
        <v>1</v>
      </c>
      <c r="S93" s="582">
        <v>1</v>
      </c>
      <c r="T93" s="582">
        <v>1</v>
      </c>
      <c r="U93" s="583"/>
      <c r="V93" s="583"/>
      <c r="W93" s="582">
        <v>1</v>
      </c>
      <c r="X93" s="582">
        <v>1</v>
      </c>
      <c r="Y93" s="582">
        <v>1</v>
      </c>
      <c r="Z93" s="582">
        <v>1</v>
      </c>
      <c r="AA93" s="582">
        <v>1</v>
      </c>
      <c r="AB93" s="583"/>
      <c r="AC93" s="583"/>
      <c r="AD93" s="582">
        <v>1</v>
      </c>
      <c r="AE93" s="582">
        <v>1</v>
      </c>
      <c r="AF93" s="582">
        <v>1</v>
      </c>
      <c r="AG93" s="582">
        <v>1</v>
      </c>
      <c r="AH93" s="582">
        <v>1</v>
      </c>
      <c r="AI93" s="583"/>
      <c r="AJ93" s="579">
        <f t="shared" si="9"/>
        <v>22</v>
      </c>
      <c r="AK93" s="580">
        <f t="shared" si="3"/>
        <v>1</v>
      </c>
      <c r="AL93" s="584">
        <v>11000</v>
      </c>
      <c r="AM93" s="765">
        <f t="shared" si="10"/>
        <v>11000</v>
      </c>
      <c r="AN93" s="983"/>
    </row>
    <row r="94" spans="1:40" s="754" customFormat="1" ht="15" customHeight="1">
      <c r="A94" s="755" t="s">
        <v>459</v>
      </c>
      <c r="B94" s="762" t="s">
        <v>457</v>
      </c>
      <c r="C94" s="762" t="s">
        <v>460</v>
      </c>
      <c r="D94" s="581"/>
      <c r="E94" s="582">
        <v>1</v>
      </c>
      <c r="F94" s="582">
        <v>1</v>
      </c>
      <c r="G94" s="583"/>
      <c r="H94" s="583"/>
      <c r="I94" s="582">
        <v>1</v>
      </c>
      <c r="J94" s="582">
        <v>1</v>
      </c>
      <c r="K94" s="582">
        <v>1</v>
      </c>
      <c r="L94" s="582">
        <v>1</v>
      </c>
      <c r="M94" s="582">
        <v>1</v>
      </c>
      <c r="N94" s="583"/>
      <c r="O94" s="583"/>
      <c r="P94" s="582">
        <v>1</v>
      </c>
      <c r="Q94" s="582">
        <v>1</v>
      </c>
      <c r="R94" s="582">
        <v>1</v>
      </c>
      <c r="S94" s="582">
        <v>1</v>
      </c>
      <c r="T94" s="582">
        <v>1</v>
      </c>
      <c r="U94" s="583"/>
      <c r="V94" s="583"/>
      <c r="W94" s="582">
        <v>1</v>
      </c>
      <c r="X94" s="582">
        <v>1</v>
      </c>
      <c r="Y94" s="582">
        <v>1</v>
      </c>
      <c r="Z94" s="582">
        <v>1</v>
      </c>
      <c r="AA94" s="582">
        <v>1</v>
      </c>
      <c r="AB94" s="583"/>
      <c r="AC94" s="583"/>
      <c r="AD94" s="582">
        <v>1</v>
      </c>
      <c r="AE94" s="582">
        <v>1</v>
      </c>
      <c r="AF94" s="582">
        <v>1</v>
      </c>
      <c r="AG94" s="582">
        <v>1</v>
      </c>
      <c r="AH94" s="582">
        <v>1</v>
      </c>
      <c r="AI94" s="583"/>
      <c r="AJ94" s="579">
        <f t="shared" si="9"/>
        <v>22</v>
      </c>
      <c r="AK94" s="580">
        <f t="shared" si="3"/>
        <v>1</v>
      </c>
      <c r="AL94" s="584">
        <v>11000</v>
      </c>
      <c r="AM94" s="765">
        <f>+AL94*AK94</f>
        <v>11000</v>
      </c>
      <c r="AN94" s="983"/>
    </row>
    <row r="95" spans="1:40" s="754" customFormat="1" ht="15" customHeight="1">
      <c r="A95" s="755" t="s">
        <v>461</v>
      </c>
      <c r="B95" s="762" t="s">
        <v>457</v>
      </c>
      <c r="C95" s="762" t="s">
        <v>462</v>
      </c>
      <c r="D95" s="581"/>
      <c r="E95" s="582">
        <v>1</v>
      </c>
      <c r="F95" s="582">
        <v>1</v>
      </c>
      <c r="G95" s="583"/>
      <c r="H95" s="583"/>
      <c r="I95" s="582">
        <v>1</v>
      </c>
      <c r="J95" s="582">
        <v>1</v>
      </c>
      <c r="K95" s="582">
        <v>1</v>
      </c>
      <c r="L95" s="582">
        <v>1</v>
      </c>
      <c r="M95" s="582">
        <v>1</v>
      </c>
      <c r="N95" s="583"/>
      <c r="O95" s="583"/>
      <c r="P95" s="582">
        <v>1</v>
      </c>
      <c r="Q95" s="582">
        <v>1</v>
      </c>
      <c r="R95" s="582">
        <v>1</v>
      </c>
      <c r="S95" s="582">
        <v>1</v>
      </c>
      <c r="T95" s="582">
        <v>1</v>
      </c>
      <c r="U95" s="583"/>
      <c r="V95" s="583"/>
      <c r="W95" s="582">
        <v>1</v>
      </c>
      <c r="X95" s="582">
        <v>1</v>
      </c>
      <c r="Y95" s="582">
        <v>1</v>
      </c>
      <c r="Z95" s="582">
        <v>1</v>
      </c>
      <c r="AA95" s="582">
        <v>1</v>
      </c>
      <c r="AB95" s="583"/>
      <c r="AC95" s="583"/>
      <c r="AD95" s="582">
        <v>1</v>
      </c>
      <c r="AE95" s="582">
        <v>1</v>
      </c>
      <c r="AF95" s="582">
        <v>1</v>
      </c>
      <c r="AG95" s="582">
        <v>1</v>
      </c>
      <c r="AH95" s="582">
        <v>1</v>
      </c>
      <c r="AI95" s="583"/>
      <c r="AJ95" s="579">
        <f t="shared" si="9"/>
        <v>22</v>
      </c>
      <c r="AK95" s="580">
        <f t="shared" si="3"/>
        <v>1</v>
      </c>
      <c r="AL95" s="584">
        <v>11000</v>
      </c>
      <c r="AM95" s="765">
        <f t="shared" ref="AM95:AM104" si="13">+AL95*AK95</f>
        <v>11000</v>
      </c>
      <c r="AN95" s="983"/>
    </row>
    <row r="96" spans="1:40" s="754" customFormat="1" ht="15" customHeight="1">
      <c r="A96" s="755"/>
      <c r="B96" s="756" t="s">
        <v>463</v>
      </c>
      <c r="C96" s="757"/>
      <c r="D96" s="581"/>
      <c r="E96" s="582"/>
      <c r="F96" s="582"/>
      <c r="G96" s="583"/>
      <c r="H96" s="583"/>
      <c r="I96" s="582"/>
      <c r="J96" s="582"/>
      <c r="K96" s="582"/>
      <c r="L96" s="582"/>
      <c r="M96" s="582"/>
      <c r="N96" s="583"/>
      <c r="O96" s="583"/>
      <c r="P96" s="582"/>
      <c r="Q96" s="582"/>
      <c r="R96" s="582"/>
      <c r="S96" s="582"/>
      <c r="T96" s="582"/>
      <c r="U96" s="583"/>
      <c r="V96" s="583"/>
      <c r="W96" s="582"/>
      <c r="X96" s="582"/>
      <c r="Y96" s="582"/>
      <c r="Z96" s="582"/>
      <c r="AA96" s="582"/>
      <c r="AB96" s="583"/>
      <c r="AC96" s="583"/>
      <c r="AD96" s="582"/>
      <c r="AE96" s="582"/>
      <c r="AF96" s="582"/>
      <c r="AG96" s="582"/>
      <c r="AH96" s="582"/>
      <c r="AI96" s="583"/>
      <c r="AJ96" s="579"/>
      <c r="AK96" s="580"/>
      <c r="AL96" s="584"/>
      <c r="AM96" s="765">
        <f t="shared" si="13"/>
        <v>0</v>
      </c>
      <c r="AN96" s="983"/>
    </row>
    <row r="97" spans="1:41" s="754" customFormat="1" ht="15" customHeight="1">
      <c r="A97" s="755">
        <v>49</v>
      </c>
      <c r="B97" s="762" t="s">
        <v>464</v>
      </c>
      <c r="C97" s="762"/>
      <c r="D97" s="581">
        <v>1</v>
      </c>
      <c r="E97" s="582">
        <v>1</v>
      </c>
      <c r="F97" s="582">
        <v>1</v>
      </c>
      <c r="G97" s="583"/>
      <c r="H97" s="583"/>
      <c r="I97" s="582">
        <v>1</v>
      </c>
      <c r="J97" s="582">
        <v>1</v>
      </c>
      <c r="K97" s="582">
        <v>1</v>
      </c>
      <c r="L97" s="582">
        <v>1</v>
      </c>
      <c r="M97" s="582">
        <v>1</v>
      </c>
      <c r="N97" s="583"/>
      <c r="O97" s="583"/>
      <c r="P97" s="582">
        <v>1</v>
      </c>
      <c r="Q97" s="582">
        <v>1</v>
      </c>
      <c r="R97" s="582">
        <v>1</v>
      </c>
      <c r="S97" s="582">
        <v>1</v>
      </c>
      <c r="T97" s="582">
        <v>1</v>
      </c>
      <c r="U97" s="583"/>
      <c r="V97" s="583"/>
      <c r="W97" s="582">
        <v>1</v>
      </c>
      <c r="X97" s="582">
        <v>1</v>
      </c>
      <c r="Y97" s="582">
        <v>1</v>
      </c>
      <c r="Z97" s="582">
        <v>1</v>
      </c>
      <c r="AA97" s="582">
        <v>1</v>
      </c>
      <c r="AB97" s="583"/>
      <c r="AC97" s="583"/>
      <c r="AD97" s="582">
        <v>1</v>
      </c>
      <c r="AE97" s="582">
        <v>1</v>
      </c>
      <c r="AF97" s="582">
        <v>1</v>
      </c>
      <c r="AG97" s="582">
        <v>1</v>
      </c>
      <c r="AH97" s="582">
        <v>1</v>
      </c>
      <c r="AI97" s="583"/>
      <c r="AJ97" s="579">
        <f t="shared" si="9"/>
        <v>22</v>
      </c>
      <c r="AK97" s="580">
        <f t="shared" si="3"/>
        <v>1</v>
      </c>
      <c r="AL97" s="584">
        <v>14000</v>
      </c>
      <c r="AM97" s="765">
        <f t="shared" si="13"/>
        <v>14000</v>
      </c>
      <c r="AN97" s="983"/>
    </row>
    <row r="98" spans="1:41" s="754" customFormat="1" ht="15" customHeight="1">
      <c r="A98" s="755">
        <v>50</v>
      </c>
      <c r="B98" s="762" t="s">
        <v>465</v>
      </c>
      <c r="C98" s="762" t="s">
        <v>466</v>
      </c>
      <c r="D98" s="581">
        <v>1</v>
      </c>
      <c r="E98" s="582">
        <v>1</v>
      </c>
      <c r="F98" s="582">
        <v>1</v>
      </c>
      <c r="G98" s="583"/>
      <c r="H98" s="583"/>
      <c r="I98" s="582">
        <v>1</v>
      </c>
      <c r="J98" s="582">
        <v>1</v>
      </c>
      <c r="K98" s="582">
        <v>1</v>
      </c>
      <c r="L98" s="582">
        <v>1</v>
      </c>
      <c r="M98" s="582">
        <v>1</v>
      </c>
      <c r="N98" s="583"/>
      <c r="O98" s="583"/>
      <c r="P98" s="582">
        <v>1</v>
      </c>
      <c r="Q98" s="582">
        <v>1</v>
      </c>
      <c r="R98" s="582">
        <v>1</v>
      </c>
      <c r="S98" s="582">
        <v>1</v>
      </c>
      <c r="T98" s="582">
        <v>1</v>
      </c>
      <c r="U98" s="583"/>
      <c r="V98" s="583"/>
      <c r="W98" s="582">
        <v>1</v>
      </c>
      <c r="X98" s="582">
        <v>1</v>
      </c>
      <c r="Y98" s="582">
        <v>1</v>
      </c>
      <c r="Z98" s="582">
        <v>1</v>
      </c>
      <c r="AA98" s="582">
        <v>1</v>
      </c>
      <c r="AB98" s="583"/>
      <c r="AC98" s="583"/>
      <c r="AD98" s="582">
        <v>1</v>
      </c>
      <c r="AE98" s="582">
        <v>1</v>
      </c>
      <c r="AF98" s="582">
        <v>1</v>
      </c>
      <c r="AG98" s="582">
        <v>1</v>
      </c>
      <c r="AH98" s="582">
        <v>1</v>
      </c>
      <c r="AI98" s="583"/>
      <c r="AJ98" s="579">
        <f t="shared" si="9"/>
        <v>22</v>
      </c>
      <c r="AK98" s="580">
        <f t="shared" si="3"/>
        <v>1</v>
      </c>
      <c r="AL98" s="584">
        <v>7000</v>
      </c>
      <c r="AM98" s="765">
        <f t="shared" si="13"/>
        <v>7000</v>
      </c>
      <c r="AN98" s="983"/>
    </row>
    <row r="99" spans="1:41" s="754" customFormat="1" ht="15" customHeight="1">
      <c r="A99" s="755" t="s">
        <v>467</v>
      </c>
      <c r="B99" s="762" t="s">
        <v>465</v>
      </c>
      <c r="C99" s="762" t="s">
        <v>468</v>
      </c>
      <c r="D99" s="581"/>
      <c r="E99" s="582"/>
      <c r="F99" s="582"/>
      <c r="G99" s="583"/>
      <c r="H99" s="583"/>
      <c r="I99" s="582"/>
      <c r="J99" s="582"/>
      <c r="K99" s="582"/>
      <c r="L99" s="582"/>
      <c r="M99" s="582"/>
      <c r="N99" s="583"/>
      <c r="O99" s="583"/>
      <c r="P99" s="582"/>
      <c r="Q99" s="582"/>
      <c r="R99" s="582"/>
      <c r="S99" s="582"/>
      <c r="T99" s="582"/>
      <c r="U99" s="583"/>
      <c r="V99" s="583"/>
      <c r="W99" s="582"/>
      <c r="X99" s="582"/>
      <c r="Y99" s="582"/>
      <c r="Z99" s="582"/>
      <c r="AA99" s="582"/>
      <c r="AB99" s="583"/>
      <c r="AC99" s="583"/>
      <c r="AD99" s="582"/>
      <c r="AE99" s="582"/>
      <c r="AF99" s="582"/>
      <c r="AG99" s="582"/>
      <c r="AH99" s="582"/>
      <c r="AI99" s="583"/>
      <c r="AJ99" s="579">
        <f t="shared" si="9"/>
        <v>0</v>
      </c>
      <c r="AK99" s="580">
        <f>+AJ99/AJ$3</f>
        <v>0</v>
      </c>
      <c r="AL99" s="584">
        <v>7000</v>
      </c>
      <c r="AM99" s="765">
        <f>+AL99*AK99</f>
        <v>0</v>
      </c>
      <c r="AN99" s="983"/>
    </row>
    <row r="100" spans="1:41" s="754" customFormat="1" ht="15" customHeight="1">
      <c r="A100" s="755">
        <v>51</v>
      </c>
      <c r="B100" s="762" t="s">
        <v>469</v>
      </c>
      <c r="C100" s="762" t="s">
        <v>470</v>
      </c>
      <c r="D100" s="581">
        <v>1</v>
      </c>
      <c r="E100" s="582"/>
      <c r="F100" s="582"/>
      <c r="G100" s="583"/>
      <c r="H100" s="583"/>
      <c r="I100" s="582"/>
      <c r="J100" s="582"/>
      <c r="K100" s="582"/>
      <c r="L100" s="582"/>
      <c r="M100" s="582"/>
      <c r="N100" s="583"/>
      <c r="O100" s="583"/>
      <c r="P100" s="582"/>
      <c r="Q100" s="582"/>
      <c r="R100" s="582"/>
      <c r="S100" s="582"/>
      <c r="T100" s="582"/>
      <c r="U100" s="583"/>
      <c r="V100" s="583"/>
      <c r="W100" s="582"/>
      <c r="X100" s="582"/>
      <c r="Y100" s="582"/>
      <c r="Z100" s="582"/>
      <c r="AA100" s="582"/>
      <c r="AB100" s="583"/>
      <c r="AC100" s="583"/>
      <c r="AD100" s="582"/>
      <c r="AE100" s="582"/>
      <c r="AF100" s="582"/>
      <c r="AG100" s="582"/>
      <c r="AH100" s="582"/>
      <c r="AI100" s="583"/>
      <c r="AJ100" s="579">
        <f t="shared" si="9"/>
        <v>0</v>
      </c>
      <c r="AK100" s="580">
        <f t="shared" si="3"/>
        <v>0</v>
      </c>
      <c r="AL100" s="584">
        <v>7000</v>
      </c>
      <c r="AM100" s="765">
        <f t="shared" si="13"/>
        <v>0</v>
      </c>
      <c r="AN100" s="983"/>
    </row>
    <row r="101" spans="1:41" s="754" customFormat="1" ht="15" customHeight="1">
      <c r="A101" s="755" t="s">
        <v>471</v>
      </c>
      <c r="B101" s="762" t="s">
        <v>469</v>
      </c>
      <c r="C101" s="762" t="s">
        <v>472</v>
      </c>
      <c r="D101" s="581"/>
      <c r="E101" s="582">
        <v>1</v>
      </c>
      <c r="F101" s="582">
        <v>1</v>
      </c>
      <c r="G101" s="583"/>
      <c r="H101" s="583"/>
      <c r="I101" s="582">
        <v>1</v>
      </c>
      <c r="J101" s="582">
        <v>1</v>
      </c>
      <c r="K101" s="582">
        <v>1</v>
      </c>
      <c r="L101" s="582">
        <v>1</v>
      </c>
      <c r="M101" s="582">
        <v>1</v>
      </c>
      <c r="N101" s="583"/>
      <c r="O101" s="583"/>
      <c r="P101" s="582">
        <v>1</v>
      </c>
      <c r="Q101" s="582">
        <v>1</v>
      </c>
      <c r="R101" s="582">
        <v>1</v>
      </c>
      <c r="S101" s="582">
        <v>1</v>
      </c>
      <c r="T101" s="582">
        <v>1</v>
      </c>
      <c r="U101" s="583"/>
      <c r="V101" s="583"/>
      <c r="W101" s="582">
        <v>1</v>
      </c>
      <c r="X101" s="582">
        <v>1</v>
      </c>
      <c r="Y101" s="582">
        <v>1</v>
      </c>
      <c r="Z101" s="582">
        <v>1</v>
      </c>
      <c r="AA101" s="582">
        <v>1</v>
      </c>
      <c r="AB101" s="583"/>
      <c r="AC101" s="583"/>
      <c r="AD101" s="582">
        <v>1</v>
      </c>
      <c r="AE101" s="582">
        <v>1</v>
      </c>
      <c r="AF101" s="582">
        <v>1</v>
      </c>
      <c r="AG101" s="582">
        <v>1</v>
      </c>
      <c r="AH101" s="582">
        <v>1</v>
      </c>
      <c r="AI101" s="583"/>
      <c r="AJ101" s="579">
        <f t="shared" si="9"/>
        <v>22</v>
      </c>
      <c r="AK101" s="580">
        <f t="shared" si="3"/>
        <v>1</v>
      </c>
      <c r="AL101" s="584">
        <v>7000</v>
      </c>
      <c r="AM101" s="765">
        <f t="shared" si="13"/>
        <v>7000</v>
      </c>
      <c r="AN101" s="983"/>
    </row>
    <row r="102" spans="1:41" s="754" customFormat="1" ht="15" customHeight="1">
      <c r="A102" s="755" t="s">
        <v>473</v>
      </c>
      <c r="B102" s="762" t="s">
        <v>469</v>
      </c>
      <c r="C102" s="762" t="s">
        <v>474</v>
      </c>
      <c r="D102" s="581"/>
      <c r="E102" s="582">
        <v>1</v>
      </c>
      <c r="F102" s="582">
        <v>1</v>
      </c>
      <c r="G102" s="583"/>
      <c r="H102" s="583"/>
      <c r="I102" s="582">
        <v>1</v>
      </c>
      <c r="J102" s="582">
        <v>1</v>
      </c>
      <c r="K102" s="582">
        <v>1</v>
      </c>
      <c r="L102" s="582">
        <v>1</v>
      </c>
      <c r="M102" s="582">
        <v>1</v>
      </c>
      <c r="N102" s="583"/>
      <c r="O102" s="583"/>
      <c r="P102" s="582">
        <v>1</v>
      </c>
      <c r="Q102" s="582">
        <v>1</v>
      </c>
      <c r="R102" s="582">
        <v>1</v>
      </c>
      <c r="S102" s="582">
        <v>1</v>
      </c>
      <c r="T102" s="582">
        <v>1</v>
      </c>
      <c r="U102" s="583"/>
      <c r="V102" s="583"/>
      <c r="W102" s="582">
        <v>1</v>
      </c>
      <c r="X102" s="582">
        <v>1</v>
      </c>
      <c r="Y102" s="582">
        <v>1</v>
      </c>
      <c r="Z102" s="582">
        <v>1</v>
      </c>
      <c r="AA102" s="582">
        <v>1</v>
      </c>
      <c r="AB102" s="583"/>
      <c r="AC102" s="583"/>
      <c r="AD102" s="582">
        <v>1</v>
      </c>
      <c r="AE102" s="582">
        <v>1</v>
      </c>
      <c r="AF102" s="582">
        <v>1</v>
      </c>
      <c r="AG102" s="582">
        <v>1</v>
      </c>
      <c r="AH102" s="582">
        <v>1</v>
      </c>
      <c r="AI102" s="583"/>
      <c r="AJ102" s="579">
        <f t="shared" si="9"/>
        <v>22</v>
      </c>
      <c r="AK102" s="580">
        <f t="shared" si="3"/>
        <v>1</v>
      </c>
      <c r="AL102" s="584">
        <v>7000</v>
      </c>
      <c r="AM102" s="765">
        <f t="shared" si="13"/>
        <v>7000</v>
      </c>
      <c r="AN102" s="983"/>
    </row>
    <row r="103" spans="1:41" s="754" customFormat="1" ht="15" customHeight="1">
      <c r="A103" s="755">
        <v>52</v>
      </c>
      <c r="B103" s="762" t="s">
        <v>475</v>
      </c>
      <c r="C103" s="762" t="s">
        <v>476</v>
      </c>
      <c r="D103" s="581">
        <v>1</v>
      </c>
      <c r="E103" s="582">
        <v>1</v>
      </c>
      <c r="F103" s="582">
        <v>1</v>
      </c>
      <c r="G103" s="583"/>
      <c r="H103" s="583"/>
      <c r="I103" s="582">
        <v>1</v>
      </c>
      <c r="J103" s="582">
        <v>1</v>
      </c>
      <c r="K103" s="582">
        <v>1</v>
      </c>
      <c r="L103" s="582">
        <v>1</v>
      </c>
      <c r="M103" s="582">
        <v>1</v>
      </c>
      <c r="N103" s="583"/>
      <c r="O103" s="583"/>
      <c r="P103" s="582">
        <v>1</v>
      </c>
      <c r="Q103" s="582">
        <v>1</v>
      </c>
      <c r="R103" s="582">
        <v>1</v>
      </c>
      <c r="S103" s="582">
        <v>1</v>
      </c>
      <c r="T103" s="582">
        <v>1</v>
      </c>
      <c r="U103" s="583"/>
      <c r="V103" s="583"/>
      <c r="W103" s="582">
        <v>1</v>
      </c>
      <c r="X103" s="582">
        <v>1</v>
      </c>
      <c r="Y103" s="582">
        <v>1</v>
      </c>
      <c r="Z103" s="582">
        <v>1</v>
      </c>
      <c r="AA103" s="582">
        <v>1</v>
      </c>
      <c r="AB103" s="583"/>
      <c r="AC103" s="583"/>
      <c r="AD103" s="582">
        <v>1</v>
      </c>
      <c r="AE103" s="582">
        <v>1</v>
      </c>
      <c r="AF103" s="582">
        <v>1</v>
      </c>
      <c r="AG103" s="582">
        <v>1</v>
      </c>
      <c r="AH103" s="582">
        <v>1</v>
      </c>
      <c r="AI103" s="583"/>
      <c r="AJ103" s="579">
        <f t="shared" si="9"/>
        <v>22</v>
      </c>
      <c r="AK103" s="580">
        <f t="shared" si="3"/>
        <v>1</v>
      </c>
      <c r="AL103" s="584">
        <v>6500</v>
      </c>
      <c r="AM103" s="765">
        <f t="shared" si="13"/>
        <v>6500</v>
      </c>
      <c r="AN103" s="983"/>
    </row>
    <row r="104" spans="1:41" s="754" customFormat="1" ht="15" customHeight="1">
      <c r="A104" s="755" t="s">
        <v>477</v>
      </c>
      <c r="B104" s="762" t="s">
        <v>475</v>
      </c>
      <c r="C104" s="762" t="s">
        <v>478</v>
      </c>
      <c r="D104" s="581"/>
      <c r="E104" s="582"/>
      <c r="F104" s="582"/>
      <c r="G104" s="583"/>
      <c r="H104" s="583"/>
      <c r="I104" s="582"/>
      <c r="J104" s="582"/>
      <c r="K104" s="582"/>
      <c r="L104" s="582"/>
      <c r="M104" s="582"/>
      <c r="N104" s="583"/>
      <c r="O104" s="583"/>
      <c r="P104" s="582"/>
      <c r="Q104" s="582"/>
      <c r="R104" s="582"/>
      <c r="S104" s="582"/>
      <c r="T104" s="582"/>
      <c r="U104" s="583"/>
      <c r="V104" s="583"/>
      <c r="W104" s="582"/>
      <c r="X104" s="582"/>
      <c r="Y104" s="582"/>
      <c r="Z104" s="582"/>
      <c r="AA104" s="582"/>
      <c r="AB104" s="583"/>
      <c r="AC104" s="583"/>
      <c r="AD104" s="582"/>
      <c r="AE104" s="582"/>
      <c r="AF104" s="582"/>
      <c r="AG104" s="582"/>
      <c r="AH104" s="582"/>
      <c r="AI104" s="583"/>
      <c r="AJ104" s="579">
        <f t="shared" si="9"/>
        <v>0</v>
      </c>
      <c r="AK104" s="580">
        <f t="shared" si="3"/>
        <v>0</v>
      </c>
      <c r="AL104" s="584">
        <v>6500</v>
      </c>
      <c r="AM104" s="765">
        <f t="shared" si="13"/>
        <v>0</v>
      </c>
      <c r="AN104" s="983"/>
    </row>
    <row r="105" spans="1:41" s="754" customFormat="1" ht="15" customHeight="1">
      <c r="A105" s="755"/>
      <c r="B105" s="762"/>
      <c r="C105" s="762"/>
      <c r="D105" s="581"/>
      <c r="E105" s="582"/>
      <c r="F105" s="582"/>
      <c r="G105" s="583"/>
      <c r="H105" s="583"/>
      <c r="I105" s="582"/>
      <c r="J105" s="582"/>
      <c r="K105" s="582"/>
      <c r="L105" s="582"/>
      <c r="M105" s="582"/>
      <c r="N105" s="583"/>
      <c r="O105" s="583"/>
      <c r="P105" s="582"/>
      <c r="Q105" s="582"/>
      <c r="R105" s="582"/>
      <c r="S105" s="582"/>
      <c r="T105" s="582"/>
      <c r="U105" s="583"/>
      <c r="V105" s="583"/>
      <c r="W105" s="582"/>
      <c r="X105" s="582"/>
      <c r="Y105" s="582"/>
      <c r="Z105" s="582"/>
      <c r="AA105" s="582"/>
      <c r="AB105" s="583"/>
      <c r="AC105" s="583"/>
      <c r="AD105" s="582"/>
      <c r="AE105" s="582"/>
      <c r="AF105" s="582"/>
      <c r="AG105" s="582"/>
      <c r="AH105" s="582"/>
      <c r="AI105" s="583"/>
      <c r="AJ105" s="579"/>
      <c r="AK105" s="580"/>
      <c r="AL105" s="578"/>
      <c r="AM105" s="765"/>
      <c r="AN105" s="983"/>
    </row>
    <row r="106" spans="1:41" s="754" customFormat="1" ht="15" customHeight="1">
      <c r="A106" s="755"/>
      <c r="B106" s="756" t="s">
        <v>479</v>
      </c>
      <c r="C106" s="757"/>
      <c r="D106" s="581"/>
      <c r="E106" s="582"/>
      <c r="F106" s="582"/>
      <c r="G106" s="583"/>
      <c r="H106" s="583"/>
      <c r="I106" s="582"/>
      <c r="J106" s="582"/>
      <c r="K106" s="582"/>
      <c r="L106" s="582"/>
      <c r="M106" s="582"/>
      <c r="N106" s="583"/>
      <c r="O106" s="583"/>
      <c r="P106" s="582"/>
      <c r="Q106" s="582"/>
      <c r="R106" s="582"/>
      <c r="S106" s="582"/>
      <c r="T106" s="582"/>
      <c r="U106" s="583"/>
      <c r="V106" s="583"/>
      <c r="W106" s="582"/>
      <c r="X106" s="582"/>
      <c r="Y106" s="582"/>
      <c r="Z106" s="582"/>
      <c r="AA106" s="582"/>
      <c r="AB106" s="583"/>
      <c r="AC106" s="583"/>
      <c r="AD106" s="582"/>
      <c r="AE106" s="582"/>
      <c r="AF106" s="582"/>
      <c r="AG106" s="582"/>
      <c r="AH106" s="582"/>
      <c r="AI106" s="583"/>
      <c r="AJ106" s="579"/>
      <c r="AK106" s="580"/>
      <c r="AL106" s="578"/>
      <c r="AM106" s="765"/>
      <c r="AN106" s="983"/>
    </row>
    <row r="107" spans="1:41" s="754" customFormat="1" ht="15" customHeight="1">
      <c r="A107" s="755">
        <f>A103+1</f>
        <v>53</v>
      </c>
      <c r="B107" s="762" t="s">
        <v>480</v>
      </c>
      <c r="C107" s="762"/>
      <c r="D107" s="581">
        <v>0</v>
      </c>
      <c r="E107" s="582"/>
      <c r="F107" s="582"/>
      <c r="G107" s="583"/>
      <c r="H107" s="583"/>
      <c r="I107" s="582"/>
      <c r="J107" s="582"/>
      <c r="K107" s="582"/>
      <c r="L107" s="582"/>
      <c r="M107" s="582"/>
      <c r="N107" s="583"/>
      <c r="O107" s="583"/>
      <c r="P107" s="582"/>
      <c r="Q107" s="582"/>
      <c r="R107" s="582"/>
      <c r="S107" s="582"/>
      <c r="T107" s="582"/>
      <c r="U107" s="583"/>
      <c r="V107" s="583"/>
      <c r="W107" s="582"/>
      <c r="X107" s="582"/>
      <c r="Y107" s="582"/>
      <c r="Z107" s="582"/>
      <c r="AA107" s="582"/>
      <c r="AB107" s="583"/>
      <c r="AC107" s="583"/>
      <c r="AD107" s="582"/>
      <c r="AE107" s="582"/>
      <c r="AF107" s="582"/>
      <c r="AG107" s="582"/>
      <c r="AH107" s="582"/>
      <c r="AI107" s="583"/>
      <c r="AJ107" s="579">
        <f>SUM(E107:AI107)</f>
        <v>0</v>
      </c>
      <c r="AK107" s="580">
        <f t="shared" si="3"/>
        <v>0</v>
      </c>
      <c r="AL107" s="584">
        <v>8300</v>
      </c>
      <c r="AM107" s="765">
        <f t="shared" ref="AM107" si="14">+AL107*AK107</f>
        <v>0</v>
      </c>
      <c r="AN107" s="983"/>
    </row>
    <row r="108" spans="1:41" s="754" customFormat="1" ht="15" customHeight="1">
      <c r="A108" s="755">
        <f>A107+1</f>
        <v>54</v>
      </c>
      <c r="B108" s="762" t="s">
        <v>481</v>
      </c>
      <c r="C108" s="762" t="s">
        <v>482</v>
      </c>
      <c r="D108" s="581">
        <v>1</v>
      </c>
      <c r="E108" s="582">
        <v>1</v>
      </c>
      <c r="F108" s="582">
        <v>1</v>
      </c>
      <c r="G108" s="583"/>
      <c r="H108" s="583"/>
      <c r="I108" s="582">
        <v>1</v>
      </c>
      <c r="J108" s="582">
        <v>1</v>
      </c>
      <c r="K108" s="582">
        <v>1</v>
      </c>
      <c r="L108" s="582">
        <v>1</v>
      </c>
      <c r="M108" s="582">
        <v>1</v>
      </c>
      <c r="N108" s="583"/>
      <c r="O108" s="583"/>
      <c r="P108" s="582">
        <v>1</v>
      </c>
      <c r="Q108" s="582">
        <v>1</v>
      </c>
      <c r="R108" s="582">
        <v>1</v>
      </c>
      <c r="S108" s="582">
        <v>1</v>
      </c>
      <c r="T108" s="582">
        <v>1</v>
      </c>
      <c r="U108" s="583"/>
      <c r="V108" s="583"/>
      <c r="W108" s="582">
        <v>1</v>
      </c>
      <c r="X108" s="582">
        <v>1</v>
      </c>
      <c r="Y108" s="582">
        <v>1</v>
      </c>
      <c r="Z108" s="582">
        <v>1</v>
      </c>
      <c r="AA108" s="582">
        <v>1</v>
      </c>
      <c r="AB108" s="583"/>
      <c r="AC108" s="583"/>
      <c r="AD108" s="582">
        <v>1</v>
      </c>
      <c r="AE108" s="582">
        <v>1</v>
      </c>
      <c r="AF108" s="582">
        <v>1</v>
      </c>
      <c r="AG108" s="582">
        <v>1</v>
      </c>
      <c r="AH108" s="582">
        <v>1</v>
      </c>
      <c r="AI108" s="583"/>
      <c r="AJ108" s="579">
        <f>SUM(E108:AI108)</f>
        <v>22</v>
      </c>
      <c r="AK108" s="580">
        <f t="shared" si="3"/>
        <v>1</v>
      </c>
      <c r="AL108" s="584">
        <v>7000</v>
      </c>
      <c r="AM108" s="765">
        <f>+AL108*AK108</f>
        <v>7000</v>
      </c>
      <c r="AN108" s="983"/>
    </row>
    <row r="109" spans="1:41" s="754" customFormat="1" ht="15" customHeight="1">
      <c r="A109" s="755">
        <f t="shared" ref="A109:A110" si="15">A108+1</f>
        <v>55</v>
      </c>
      <c r="B109" s="762" t="s">
        <v>483</v>
      </c>
      <c r="C109" s="762"/>
      <c r="D109" s="581">
        <v>1</v>
      </c>
      <c r="E109" s="582"/>
      <c r="F109" s="582"/>
      <c r="G109" s="583"/>
      <c r="H109" s="583"/>
      <c r="I109" s="582"/>
      <c r="J109" s="582"/>
      <c r="K109" s="582"/>
      <c r="L109" s="582"/>
      <c r="M109" s="582"/>
      <c r="N109" s="583"/>
      <c r="O109" s="583"/>
      <c r="P109" s="582"/>
      <c r="Q109" s="582"/>
      <c r="R109" s="582"/>
      <c r="S109" s="582"/>
      <c r="T109" s="582"/>
      <c r="U109" s="583"/>
      <c r="V109" s="583"/>
      <c r="W109" s="582"/>
      <c r="X109" s="582"/>
      <c r="Y109" s="582"/>
      <c r="Z109" s="582"/>
      <c r="AA109" s="582"/>
      <c r="AB109" s="583"/>
      <c r="AC109" s="583"/>
      <c r="AD109" s="582"/>
      <c r="AE109" s="582"/>
      <c r="AF109" s="582"/>
      <c r="AG109" s="582"/>
      <c r="AH109" s="582"/>
      <c r="AI109" s="583"/>
      <c r="AJ109" s="579">
        <f>SUM(E109:AI109)</f>
        <v>0</v>
      </c>
      <c r="AK109" s="580">
        <f t="shared" si="3"/>
        <v>0</v>
      </c>
      <c r="AL109" s="584">
        <v>4300</v>
      </c>
      <c r="AM109" s="765">
        <f>+AL109*AK109</f>
        <v>0</v>
      </c>
      <c r="AN109" s="983"/>
    </row>
    <row r="110" spans="1:41" s="754" customFormat="1" ht="15" customHeight="1">
      <c r="A110" s="755">
        <f t="shared" si="15"/>
        <v>56</v>
      </c>
      <c r="B110" s="762" t="s">
        <v>484</v>
      </c>
      <c r="C110" s="762" t="s">
        <v>485</v>
      </c>
      <c r="D110" s="581">
        <v>1</v>
      </c>
      <c r="E110" s="582">
        <v>1</v>
      </c>
      <c r="F110" s="582">
        <v>1</v>
      </c>
      <c r="G110" s="583"/>
      <c r="H110" s="583"/>
      <c r="I110" s="582">
        <v>1</v>
      </c>
      <c r="J110" s="582">
        <v>1</v>
      </c>
      <c r="K110" s="582">
        <v>1</v>
      </c>
      <c r="L110" s="582">
        <v>1</v>
      </c>
      <c r="M110" s="582">
        <v>1</v>
      </c>
      <c r="N110" s="583"/>
      <c r="O110" s="583"/>
      <c r="P110" s="582">
        <v>1</v>
      </c>
      <c r="Q110" s="582">
        <v>1</v>
      </c>
      <c r="R110" s="582">
        <v>1</v>
      </c>
      <c r="S110" s="582">
        <v>1</v>
      </c>
      <c r="T110" s="582">
        <v>1</v>
      </c>
      <c r="U110" s="583"/>
      <c r="V110" s="583"/>
      <c r="W110" s="582">
        <v>1</v>
      </c>
      <c r="X110" s="582">
        <v>1</v>
      </c>
      <c r="Y110" s="582">
        <v>1</v>
      </c>
      <c r="Z110" s="582">
        <v>1</v>
      </c>
      <c r="AA110" s="582">
        <v>1</v>
      </c>
      <c r="AB110" s="583"/>
      <c r="AC110" s="583"/>
      <c r="AD110" s="582">
        <v>1</v>
      </c>
      <c r="AE110" s="582">
        <v>1</v>
      </c>
      <c r="AF110" s="582">
        <v>1</v>
      </c>
      <c r="AG110" s="582">
        <v>1</v>
      </c>
      <c r="AH110" s="582">
        <v>1</v>
      </c>
      <c r="AI110" s="583"/>
      <c r="AJ110" s="579">
        <f>SUM(E110:AI110)</f>
        <v>22</v>
      </c>
      <c r="AK110" s="580">
        <f>+AJ110/AJ$3</f>
        <v>1</v>
      </c>
      <c r="AL110" s="584">
        <v>4300</v>
      </c>
      <c r="AM110" s="765">
        <f>+AL110*AK110</f>
        <v>4300</v>
      </c>
      <c r="AN110" s="983"/>
      <c r="AO110" s="587"/>
    </row>
    <row r="111" spans="1:41" s="754" customFormat="1" ht="15" customHeight="1">
      <c r="A111" s="766"/>
      <c r="B111" s="767"/>
      <c r="C111" s="767"/>
      <c r="D111" s="588"/>
      <c r="E111" s="589"/>
      <c r="F111" s="589"/>
      <c r="G111" s="590"/>
      <c r="H111" s="590"/>
      <c r="I111" s="589"/>
      <c r="J111" s="589"/>
      <c r="K111" s="589"/>
      <c r="L111" s="589"/>
      <c r="M111" s="589"/>
      <c r="N111" s="590"/>
      <c r="O111" s="590"/>
      <c r="P111" s="589"/>
      <c r="Q111" s="589"/>
      <c r="R111" s="589"/>
      <c r="S111" s="589"/>
      <c r="T111" s="589"/>
      <c r="U111" s="590"/>
      <c r="V111" s="590"/>
      <c r="W111" s="589"/>
      <c r="X111" s="589"/>
      <c r="Y111" s="589"/>
      <c r="Z111" s="589"/>
      <c r="AA111" s="589"/>
      <c r="AB111" s="590"/>
      <c r="AC111" s="590"/>
      <c r="AD111" s="589"/>
      <c r="AE111" s="589"/>
      <c r="AF111" s="589"/>
      <c r="AG111" s="589"/>
      <c r="AH111" s="589"/>
      <c r="AI111" s="590"/>
      <c r="AJ111" s="591"/>
      <c r="AK111" s="592"/>
      <c r="AL111" s="593"/>
      <c r="AM111" s="768"/>
      <c r="AN111" s="983"/>
      <c r="AO111" s="587"/>
    </row>
    <row r="112" spans="1:41" s="775" customFormat="1" ht="20.100000000000001" customHeight="1">
      <c r="A112" s="769"/>
      <c r="B112" s="770" t="s">
        <v>486</v>
      </c>
      <c r="C112" s="771"/>
      <c r="D112" s="769">
        <f>SUM(D8:D111)</f>
        <v>58.000000000000007</v>
      </c>
      <c r="E112" s="771"/>
      <c r="F112" s="771"/>
      <c r="G112" s="771"/>
      <c r="H112" s="771"/>
      <c r="I112" s="771"/>
      <c r="J112" s="771"/>
      <c r="K112" s="771"/>
      <c r="L112" s="771"/>
      <c r="M112" s="771"/>
      <c r="N112" s="771"/>
      <c r="O112" s="771"/>
      <c r="P112" s="771"/>
      <c r="Q112" s="771"/>
      <c r="R112" s="771"/>
      <c r="S112" s="771"/>
      <c r="T112" s="771"/>
      <c r="U112" s="771"/>
      <c r="V112" s="771"/>
      <c r="W112" s="771"/>
      <c r="X112" s="771"/>
      <c r="Y112" s="771"/>
      <c r="Z112" s="771"/>
      <c r="AA112" s="771"/>
      <c r="AB112" s="771"/>
      <c r="AC112" s="771"/>
      <c r="AD112" s="771"/>
      <c r="AE112" s="771"/>
      <c r="AF112" s="771"/>
      <c r="AG112" s="771"/>
      <c r="AH112" s="772"/>
      <c r="AI112" s="772"/>
      <c r="AJ112" s="773"/>
      <c r="AK112" s="773"/>
      <c r="AL112" s="774"/>
      <c r="AM112" s="932">
        <f>SUM(AM9:AM111)</f>
        <v>1299435.1818181816</v>
      </c>
    </row>
    <row r="113" spans="1:41" ht="15" customHeight="1">
      <c r="A113" s="741" t="s">
        <v>117</v>
      </c>
      <c r="AG113" s="1158"/>
      <c r="AH113" s="1158"/>
      <c r="AI113" s="1158"/>
      <c r="AM113" s="573"/>
    </row>
    <row r="114" spans="1:41" s="982" customFormat="1" ht="15" customHeight="1">
      <c r="A114" s="931">
        <v>1</v>
      </c>
      <c r="B114" s="594" t="s">
        <v>487</v>
      </c>
      <c r="C114" s="594"/>
      <c r="D114" s="741"/>
      <c r="E114" s="594"/>
      <c r="F114" s="594"/>
      <c r="G114" s="594"/>
      <c r="H114" s="594"/>
      <c r="I114" s="594"/>
      <c r="J114" s="594"/>
      <c r="K114" s="594"/>
      <c r="L114" s="594"/>
      <c r="M114" s="594"/>
      <c r="N114" s="594"/>
      <c r="O114" s="594"/>
      <c r="P114" s="594"/>
      <c r="Q114" s="594"/>
      <c r="R114" s="594"/>
      <c r="S114" s="594"/>
      <c r="T114" s="594"/>
      <c r="U114" s="594"/>
      <c r="V114" s="594"/>
      <c r="W114" s="594"/>
      <c r="X114" s="594"/>
      <c r="Y114" s="594"/>
      <c r="Z114" s="594"/>
      <c r="AA114" s="594"/>
      <c r="AB114" s="594"/>
      <c r="AC114" s="594"/>
      <c r="AD114" s="594"/>
      <c r="AE114" s="594"/>
      <c r="AF114" s="594"/>
      <c r="AG114" s="594"/>
      <c r="AH114" s="594"/>
      <c r="AI114" s="594"/>
      <c r="AJ114" s="594"/>
      <c r="AK114" s="594"/>
      <c r="AL114" s="972"/>
      <c r="AM114" s="573"/>
      <c r="AO114" s="594"/>
    </row>
    <row r="115" spans="1:41" s="982" customFormat="1" ht="15" customHeight="1">
      <c r="A115" s="931">
        <v>2</v>
      </c>
      <c r="B115" s="594" t="s">
        <v>488</v>
      </c>
      <c r="C115" s="594"/>
      <c r="D115" s="741"/>
      <c r="E115" s="594"/>
      <c r="F115" s="594"/>
      <c r="G115" s="594"/>
      <c r="H115" s="594"/>
      <c r="I115" s="594"/>
      <c r="J115" s="594"/>
      <c r="K115" s="594"/>
      <c r="L115" s="594"/>
      <c r="M115" s="594"/>
      <c r="N115" s="594"/>
      <c r="O115" s="594"/>
      <c r="P115" s="594"/>
      <c r="Q115" s="594"/>
      <c r="R115" s="594"/>
      <c r="S115" s="594"/>
      <c r="T115" s="594"/>
      <c r="U115" s="594"/>
      <c r="V115" s="594"/>
      <c r="W115" s="594"/>
      <c r="X115" s="594"/>
      <c r="Y115" s="594"/>
      <c r="Z115" s="594"/>
      <c r="AA115" s="594"/>
      <c r="AB115" s="594"/>
      <c r="AC115" s="594"/>
      <c r="AD115" s="594"/>
      <c r="AE115" s="594"/>
      <c r="AF115" s="594"/>
      <c r="AG115" s="594"/>
      <c r="AH115" s="594"/>
      <c r="AI115" s="594"/>
      <c r="AJ115" s="594"/>
      <c r="AK115" s="594"/>
      <c r="AL115" s="972"/>
      <c r="AM115" s="573"/>
      <c r="AO115" s="594"/>
    </row>
    <row r="116" spans="1:41" s="982" customFormat="1" ht="15" customHeight="1">
      <c r="A116" s="931">
        <v>3</v>
      </c>
      <c r="B116" s="594" t="s">
        <v>489</v>
      </c>
      <c r="C116" s="594"/>
      <c r="D116" s="741"/>
      <c r="E116" s="594"/>
      <c r="F116" s="594"/>
      <c r="G116" s="594"/>
      <c r="H116" s="594"/>
      <c r="I116" s="594"/>
      <c r="J116" s="594"/>
      <c r="K116" s="594"/>
      <c r="L116" s="594"/>
      <c r="M116" s="594"/>
      <c r="N116" s="594"/>
      <c r="O116" s="594"/>
      <c r="P116" s="594"/>
      <c r="Q116" s="594"/>
      <c r="R116" s="594"/>
      <c r="S116" s="594"/>
      <c r="T116" s="594"/>
      <c r="U116" s="594"/>
      <c r="V116" s="594"/>
      <c r="W116" s="594"/>
      <c r="X116" s="594"/>
      <c r="Y116" s="594"/>
      <c r="Z116" s="594"/>
      <c r="AA116" s="594"/>
      <c r="AB116" s="594"/>
      <c r="AC116" s="594"/>
      <c r="AD116" s="594"/>
      <c r="AE116" s="594"/>
      <c r="AF116" s="594"/>
      <c r="AG116" s="594"/>
      <c r="AH116" s="594"/>
      <c r="AI116" s="594"/>
      <c r="AJ116" s="594"/>
      <c r="AK116" s="594"/>
      <c r="AL116" s="972"/>
      <c r="AM116" s="971"/>
      <c r="AO116" s="594"/>
    </row>
    <row r="117" spans="1:41" s="982" customFormat="1" ht="15" customHeight="1" thickBot="1">
      <c r="A117" s="776">
        <v>4</v>
      </c>
      <c r="B117" s="777" t="s">
        <v>490</v>
      </c>
      <c r="C117" s="777"/>
      <c r="D117" s="778"/>
      <c r="E117" s="778"/>
      <c r="F117" s="778"/>
      <c r="G117" s="778"/>
      <c r="H117" s="778"/>
      <c r="I117" s="778"/>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594"/>
      <c r="AI117" s="778"/>
      <c r="AJ117" s="778"/>
      <c r="AK117" s="778"/>
      <c r="AL117" s="986" t="s">
        <v>940</v>
      </c>
      <c r="AM117" s="973">
        <f>SUM(AM112:AM116)</f>
        <v>1299435.1818181816</v>
      </c>
      <c r="AO117" s="594"/>
    </row>
    <row r="118" spans="1:41" s="982" customFormat="1" ht="15" customHeight="1" thickTop="1">
      <c r="A118" s="931">
        <v>5</v>
      </c>
      <c r="B118" s="594" t="s">
        <v>491</v>
      </c>
      <c r="C118" s="594"/>
      <c r="D118" s="741"/>
      <c r="E118" s="594"/>
      <c r="F118" s="594"/>
      <c r="G118" s="594"/>
      <c r="H118" s="594"/>
      <c r="I118" s="594"/>
      <c r="J118" s="594"/>
      <c r="K118" s="594"/>
      <c r="L118" s="594"/>
      <c r="M118" s="594"/>
      <c r="N118" s="594"/>
      <c r="O118" s="594"/>
      <c r="P118" s="594"/>
      <c r="Q118" s="594"/>
      <c r="R118" s="594"/>
      <c r="S118" s="594"/>
      <c r="T118" s="594"/>
      <c r="U118" s="594"/>
      <c r="V118" s="594"/>
      <c r="W118" s="594"/>
      <c r="X118" s="594"/>
      <c r="Y118" s="594"/>
      <c r="Z118" s="594"/>
      <c r="AA118" s="594"/>
      <c r="AB118" s="594"/>
      <c r="AC118" s="594"/>
      <c r="AD118" s="594"/>
      <c r="AE118" s="594"/>
      <c r="AF118" s="594"/>
      <c r="AG118" s="594"/>
      <c r="AH118" s="594"/>
      <c r="AI118" s="594"/>
      <c r="AJ118" s="594"/>
      <c r="AK118" s="594"/>
      <c r="AL118" s="573"/>
      <c r="AM118" s="594"/>
      <c r="AO118" s="594"/>
    </row>
    <row r="119" spans="1:41" s="982" customFormat="1" ht="15" customHeight="1">
      <c r="A119" s="931">
        <v>6</v>
      </c>
      <c r="B119" s="594" t="s">
        <v>492</v>
      </c>
      <c r="C119" s="594"/>
      <c r="D119" s="741"/>
      <c r="E119" s="594"/>
      <c r="F119" s="594"/>
      <c r="G119" s="594"/>
      <c r="H119" s="594"/>
      <c r="I119" s="594"/>
      <c r="J119" s="594"/>
      <c r="K119" s="594"/>
      <c r="L119" s="594"/>
      <c r="M119" s="594"/>
      <c r="N119" s="594"/>
      <c r="O119" s="594"/>
      <c r="P119" s="594"/>
      <c r="Q119" s="594"/>
      <c r="R119" s="594"/>
      <c r="S119" s="594"/>
      <c r="T119" s="594"/>
      <c r="U119" s="594"/>
      <c r="V119" s="594"/>
      <c r="W119" s="594"/>
      <c r="X119" s="594"/>
      <c r="Y119" s="594"/>
      <c r="Z119" s="594"/>
      <c r="AA119" s="594"/>
      <c r="AB119" s="594"/>
      <c r="AC119" s="594"/>
      <c r="AD119" s="594"/>
      <c r="AE119" s="594"/>
      <c r="AF119" s="594"/>
      <c r="AG119" s="594"/>
      <c r="AH119" s="594"/>
      <c r="AI119" s="594"/>
      <c r="AJ119" s="594"/>
      <c r="AK119" s="594"/>
      <c r="AL119" s="573"/>
      <c r="AM119" s="594"/>
      <c r="AO119" s="594"/>
    </row>
    <row r="120" spans="1:41" s="982" customFormat="1" ht="15" customHeight="1">
      <c r="A120" s="931">
        <v>7</v>
      </c>
      <c r="B120" s="594" t="s">
        <v>493</v>
      </c>
      <c r="C120" s="594"/>
      <c r="D120" s="741"/>
      <c r="E120" s="594"/>
      <c r="F120" s="594"/>
      <c r="G120" s="594"/>
      <c r="H120" s="594"/>
      <c r="I120" s="594"/>
      <c r="J120" s="594"/>
      <c r="K120" s="594"/>
      <c r="L120" s="594"/>
      <c r="M120" s="594"/>
      <c r="N120" s="594"/>
      <c r="O120" s="594"/>
      <c r="P120" s="594"/>
      <c r="Q120" s="594"/>
      <c r="R120" s="594"/>
      <c r="S120" s="594"/>
      <c r="T120" s="594"/>
      <c r="U120" s="594"/>
      <c r="V120" s="594"/>
      <c r="W120" s="594"/>
      <c r="X120" s="594"/>
      <c r="Y120" s="594"/>
      <c r="Z120" s="594"/>
      <c r="AA120" s="594"/>
      <c r="AB120" s="594"/>
      <c r="AC120" s="594"/>
      <c r="AD120" s="594"/>
      <c r="AE120" s="594"/>
      <c r="AF120" s="594"/>
      <c r="AG120" s="594"/>
      <c r="AH120" s="594"/>
      <c r="AI120" s="594"/>
      <c r="AJ120" s="594"/>
      <c r="AK120" s="594"/>
      <c r="AL120" s="573"/>
      <c r="AM120" s="594"/>
      <c r="AO120" s="594"/>
    </row>
    <row r="121" spans="1:41" s="982" customFormat="1" ht="15" customHeight="1">
      <c r="A121" s="931">
        <v>8</v>
      </c>
      <c r="B121" s="594" t="s">
        <v>494</v>
      </c>
      <c r="C121" s="594"/>
      <c r="D121" s="741"/>
      <c r="E121" s="594"/>
      <c r="F121" s="594"/>
      <c r="G121" s="594"/>
      <c r="H121" s="594"/>
      <c r="I121" s="594"/>
      <c r="J121" s="594"/>
      <c r="K121" s="594"/>
      <c r="L121" s="594"/>
      <c r="M121" s="594"/>
      <c r="N121" s="594"/>
      <c r="O121" s="594"/>
      <c r="P121" s="594"/>
      <c r="Q121" s="594"/>
      <c r="R121" s="594"/>
      <c r="S121" s="594"/>
      <c r="T121" s="594"/>
      <c r="U121" s="594"/>
      <c r="V121" s="594"/>
      <c r="W121" s="594"/>
      <c r="X121" s="594"/>
      <c r="Y121" s="594"/>
      <c r="Z121" s="594"/>
      <c r="AA121" s="594"/>
      <c r="AB121" s="594"/>
      <c r="AC121" s="594"/>
      <c r="AD121" s="594"/>
      <c r="AE121" s="594"/>
      <c r="AF121" s="594"/>
      <c r="AG121" s="594"/>
      <c r="AH121" s="594"/>
      <c r="AI121" s="594"/>
      <c r="AJ121" s="594"/>
      <c r="AK121" s="594"/>
      <c r="AL121" s="573"/>
      <c r="AM121" s="594"/>
      <c r="AO121" s="594"/>
    </row>
  </sheetData>
  <mergeCells count="10">
    <mergeCell ref="AK6:AK7"/>
    <mergeCell ref="AL6:AL7"/>
    <mergeCell ref="AM6:AM7"/>
    <mergeCell ref="AG113:AI113"/>
    <mergeCell ref="A6:A7"/>
    <mergeCell ref="B6:B7"/>
    <mergeCell ref="C6:C7"/>
    <mergeCell ref="D6:D7"/>
    <mergeCell ref="E6:AI6"/>
    <mergeCell ref="AJ6:AJ7"/>
  </mergeCells>
  <pageMargins left="1.1023622047244095" right="0.70866141732283472" top="0.74803149606299213" bottom="0.74803149606299213" header="0.31496062992125984" footer="0.31496062992125984"/>
  <pageSetup paperSize="8" scale="63"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topLeftCell="A21" zoomScale="80" zoomScaleNormal="100" zoomScaleSheetLayoutView="80" workbookViewId="0">
      <selection activeCell="O31" sqref="O31"/>
    </sheetView>
  </sheetViews>
  <sheetFormatPr defaultRowHeight="14.4"/>
  <cols>
    <col min="1" max="1" width="1.6640625" customWidth="1"/>
    <col min="2" max="2" width="6.109375" customWidth="1"/>
    <col min="3" max="3" width="23.6640625" customWidth="1"/>
    <col min="4" max="4" width="11.6640625" customWidth="1"/>
    <col min="5" max="6" width="18.5546875" customWidth="1"/>
    <col min="7" max="9" width="11.33203125" customWidth="1"/>
    <col min="10" max="12" width="17.6640625" style="675" customWidth="1"/>
    <col min="13" max="13" width="12.6640625" customWidth="1"/>
    <col min="14" max="14" width="17" customWidth="1"/>
    <col min="15" max="17" width="13.6640625" customWidth="1"/>
  </cols>
  <sheetData>
    <row r="1" spans="1:16">
      <c r="A1" s="1165"/>
      <c r="B1" s="1165"/>
      <c r="C1" s="608"/>
      <c r="D1" s="608"/>
      <c r="E1" s="608"/>
      <c r="F1" s="608"/>
      <c r="G1" s="608"/>
      <c r="H1" s="608"/>
      <c r="I1" s="608"/>
      <c r="J1" s="609"/>
      <c r="K1" s="609"/>
      <c r="L1" s="609"/>
      <c r="M1" s="608"/>
      <c r="N1" s="608"/>
      <c r="O1" s="610"/>
      <c r="P1" s="608"/>
    </row>
    <row r="2" spans="1:16">
      <c r="A2" s="608"/>
      <c r="B2" s="611" t="s">
        <v>506</v>
      </c>
      <c r="E2" s="898" t="s">
        <v>507</v>
      </c>
      <c r="F2" s="608"/>
      <c r="G2" s="608"/>
      <c r="H2" s="608"/>
      <c r="I2" s="608"/>
      <c r="J2" s="609"/>
      <c r="K2" s="609"/>
      <c r="L2" s="609"/>
      <c r="M2" s="739" t="str">
        <f>+'Annexure 7-Overhead Summary'!E5</f>
        <v>KCE-11</v>
      </c>
      <c r="N2" s="612"/>
      <c r="O2" s="610"/>
      <c r="P2" s="608"/>
    </row>
    <row r="3" spans="1:16">
      <c r="A3" s="608"/>
      <c r="B3" s="611" t="s">
        <v>508</v>
      </c>
      <c r="E3" s="899" t="s">
        <v>509</v>
      </c>
      <c r="F3" s="608"/>
      <c r="G3" s="608"/>
      <c r="H3" s="608"/>
      <c r="I3" s="608"/>
      <c r="J3" s="609"/>
      <c r="K3" s="609"/>
      <c r="L3" s="609"/>
      <c r="M3" s="612"/>
      <c r="N3" s="612"/>
      <c r="O3" s="610"/>
      <c r="P3" s="608"/>
    </row>
    <row r="4" spans="1:16">
      <c r="A4" s="608"/>
      <c r="B4" s="611" t="s">
        <v>510</v>
      </c>
      <c r="E4" s="899" t="s">
        <v>511</v>
      </c>
      <c r="F4" s="608"/>
      <c r="G4" s="608"/>
      <c r="H4" s="608"/>
      <c r="I4" s="608"/>
      <c r="J4" s="609"/>
      <c r="K4" s="609"/>
      <c r="L4" s="609"/>
      <c r="M4" s="608"/>
      <c r="N4" s="608"/>
      <c r="O4" s="610"/>
      <c r="P4" s="608"/>
    </row>
    <row r="5" spans="1:16">
      <c r="A5" s="608"/>
      <c r="B5" s="611" t="s">
        <v>512</v>
      </c>
      <c r="E5" s="900" t="s">
        <v>513</v>
      </c>
      <c r="F5" s="608"/>
      <c r="G5" s="608"/>
      <c r="H5" s="608"/>
      <c r="I5" s="608"/>
      <c r="J5" s="609"/>
      <c r="K5" s="609"/>
      <c r="L5" s="609"/>
      <c r="M5" s="608"/>
      <c r="N5" s="608"/>
      <c r="O5" s="610"/>
      <c r="P5" s="608"/>
    </row>
    <row r="6" spans="1:16">
      <c r="A6" s="608"/>
      <c r="B6" s="611" t="s">
        <v>514</v>
      </c>
      <c r="E6" s="901" t="s">
        <v>515</v>
      </c>
      <c r="F6" s="608"/>
      <c r="G6" s="608"/>
      <c r="H6" s="608"/>
      <c r="I6" s="608"/>
      <c r="J6" s="609"/>
      <c r="K6" s="609"/>
      <c r="L6" s="609"/>
      <c r="M6" s="608"/>
      <c r="N6" s="608"/>
      <c r="O6" s="610"/>
      <c r="P6" s="608"/>
    </row>
    <row r="7" spans="1:16">
      <c r="A7" s="608"/>
      <c r="B7" s="611" t="s">
        <v>516</v>
      </c>
      <c r="E7" s="902">
        <v>44865</v>
      </c>
      <c r="F7" s="608"/>
      <c r="G7" s="608"/>
      <c r="H7" s="608"/>
      <c r="I7" s="608"/>
      <c r="J7" s="609"/>
      <c r="K7" s="609"/>
      <c r="L7" s="609"/>
      <c r="M7" s="608"/>
      <c r="N7" s="608"/>
      <c r="O7" s="610"/>
      <c r="P7" s="608"/>
    </row>
    <row r="8" spans="1:16">
      <c r="A8" s="1165"/>
      <c r="B8" s="1165"/>
      <c r="C8" s="608"/>
      <c r="D8" s="608"/>
      <c r="E8" s="608"/>
      <c r="F8" s="608"/>
      <c r="G8" s="608"/>
      <c r="H8" s="608"/>
      <c r="I8" s="608"/>
      <c r="J8" s="609"/>
      <c r="K8" s="609"/>
      <c r="L8" s="609"/>
      <c r="M8" s="608"/>
      <c r="N8" s="608"/>
      <c r="O8" s="610"/>
      <c r="P8" s="608"/>
    </row>
    <row r="9" spans="1:16">
      <c r="A9" s="608"/>
      <c r="B9" s="1173" t="s">
        <v>517</v>
      </c>
      <c r="C9" s="1168" t="s">
        <v>141</v>
      </c>
      <c r="D9" s="1168" t="s">
        <v>518</v>
      </c>
      <c r="E9" s="1168" t="s">
        <v>519</v>
      </c>
      <c r="F9" s="1168" t="s">
        <v>520</v>
      </c>
      <c r="G9" s="1170" t="s">
        <v>521</v>
      </c>
      <c r="H9" s="1171"/>
      <c r="I9" s="1172"/>
      <c r="J9" s="1170" t="s">
        <v>522</v>
      </c>
      <c r="K9" s="1171"/>
      <c r="L9" s="1172"/>
      <c r="M9" s="1173" t="s">
        <v>498</v>
      </c>
      <c r="N9" s="613"/>
      <c r="O9" s="610"/>
      <c r="P9" s="608"/>
    </row>
    <row r="10" spans="1:16">
      <c r="A10" s="608"/>
      <c r="B10" s="1174"/>
      <c r="C10" s="1169"/>
      <c r="D10" s="1169"/>
      <c r="E10" s="1169"/>
      <c r="F10" s="1169"/>
      <c r="G10" s="614" t="s">
        <v>158</v>
      </c>
      <c r="H10" s="614" t="s">
        <v>165</v>
      </c>
      <c r="I10" s="614" t="s">
        <v>523</v>
      </c>
      <c r="J10" s="615" t="s">
        <v>158</v>
      </c>
      <c r="K10" s="615" t="s">
        <v>165</v>
      </c>
      <c r="L10" s="615" t="s">
        <v>523</v>
      </c>
      <c r="M10" s="1174"/>
      <c r="N10" s="613"/>
      <c r="O10" s="610"/>
      <c r="P10" s="608"/>
    </row>
    <row r="11" spans="1:16">
      <c r="A11" s="616"/>
      <c r="B11" s="617"/>
      <c r="C11" s="618" t="s">
        <v>22</v>
      </c>
      <c r="D11" s="618"/>
      <c r="E11" s="619">
        <f>SUM(E12:E13)</f>
        <v>11059900</v>
      </c>
      <c r="F11" s="619">
        <f>SUM(F12:F13)</f>
        <v>11547237.939999999</v>
      </c>
      <c r="G11" s="617"/>
      <c r="H11" s="617"/>
      <c r="I11" s="617"/>
      <c r="J11" s="620">
        <f>SUM(J12:J13)</f>
        <v>8833948.6855483875</v>
      </c>
      <c r="K11" s="620">
        <f t="shared" ref="K11:L11" si="0">SUM(K12:K13)</f>
        <v>1241667.4316129021</v>
      </c>
      <c r="L11" s="620">
        <f t="shared" si="0"/>
        <v>10075616.117161289</v>
      </c>
      <c r="M11" s="621"/>
      <c r="N11" s="622"/>
      <c r="O11" s="623"/>
      <c r="P11" s="616"/>
    </row>
    <row r="12" spans="1:16">
      <c r="A12" s="624"/>
      <c r="B12" s="625" t="s">
        <v>185</v>
      </c>
      <c r="C12" s="626" t="s">
        <v>524</v>
      </c>
      <c r="D12" s="627" t="s">
        <v>525</v>
      </c>
      <c r="E12" s="628">
        <v>10059900</v>
      </c>
      <c r="F12" s="628">
        <f>[3]IPC!$G$12</f>
        <v>10059900</v>
      </c>
      <c r="G12" s="629">
        <f>J12/F12</f>
        <v>0.74301120344619598</v>
      </c>
      <c r="H12" s="629">
        <f>K12/F12</f>
        <v>0.1107028669880319</v>
      </c>
      <c r="I12" s="629">
        <f>L12/F12</f>
        <v>0.85371407043422787</v>
      </c>
      <c r="J12" s="630">
        <v>7474618.4055483872</v>
      </c>
      <c r="K12" s="630">
        <f>L12-J12</f>
        <v>1113659.7716129022</v>
      </c>
      <c r="L12" s="630">
        <f>[3]IPC!$M$12</f>
        <v>8588278.1771612894</v>
      </c>
      <c r="M12" s="631"/>
      <c r="N12" s="632"/>
      <c r="O12" s="633"/>
      <c r="P12" s="624"/>
    </row>
    <row r="13" spans="1:16">
      <c r="A13" s="624"/>
      <c r="B13" s="625" t="s">
        <v>191</v>
      </c>
      <c r="C13" s="626" t="s">
        <v>526</v>
      </c>
      <c r="D13" s="627" t="s">
        <v>525</v>
      </c>
      <c r="E13" s="628">
        <v>1000000</v>
      </c>
      <c r="F13" s="628">
        <f>[3]IPC!$G$13</f>
        <v>1487337.94</v>
      </c>
      <c r="G13" s="629">
        <f>J13/F13</f>
        <v>0.91393505365700556</v>
      </c>
      <c r="H13" s="629">
        <f>K13/F13</f>
        <v>8.6064946342994469E-2</v>
      </c>
      <c r="I13" s="629">
        <f>L13/F13</f>
        <v>1</v>
      </c>
      <c r="J13" s="630">
        <v>1359330.28</v>
      </c>
      <c r="K13" s="630">
        <f>L13-J13</f>
        <v>128007.65999999992</v>
      </c>
      <c r="L13" s="630">
        <f>[3]IPC!$M$13</f>
        <v>1487337.94</v>
      </c>
      <c r="M13" s="631"/>
      <c r="N13" s="632"/>
      <c r="O13" s="634"/>
      <c r="P13" s="624"/>
    </row>
    <row r="14" spans="1:16">
      <c r="A14" s="624"/>
      <c r="B14" s="625"/>
      <c r="C14" s="626"/>
      <c r="D14" s="627"/>
      <c r="E14" s="635"/>
      <c r="F14" s="635"/>
      <c r="G14" s="625"/>
      <c r="H14" s="625"/>
      <c r="I14" s="625"/>
      <c r="J14" s="630"/>
      <c r="K14" s="630"/>
      <c r="L14" s="630"/>
      <c r="M14" s="631"/>
      <c r="N14" s="632"/>
      <c r="O14" s="634"/>
      <c r="P14" s="624"/>
    </row>
    <row r="15" spans="1:16">
      <c r="A15" s="616"/>
      <c r="B15" s="636"/>
      <c r="C15" s="637" t="s">
        <v>527</v>
      </c>
      <c r="D15" s="638"/>
      <c r="E15" s="639">
        <f>SUM(E16:E26)</f>
        <v>22000000</v>
      </c>
      <c r="F15" s="639">
        <f>SUM(F16:F26)</f>
        <v>32351673.792920005</v>
      </c>
      <c r="G15" s="636"/>
      <c r="H15" s="636"/>
      <c r="I15" s="636"/>
      <c r="J15" s="640">
        <f>SUM(J16:J25)</f>
        <v>21188004.013292693</v>
      </c>
      <c r="K15" s="640">
        <f t="shared" ref="K15:L15" si="1">SUM(K16:K25)</f>
        <v>3790836.9194097016</v>
      </c>
      <c r="L15" s="640">
        <f t="shared" si="1"/>
        <v>24978840.932702404</v>
      </c>
      <c r="M15" s="641"/>
      <c r="N15" s="642"/>
      <c r="O15" s="623"/>
      <c r="P15" s="616"/>
    </row>
    <row r="16" spans="1:16">
      <c r="A16" s="624"/>
      <c r="B16" s="625" t="s">
        <v>244</v>
      </c>
      <c r="C16" s="626" t="s">
        <v>528</v>
      </c>
      <c r="D16" s="627" t="s">
        <v>525</v>
      </c>
      <c r="E16" s="628">
        <v>9691616.2420799993</v>
      </c>
      <c r="F16" s="628">
        <f>[3]IPC!$G$16</f>
        <v>15122050.734999999</v>
      </c>
      <c r="G16" s="629">
        <f>J16/F16</f>
        <v>0.84999033069306795</v>
      </c>
      <c r="H16" s="629">
        <f>K16/F16</f>
        <v>0.15000966930693202</v>
      </c>
      <c r="I16" s="629">
        <f>L16/F16</f>
        <v>1</v>
      </c>
      <c r="J16" s="630">
        <v>12853596.905000001</v>
      </c>
      <c r="K16" s="630">
        <f>L16-J16</f>
        <v>2268453.8299999982</v>
      </c>
      <c r="L16" s="630">
        <f>[3]IPC!$M$16</f>
        <v>15122050.734999999</v>
      </c>
      <c r="M16" s="631"/>
      <c r="N16" s="632"/>
      <c r="O16" s="634"/>
      <c r="P16" s="624"/>
    </row>
    <row r="17" spans="1:16">
      <c r="A17" s="624"/>
      <c r="B17" s="625" t="s">
        <v>529</v>
      </c>
      <c r="C17" s="626" t="s">
        <v>530</v>
      </c>
      <c r="D17" s="627" t="s">
        <v>525</v>
      </c>
      <c r="E17" s="1175">
        <v>6850000</v>
      </c>
      <c r="F17" s="1175">
        <v>9911100.3700000066</v>
      </c>
      <c r="G17" s="1177">
        <f>(J17+J18)/F17</f>
        <v>0.5939180777361045</v>
      </c>
      <c r="H17" s="1177">
        <f>(K17+K18)/F17</f>
        <v>0.12846484168942013</v>
      </c>
      <c r="I17" s="1177">
        <f>(L17+L18)/F17</f>
        <v>0.72238291942552457</v>
      </c>
      <c r="J17" s="630">
        <v>5760553.089999998</v>
      </c>
      <c r="K17" s="630">
        <f t="shared" ref="K17:K25" si="2">L17-J17</f>
        <v>1370625.3600000041</v>
      </c>
      <c r="L17" s="630">
        <f>[3]IPC!$M$17</f>
        <v>7131178.450000002</v>
      </c>
      <c r="M17" s="631"/>
      <c r="N17" s="632"/>
      <c r="O17" s="633"/>
      <c r="P17" s="643"/>
    </row>
    <row r="18" spans="1:16">
      <c r="A18" s="624"/>
      <c r="B18" s="625" t="s">
        <v>531</v>
      </c>
      <c r="C18" s="626" t="s">
        <v>532</v>
      </c>
      <c r="D18" s="627" t="s">
        <v>525</v>
      </c>
      <c r="E18" s="1176"/>
      <c r="F18" s="1176"/>
      <c r="G18" s="1178"/>
      <c r="H18" s="1178"/>
      <c r="I18" s="1178"/>
      <c r="J18" s="630">
        <v>125828.59</v>
      </c>
      <c r="K18" s="630">
        <f t="shared" si="2"/>
        <v>-97397.42</v>
      </c>
      <c r="L18" s="630">
        <f>[3]IPC!$M$18</f>
        <v>28431.17</v>
      </c>
      <c r="M18" s="631"/>
      <c r="N18" s="632"/>
      <c r="O18" s="634"/>
      <c r="P18" s="624"/>
    </row>
    <row r="19" spans="1:16">
      <c r="A19" s="624"/>
      <c r="B19" s="625" t="s">
        <v>533</v>
      </c>
      <c r="C19" s="626" t="s">
        <v>534</v>
      </c>
      <c r="D19" s="627" t="s">
        <v>525</v>
      </c>
      <c r="E19" s="635"/>
      <c r="F19" s="628">
        <f>[3]IPC!$G$19</f>
        <v>892511.93</v>
      </c>
      <c r="G19" s="629">
        <f t="shared" ref="G19:G25" si="3">J19/F19</f>
        <v>0.90987281256845498</v>
      </c>
      <c r="H19" s="629">
        <f t="shared" ref="H19:H25" si="4">K19/F19</f>
        <v>-1.3808274809279071E-2</v>
      </c>
      <c r="I19" s="629">
        <f t="shared" ref="I19:I25" si="5">L19/F19</f>
        <v>0.89606453775917594</v>
      </c>
      <c r="J19" s="630">
        <v>812072.34000000008</v>
      </c>
      <c r="K19" s="630">
        <f t="shared" si="2"/>
        <v>-12324.050000000047</v>
      </c>
      <c r="L19" s="630">
        <f>[3]IPC!$M$19</f>
        <v>799748.29</v>
      </c>
      <c r="M19" s="631"/>
      <c r="N19" s="632"/>
      <c r="O19" s="633"/>
      <c r="P19" s="624"/>
    </row>
    <row r="20" spans="1:16">
      <c r="A20" s="624"/>
      <c r="B20" s="625" t="s">
        <v>535</v>
      </c>
      <c r="C20" s="626" t="s">
        <v>536</v>
      </c>
      <c r="D20" s="627" t="s">
        <v>537</v>
      </c>
      <c r="E20" s="628">
        <v>1848858</v>
      </c>
      <c r="F20" s="628">
        <f>[3]IPC!$G$20</f>
        <v>2012658</v>
      </c>
      <c r="G20" s="629">
        <f t="shared" si="3"/>
        <v>0.56759839093400499</v>
      </c>
      <c r="H20" s="629">
        <f t="shared" si="4"/>
        <v>4.6068059363869297E-2</v>
      </c>
      <c r="I20" s="629">
        <f t="shared" si="5"/>
        <v>0.61366645029787426</v>
      </c>
      <c r="J20" s="630">
        <v>1142381.4423004526</v>
      </c>
      <c r="K20" s="630">
        <f t="shared" si="2"/>
        <v>92719.248223166447</v>
      </c>
      <c r="L20" s="630">
        <f>[3]IPC!$M$20</f>
        <v>1235100.6905236191</v>
      </c>
      <c r="M20" s="631"/>
      <c r="N20" s="632"/>
      <c r="O20" s="634"/>
      <c r="P20" s="624"/>
    </row>
    <row r="21" spans="1:16">
      <c r="A21" s="624"/>
      <c r="B21" s="625" t="s">
        <v>538</v>
      </c>
      <c r="C21" s="626" t="s">
        <v>539</v>
      </c>
      <c r="D21" s="627" t="s">
        <v>540</v>
      </c>
      <c r="E21" s="628">
        <v>400386</v>
      </c>
      <c r="F21" s="628">
        <f>[3]IPC!$G$21</f>
        <v>413786</v>
      </c>
      <c r="G21" s="629">
        <f t="shared" si="3"/>
        <v>0.15941716225295199</v>
      </c>
      <c r="H21" s="629">
        <f t="shared" si="4"/>
        <v>0</v>
      </c>
      <c r="I21" s="629">
        <f t="shared" si="5"/>
        <v>0.15941716225295199</v>
      </c>
      <c r="J21" s="630">
        <v>65964.589899999992</v>
      </c>
      <c r="K21" s="630">
        <f t="shared" si="2"/>
        <v>0</v>
      </c>
      <c r="L21" s="630">
        <f>[3]IPC!$M$21</f>
        <v>65964.589899999992</v>
      </c>
      <c r="M21" s="631"/>
      <c r="N21" s="632"/>
      <c r="O21" s="634"/>
      <c r="P21" s="624"/>
    </row>
    <row r="22" spans="1:16">
      <c r="A22" s="624"/>
      <c r="B22" s="625" t="s">
        <v>541</v>
      </c>
      <c r="C22" s="626" t="s">
        <v>542</v>
      </c>
      <c r="D22" s="627" t="s">
        <v>543</v>
      </c>
      <c r="E22" s="628">
        <v>374640</v>
      </c>
      <c r="F22" s="628">
        <f>[3]IPC!$G$22</f>
        <v>374640</v>
      </c>
      <c r="G22" s="629">
        <f t="shared" si="3"/>
        <v>0.45067264573991034</v>
      </c>
      <c r="H22" s="629">
        <f t="shared" si="4"/>
        <v>5.5007473841554556E-2</v>
      </c>
      <c r="I22" s="629">
        <f t="shared" si="5"/>
        <v>0.50568011958146486</v>
      </c>
      <c r="J22" s="630">
        <v>168840</v>
      </c>
      <c r="K22" s="630">
        <f t="shared" si="2"/>
        <v>20608</v>
      </c>
      <c r="L22" s="630">
        <f>[3]IPC!$M$22</f>
        <v>189448</v>
      </c>
      <c r="M22" s="631"/>
      <c r="N22" s="632"/>
      <c r="O22" s="634"/>
      <c r="P22" s="624"/>
    </row>
    <row r="23" spans="1:16">
      <c r="A23" s="624"/>
      <c r="B23" s="625" t="s">
        <v>544</v>
      </c>
      <c r="C23" s="626" t="s">
        <v>545</v>
      </c>
      <c r="D23" s="627" t="s">
        <v>546</v>
      </c>
      <c r="E23" s="628">
        <v>359100</v>
      </c>
      <c r="F23" s="628">
        <f>[3]IPC!$G$23</f>
        <v>1158100</v>
      </c>
      <c r="G23" s="629">
        <f t="shared" si="3"/>
        <v>0</v>
      </c>
      <c r="H23" s="629">
        <f t="shared" si="4"/>
        <v>0</v>
      </c>
      <c r="I23" s="629">
        <f t="shared" si="5"/>
        <v>0</v>
      </c>
      <c r="J23" s="630">
        <v>0</v>
      </c>
      <c r="K23" s="630">
        <f t="shared" si="2"/>
        <v>0</v>
      </c>
      <c r="L23" s="630">
        <f>[3]IPC!$M$23</f>
        <v>0</v>
      </c>
      <c r="M23" s="631"/>
      <c r="N23" s="632"/>
      <c r="O23" s="634"/>
      <c r="P23" s="624"/>
    </row>
    <row r="24" spans="1:16">
      <c r="A24" s="624"/>
      <c r="B24" s="625" t="s">
        <v>547</v>
      </c>
      <c r="C24" s="626" t="s">
        <v>548</v>
      </c>
      <c r="D24" s="627" t="s">
        <v>549</v>
      </c>
      <c r="E24" s="628">
        <v>2266294.7579199998</v>
      </c>
      <c r="F24" s="628">
        <f>[3]IPC!$G$24</f>
        <v>2274721.7579199998</v>
      </c>
      <c r="G24" s="629">
        <f t="shared" si="3"/>
        <v>5.2264342079778744E-2</v>
      </c>
      <c r="H24" s="629">
        <f t="shared" si="4"/>
        <v>5.0261326770389803E-2</v>
      </c>
      <c r="I24" s="629">
        <f t="shared" si="5"/>
        <v>0.10252566885016855</v>
      </c>
      <c r="J24" s="630">
        <v>118886.83609224652</v>
      </c>
      <c r="K24" s="630">
        <f t="shared" si="2"/>
        <v>114330.53358653263</v>
      </c>
      <c r="L24" s="630">
        <f>[3]IPC!$M$24</f>
        <v>233217.36967877916</v>
      </c>
      <c r="M24" s="631"/>
      <c r="N24" s="632"/>
      <c r="O24" s="634"/>
      <c r="P24" s="624"/>
    </row>
    <row r="25" spans="1:16">
      <c r="A25" s="624"/>
      <c r="B25" s="625" t="s">
        <v>550</v>
      </c>
      <c r="C25" s="626" t="s">
        <v>551</v>
      </c>
      <c r="D25" s="627" t="s">
        <v>552</v>
      </c>
      <c r="E25" s="628">
        <v>209105</v>
      </c>
      <c r="F25" s="628">
        <f>[3]IPC!$G$25</f>
        <v>192105</v>
      </c>
      <c r="G25" s="629">
        <f t="shared" si="3"/>
        <v>0.7281446084172718</v>
      </c>
      <c r="H25" s="629">
        <f t="shared" si="4"/>
        <v>0.17605693553004859</v>
      </c>
      <c r="I25" s="629">
        <f t="shared" si="5"/>
        <v>0.90420154394732044</v>
      </c>
      <c r="J25" s="630">
        <v>139880.22</v>
      </c>
      <c r="K25" s="630">
        <f t="shared" si="2"/>
        <v>33821.417599999986</v>
      </c>
      <c r="L25" s="630">
        <f>[3]IPC!$M$25</f>
        <v>173701.63759999999</v>
      </c>
      <c r="M25" s="631"/>
      <c r="N25" s="632"/>
      <c r="O25" s="634"/>
      <c r="P25" s="624"/>
    </row>
    <row r="26" spans="1:16">
      <c r="A26" s="624"/>
      <c r="B26" s="625"/>
      <c r="C26" s="626"/>
      <c r="D26" s="627"/>
      <c r="E26" s="635"/>
      <c r="F26" s="635"/>
      <c r="G26" s="625"/>
      <c r="H26" s="625"/>
      <c r="I26" s="625"/>
      <c r="J26" s="630"/>
      <c r="K26" s="630"/>
      <c r="L26" s="630"/>
      <c r="M26" s="631"/>
      <c r="N26" s="632"/>
      <c r="O26" s="634"/>
      <c r="P26" s="624"/>
    </row>
    <row r="27" spans="1:16">
      <c r="A27" s="624"/>
      <c r="B27" s="644"/>
      <c r="C27" s="645" t="s">
        <v>553</v>
      </c>
      <c r="D27" s="646"/>
      <c r="E27" s="647">
        <f>SUM(E28:E32)</f>
        <v>9400000</v>
      </c>
      <c r="F27" s="647">
        <f>SUM(F28:F32)</f>
        <v>9686412.1577574387</v>
      </c>
      <c r="G27" s="644"/>
      <c r="H27" s="644"/>
      <c r="I27" s="644"/>
      <c r="J27" s="648">
        <f>SUM(J28:J32)</f>
        <v>1791197.2248564844</v>
      </c>
      <c r="K27" s="648">
        <f t="shared" ref="K27:L27" si="6">SUM(K28:K32)</f>
        <v>552474.78651231492</v>
      </c>
      <c r="L27" s="648">
        <f t="shared" si="6"/>
        <v>2343672.011368799</v>
      </c>
      <c r="M27" s="649"/>
      <c r="N27" s="650"/>
      <c r="O27" s="634"/>
      <c r="P27" s="624"/>
    </row>
    <row r="28" spans="1:16">
      <c r="A28" s="624"/>
      <c r="B28" s="625" t="s">
        <v>554</v>
      </c>
      <c r="C28" s="626" t="s">
        <v>555</v>
      </c>
      <c r="D28" s="627" t="s">
        <v>556</v>
      </c>
      <c r="E28" s="628">
        <v>1800000</v>
      </c>
      <c r="F28" s="628">
        <f>[3]IPC!$G$28</f>
        <v>918410.63400000031</v>
      </c>
      <c r="G28" s="629">
        <f>J28/F28</f>
        <v>6.6146882179937805E-2</v>
      </c>
      <c r="H28" s="629">
        <f>K28/F28</f>
        <v>0</v>
      </c>
      <c r="I28" s="629">
        <f>L28/F28</f>
        <v>6.6146882179937805E-2</v>
      </c>
      <c r="J28" s="630">
        <v>60750</v>
      </c>
      <c r="K28" s="630">
        <f t="shared" ref="K28:K32" si="7">L28-J28</f>
        <v>0</v>
      </c>
      <c r="L28" s="630">
        <f>[3]IPC!$M$28</f>
        <v>60750</v>
      </c>
      <c r="M28" s="631"/>
      <c r="N28" s="632"/>
      <c r="O28" s="634"/>
      <c r="P28" s="624"/>
    </row>
    <row r="29" spans="1:16" ht="28.8">
      <c r="A29" s="624"/>
      <c r="B29" s="625" t="s">
        <v>557</v>
      </c>
      <c r="C29" s="626" t="s">
        <v>558</v>
      </c>
      <c r="D29" s="651" t="s">
        <v>559</v>
      </c>
      <c r="E29" s="1166">
        <v>2300000</v>
      </c>
      <c r="F29" s="628">
        <f>[3]IPC!$G$29</f>
        <v>730823.99999999953</v>
      </c>
      <c r="G29" s="629">
        <f>J29/F29</f>
        <v>0.14472785089207552</v>
      </c>
      <c r="H29" s="629">
        <f>K29/F29</f>
        <v>0</v>
      </c>
      <c r="I29" s="629">
        <f>L29/F29</f>
        <v>0.14472785089207552</v>
      </c>
      <c r="J29" s="630">
        <v>105770.58690035013</v>
      </c>
      <c r="K29" s="630">
        <f t="shared" si="7"/>
        <v>0</v>
      </c>
      <c r="L29" s="630">
        <f>[3]IPC!$M$29</f>
        <v>105770.58690035013</v>
      </c>
      <c r="M29" s="631"/>
      <c r="N29" s="632"/>
      <c r="O29" s="634"/>
      <c r="P29" s="624"/>
    </row>
    <row r="30" spans="1:16" ht="28.8">
      <c r="A30" s="624"/>
      <c r="B30" s="625" t="s">
        <v>560</v>
      </c>
      <c r="C30" s="626" t="s">
        <v>561</v>
      </c>
      <c r="D30" s="652"/>
      <c r="E30" s="1167"/>
      <c r="F30" s="628">
        <f>[3]IPC!$G$30</f>
        <v>1873397.3837574399</v>
      </c>
      <c r="G30" s="629">
        <f>J30/F30</f>
        <v>0.11511408088101419</v>
      </c>
      <c r="H30" s="629">
        <f>K30/F30</f>
        <v>3.8357695561732873E-2</v>
      </c>
      <c r="I30" s="629">
        <f>L30/F30</f>
        <v>0.15347177644274707</v>
      </c>
      <c r="J30" s="630">
        <v>215654.4179561343</v>
      </c>
      <c r="K30" s="630">
        <f t="shared" si="7"/>
        <v>71859.206512314733</v>
      </c>
      <c r="L30" s="630">
        <f>[3]IPC!$M$30</f>
        <v>287513.62446844904</v>
      </c>
      <c r="M30" s="631"/>
      <c r="N30" s="632"/>
      <c r="O30" s="634"/>
      <c r="P30" s="624"/>
    </row>
    <row r="31" spans="1:16">
      <c r="A31" s="624"/>
      <c r="B31" s="625" t="s">
        <v>562</v>
      </c>
      <c r="C31" s="626" t="s">
        <v>563</v>
      </c>
      <c r="D31" s="627" t="s">
        <v>564</v>
      </c>
      <c r="E31" s="628">
        <v>1000000</v>
      </c>
      <c r="F31" s="628">
        <f>[3]IPC!$G$31</f>
        <v>1746063.9600000002</v>
      </c>
      <c r="G31" s="629">
        <f>J31/F31</f>
        <v>0.11203298646631478</v>
      </c>
      <c r="H31" s="629">
        <f>K31/F31</f>
        <v>2.1732365405445958E-2</v>
      </c>
      <c r="I31" s="629">
        <f>L31/F31</f>
        <v>0.13376535187176072</v>
      </c>
      <c r="J31" s="630">
        <v>195616.76</v>
      </c>
      <c r="K31" s="630">
        <f t="shared" si="7"/>
        <v>37946.099999999977</v>
      </c>
      <c r="L31" s="630">
        <f>[3]IPC!$M$31</f>
        <v>233562.86</v>
      </c>
      <c r="M31" s="631"/>
      <c r="N31" s="632"/>
      <c r="O31" s="634"/>
      <c r="P31" s="624"/>
    </row>
    <row r="32" spans="1:16">
      <c r="A32" s="624"/>
      <c r="B32" s="653" t="s">
        <v>565</v>
      </c>
      <c r="C32" s="654" t="s">
        <v>566</v>
      </c>
      <c r="D32" s="655" t="s">
        <v>567</v>
      </c>
      <c r="E32" s="656">
        <v>4300000</v>
      </c>
      <c r="F32" s="656">
        <f>[3]IPC!$G$32</f>
        <v>4417716.18</v>
      </c>
      <c r="G32" s="629">
        <f>J32/F32</f>
        <v>0.27466804352288654</v>
      </c>
      <c r="H32" s="629">
        <f>K32/F32</f>
        <v>0.1002032412141063</v>
      </c>
      <c r="I32" s="629">
        <f>L32/F32</f>
        <v>0.37487128473699283</v>
      </c>
      <c r="J32" s="657">
        <v>1213405.46</v>
      </c>
      <c r="K32" s="630">
        <f t="shared" si="7"/>
        <v>442669.48000000021</v>
      </c>
      <c r="L32" s="657">
        <f>[3]IPC!$M$32</f>
        <v>1656074.9400000002</v>
      </c>
      <c r="M32" s="658"/>
      <c r="N32" s="659"/>
      <c r="O32" s="634"/>
      <c r="P32" s="624"/>
    </row>
    <row r="33" spans="1:16">
      <c r="A33" s="608"/>
      <c r="B33" s="660"/>
      <c r="C33" s="660"/>
      <c r="D33" s="660"/>
      <c r="E33" s="660"/>
      <c r="F33" s="660"/>
      <c r="G33" s="660"/>
      <c r="H33" s="660"/>
      <c r="I33" s="660"/>
      <c r="J33" s="661"/>
      <c r="K33" s="661"/>
      <c r="L33" s="661"/>
      <c r="M33" s="660"/>
      <c r="N33" s="608"/>
      <c r="O33" s="610"/>
      <c r="P33" s="608"/>
    </row>
    <row r="34" spans="1:16">
      <c r="A34" s="616"/>
      <c r="B34" s="662"/>
      <c r="C34" s="662" t="s">
        <v>568</v>
      </c>
      <c r="D34" s="662"/>
      <c r="E34" s="663">
        <f>SUM(E27,E15,E11)</f>
        <v>42459900</v>
      </c>
      <c r="F34" s="663">
        <f>SUM(F27,F15,F11)</f>
        <v>53585323.890677437</v>
      </c>
      <c r="G34" s="662"/>
      <c r="H34" s="662"/>
      <c r="I34" s="662"/>
      <c r="J34" s="664">
        <f>SUM(J11,J15,J27)</f>
        <v>31813149.923697565</v>
      </c>
      <c r="K34" s="664">
        <f t="shared" ref="K34:L34" si="8">SUM(K11,K15,K27)</f>
        <v>5584979.1375349192</v>
      </c>
      <c r="L34" s="664">
        <f t="shared" si="8"/>
        <v>37398129.061232492</v>
      </c>
      <c r="M34" s="662"/>
      <c r="N34" s="665"/>
      <c r="O34" s="623"/>
      <c r="P34" s="616"/>
    </row>
    <row r="35" spans="1:16">
      <c r="A35" s="608"/>
      <c r="B35" s="660"/>
      <c r="C35" s="660"/>
      <c r="D35" s="660"/>
      <c r="E35" s="660"/>
      <c r="F35" s="660"/>
      <c r="G35" s="660"/>
      <c r="H35" s="660"/>
      <c r="I35" s="660"/>
      <c r="J35" s="661"/>
      <c r="K35" s="661"/>
      <c r="L35" s="661"/>
      <c r="M35" s="660"/>
      <c r="N35" s="608"/>
      <c r="O35" s="610"/>
      <c r="P35" s="608"/>
    </row>
    <row r="36" spans="1:16">
      <c r="A36" s="1165"/>
      <c r="B36" s="1165"/>
      <c r="C36" s="608"/>
      <c r="D36" s="608"/>
      <c r="E36" s="608"/>
      <c r="F36" s="608"/>
      <c r="G36" s="608"/>
      <c r="H36" s="608"/>
      <c r="I36" s="608"/>
      <c r="J36" s="609"/>
      <c r="K36" s="609"/>
      <c r="L36" s="609"/>
      <c r="M36" s="608"/>
      <c r="N36" s="608"/>
      <c r="O36" s="610"/>
      <c r="P36" s="608"/>
    </row>
    <row r="37" spans="1:16" hidden="1">
      <c r="A37" s="1165"/>
      <c r="B37" s="1165"/>
      <c r="C37" s="608"/>
      <c r="D37" s="608"/>
      <c r="E37" s="666">
        <v>0.125</v>
      </c>
      <c r="F37" s="666">
        <v>0.125</v>
      </c>
      <c r="G37" s="667"/>
      <c r="H37" s="667"/>
      <c r="I37" s="667"/>
      <c r="J37" s="903">
        <v>0.125</v>
      </c>
      <c r="K37" s="903">
        <v>0.125</v>
      </c>
      <c r="L37" s="903">
        <v>0.125</v>
      </c>
      <c r="M37" s="608"/>
      <c r="N37" s="608"/>
      <c r="O37" s="610"/>
      <c r="P37" s="608"/>
    </row>
    <row r="38" spans="1:16" hidden="1">
      <c r="A38" s="1165"/>
      <c r="B38" s="1165"/>
      <c r="C38" s="608"/>
      <c r="D38" s="608"/>
      <c r="E38" s="667"/>
      <c r="F38" s="667"/>
      <c r="G38" s="667"/>
      <c r="H38" s="667"/>
      <c r="I38" s="667"/>
      <c r="J38" s="668"/>
      <c r="K38" s="668"/>
      <c r="L38" s="668"/>
      <c r="M38" s="608"/>
      <c r="N38" s="608"/>
      <c r="O38" s="610"/>
      <c r="P38" s="608"/>
    </row>
    <row r="39" spans="1:16" hidden="1">
      <c r="A39" s="1165"/>
      <c r="B39" s="1165"/>
      <c r="C39" s="608"/>
      <c r="D39" s="608"/>
      <c r="E39" s="669">
        <v>5307487.5</v>
      </c>
      <c r="F39" s="669">
        <v>5137734.47</v>
      </c>
      <c r="G39" s="667"/>
      <c r="H39" s="667"/>
      <c r="I39" s="667"/>
      <c r="J39" s="668">
        <v>1227949.53</v>
      </c>
      <c r="K39" s="668">
        <v>554747.4</v>
      </c>
      <c r="L39" s="668">
        <v>1782696.93</v>
      </c>
      <c r="M39" s="670"/>
      <c r="N39" s="608"/>
      <c r="O39" s="610"/>
      <c r="P39" s="608"/>
    </row>
    <row r="40" spans="1:16" hidden="1">
      <c r="A40" s="1165"/>
      <c r="B40" s="1165"/>
      <c r="C40" s="608"/>
      <c r="D40" s="608"/>
      <c r="E40" s="667"/>
      <c r="F40" s="667"/>
      <c r="G40" s="667"/>
      <c r="H40" s="667"/>
      <c r="I40" s="667"/>
      <c r="J40" s="668"/>
      <c r="K40" s="668"/>
      <c r="L40" s="668"/>
      <c r="M40" s="670"/>
      <c r="N40" s="608"/>
      <c r="O40" s="610"/>
      <c r="P40" s="608"/>
    </row>
    <row r="41" spans="1:16" hidden="1">
      <c r="A41" s="1165"/>
      <c r="B41" s="1165"/>
      <c r="C41" s="608"/>
      <c r="D41" s="608"/>
      <c r="E41" s="671">
        <v>47767387.5</v>
      </c>
      <c r="F41" s="671">
        <v>46239610.25</v>
      </c>
      <c r="G41" s="667"/>
      <c r="H41" s="667"/>
      <c r="I41" s="667"/>
      <c r="J41" s="672">
        <v>11051545.800000001</v>
      </c>
      <c r="K41" s="672">
        <v>4992726.58</v>
      </c>
      <c r="L41" s="672">
        <v>16044272.380000001</v>
      </c>
      <c r="M41" s="608"/>
      <c r="N41" s="608"/>
      <c r="O41" s="610"/>
      <c r="P41" s="608"/>
    </row>
    <row r="42" spans="1:16" hidden="1">
      <c r="A42" s="1165"/>
      <c r="B42" s="1165"/>
      <c r="C42" s="608"/>
      <c r="D42" s="608"/>
      <c r="E42" s="667"/>
      <c r="F42" s="667"/>
      <c r="G42" s="667"/>
      <c r="H42" s="667"/>
      <c r="I42" s="667"/>
      <c r="J42" s="668"/>
      <c r="K42" s="668"/>
      <c r="L42" s="668"/>
      <c r="M42" s="608"/>
      <c r="N42" s="608"/>
      <c r="O42" s="610"/>
      <c r="P42" s="608"/>
    </row>
    <row r="43" spans="1:16" hidden="1">
      <c r="A43" s="1165"/>
      <c r="B43" s="1165"/>
      <c r="C43" s="608"/>
      <c r="D43" s="608"/>
      <c r="E43" s="608"/>
      <c r="F43" s="608"/>
      <c r="G43" s="608"/>
      <c r="H43" s="608"/>
      <c r="I43" s="673" t="s">
        <v>22</v>
      </c>
      <c r="J43" s="609"/>
      <c r="K43" s="609"/>
      <c r="L43" s="609"/>
      <c r="M43" s="608"/>
      <c r="N43" s="608"/>
      <c r="O43" s="610"/>
      <c r="P43" s="608"/>
    </row>
    <row r="44" spans="1:16" hidden="1">
      <c r="A44" s="1165"/>
      <c r="B44" s="1165"/>
      <c r="C44" s="608"/>
      <c r="D44" s="608"/>
      <c r="E44" s="608"/>
      <c r="F44" s="608"/>
      <c r="G44" s="608"/>
      <c r="H44" s="608"/>
      <c r="I44" s="670" t="s">
        <v>524</v>
      </c>
      <c r="J44" s="674">
        <v>0.314</v>
      </c>
      <c r="K44" s="674">
        <v>0.24199999999999999</v>
      </c>
      <c r="L44" s="674">
        <v>0.29199999999999998</v>
      </c>
      <c r="M44" s="608"/>
      <c r="N44" s="608"/>
      <c r="O44" s="610"/>
      <c r="P44" s="608"/>
    </row>
    <row r="45" spans="1:16" hidden="1">
      <c r="A45" s="1165"/>
      <c r="B45" s="1165"/>
      <c r="C45" s="608"/>
      <c r="D45" s="608"/>
      <c r="E45" s="608"/>
      <c r="F45" s="608"/>
      <c r="G45" s="608"/>
      <c r="H45" s="608"/>
      <c r="I45" s="670" t="s">
        <v>526</v>
      </c>
      <c r="J45" s="674">
        <v>4.5999999999999999E-2</v>
      </c>
      <c r="K45" s="674">
        <v>2.4E-2</v>
      </c>
      <c r="L45" s="674">
        <v>3.9E-2</v>
      </c>
      <c r="M45" s="608"/>
      <c r="N45" s="608"/>
      <c r="O45" s="610"/>
      <c r="P45" s="608"/>
    </row>
    <row r="46" spans="1:16" hidden="1">
      <c r="A46" s="1165"/>
      <c r="B46" s="1165"/>
      <c r="C46" s="608"/>
      <c r="D46" s="608"/>
      <c r="E46" s="608"/>
      <c r="F46" s="608"/>
      <c r="G46" s="608"/>
      <c r="H46" s="608"/>
      <c r="I46" s="670"/>
      <c r="J46" s="674"/>
      <c r="K46" s="674"/>
      <c r="L46" s="674"/>
      <c r="M46" s="608"/>
      <c r="N46" s="608"/>
      <c r="O46" s="610"/>
      <c r="P46" s="608"/>
    </row>
    <row r="47" spans="1:16" hidden="1">
      <c r="A47" s="1165"/>
      <c r="B47" s="1165"/>
      <c r="C47" s="608"/>
      <c r="D47" s="608"/>
      <c r="E47" s="608"/>
      <c r="F47" s="608"/>
      <c r="G47" s="608"/>
      <c r="H47" s="608"/>
      <c r="I47" s="673" t="s">
        <v>527</v>
      </c>
      <c r="J47" s="674"/>
      <c r="K47" s="674"/>
      <c r="L47" s="674"/>
      <c r="M47" s="608"/>
      <c r="N47" s="608"/>
      <c r="O47" s="610"/>
      <c r="P47" s="608"/>
    </row>
    <row r="48" spans="1:16" hidden="1">
      <c r="A48" s="1165"/>
      <c r="B48" s="1165"/>
      <c r="C48" s="608"/>
      <c r="D48" s="608"/>
      <c r="E48" s="608"/>
      <c r="F48" s="608"/>
      <c r="G48" s="608"/>
      <c r="H48" s="608"/>
      <c r="I48" s="670" t="s">
        <v>528</v>
      </c>
      <c r="J48" s="674">
        <v>0.36599999999999999</v>
      </c>
      <c r="K48" s="674">
        <v>0.502</v>
      </c>
      <c r="L48" s="674">
        <v>0.40799999999999997</v>
      </c>
      <c r="M48" s="608"/>
      <c r="N48" s="608"/>
      <c r="O48" s="610"/>
      <c r="P48" s="608"/>
    </row>
    <row r="49" spans="1:16" hidden="1">
      <c r="A49" s="1165"/>
      <c r="B49" s="1165"/>
      <c r="C49" s="608"/>
      <c r="D49" s="608"/>
      <c r="E49" s="608"/>
      <c r="F49" s="608"/>
      <c r="G49" s="608"/>
      <c r="H49" s="608"/>
      <c r="I49" s="670" t="s">
        <v>530</v>
      </c>
      <c r="J49" s="674">
        <v>0.14299999999999999</v>
      </c>
      <c r="K49" s="674">
        <v>0.151</v>
      </c>
      <c r="L49" s="674">
        <v>0.14599999999999999</v>
      </c>
      <c r="M49" s="608"/>
      <c r="N49" s="608"/>
      <c r="O49" s="610"/>
      <c r="P49" s="608"/>
    </row>
    <row r="50" spans="1:16" hidden="1">
      <c r="A50" s="1165"/>
      <c r="B50" s="1165"/>
      <c r="C50" s="608"/>
      <c r="D50" s="608"/>
      <c r="E50" s="608"/>
      <c r="F50" s="608"/>
      <c r="G50" s="608"/>
      <c r="H50" s="608"/>
      <c r="I50" s="670" t="s">
        <v>532</v>
      </c>
      <c r="J50" s="674">
        <v>1.2999999999999999E-2</v>
      </c>
      <c r="K50" s="674">
        <v>0.01</v>
      </c>
      <c r="L50" s="674">
        <v>1.2E-2</v>
      </c>
      <c r="M50" s="608"/>
      <c r="N50" s="608"/>
      <c r="O50" s="610"/>
      <c r="P50" s="608"/>
    </row>
    <row r="51" spans="1:16" hidden="1">
      <c r="A51" s="1165"/>
      <c r="B51" s="1165"/>
      <c r="C51" s="608"/>
      <c r="D51" s="608"/>
      <c r="E51" s="608"/>
      <c r="F51" s="608"/>
      <c r="G51" s="608"/>
      <c r="H51" s="608"/>
      <c r="I51" s="670" t="s">
        <v>534</v>
      </c>
      <c r="J51" s="674">
        <v>7.5999999999999998E-2</v>
      </c>
      <c r="K51" s="674">
        <v>5.0000000000000001E-3</v>
      </c>
      <c r="L51" s="674">
        <v>5.3999999999999999E-2</v>
      </c>
      <c r="M51" s="608"/>
      <c r="N51" s="608"/>
      <c r="O51" s="610"/>
      <c r="P51" s="608"/>
    </row>
    <row r="52" spans="1:16" hidden="1">
      <c r="A52" s="1165"/>
      <c r="B52" s="1165"/>
      <c r="C52" s="608"/>
      <c r="D52" s="608"/>
      <c r="E52" s="608"/>
      <c r="F52" s="608"/>
      <c r="G52" s="608"/>
      <c r="H52" s="608"/>
      <c r="I52" s="670" t="s">
        <v>536</v>
      </c>
      <c r="J52" s="674">
        <v>2.5999999999999999E-2</v>
      </c>
      <c r="K52" s="674">
        <v>5.1999999999999998E-2</v>
      </c>
      <c r="L52" s="674">
        <v>3.4000000000000002E-2</v>
      </c>
      <c r="M52" s="608"/>
      <c r="N52" s="608"/>
      <c r="O52" s="610"/>
      <c r="P52" s="608"/>
    </row>
    <row r="53" spans="1:16" hidden="1">
      <c r="A53" s="1165"/>
      <c r="B53" s="1165"/>
      <c r="C53" s="608"/>
      <c r="D53" s="608"/>
      <c r="E53" s="608"/>
      <c r="F53" s="608"/>
      <c r="G53" s="608"/>
      <c r="H53" s="608"/>
      <c r="I53" s="670" t="s">
        <v>539</v>
      </c>
      <c r="J53" s="674">
        <v>0</v>
      </c>
      <c r="K53" s="674">
        <v>0</v>
      </c>
      <c r="L53" s="674">
        <v>0</v>
      </c>
      <c r="M53" s="608"/>
      <c r="N53" s="608"/>
      <c r="O53" s="610"/>
      <c r="P53" s="608"/>
    </row>
    <row r="54" spans="1:16" hidden="1">
      <c r="A54" s="1165"/>
      <c r="B54" s="1165"/>
      <c r="C54" s="608"/>
      <c r="D54" s="608"/>
      <c r="E54" s="608"/>
      <c r="F54" s="608"/>
      <c r="G54" s="608"/>
      <c r="H54" s="608"/>
      <c r="I54" s="670" t="s">
        <v>542</v>
      </c>
      <c r="J54" s="674">
        <v>0</v>
      </c>
      <c r="K54" s="674">
        <v>0</v>
      </c>
      <c r="L54" s="674">
        <v>0</v>
      </c>
      <c r="M54" s="608"/>
      <c r="N54" s="608"/>
      <c r="O54" s="610"/>
      <c r="P54" s="608"/>
    </row>
    <row r="55" spans="1:16" hidden="1">
      <c r="A55" s="1165"/>
      <c r="B55" s="1165"/>
      <c r="C55" s="608"/>
      <c r="D55" s="608"/>
      <c r="E55" s="608"/>
      <c r="F55" s="608"/>
      <c r="G55" s="608"/>
      <c r="H55" s="608"/>
      <c r="I55" s="670" t="s">
        <v>545</v>
      </c>
      <c r="J55" s="674">
        <v>0</v>
      </c>
      <c r="K55" s="674">
        <v>0</v>
      </c>
      <c r="L55" s="674">
        <v>0</v>
      </c>
      <c r="M55" s="608"/>
      <c r="N55" s="608"/>
      <c r="O55" s="610"/>
      <c r="P55" s="608"/>
    </row>
    <row r="56" spans="1:16" hidden="1">
      <c r="A56" s="1165"/>
      <c r="B56" s="1165"/>
      <c r="C56" s="608"/>
      <c r="D56" s="608"/>
      <c r="E56" s="608"/>
      <c r="F56" s="608"/>
      <c r="G56" s="608"/>
      <c r="H56" s="608"/>
      <c r="I56" s="670" t="s">
        <v>548</v>
      </c>
      <c r="J56" s="674">
        <v>0.01</v>
      </c>
      <c r="K56" s="674">
        <v>7.0000000000000001E-3</v>
      </c>
      <c r="L56" s="674">
        <v>8.9999999999999993E-3</v>
      </c>
      <c r="M56" s="608"/>
      <c r="N56" s="608"/>
      <c r="O56" s="610"/>
      <c r="P56" s="608"/>
    </row>
    <row r="57" spans="1:16" hidden="1">
      <c r="A57" s="1165"/>
      <c r="B57" s="1165"/>
      <c r="C57" s="608"/>
      <c r="D57" s="608"/>
      <c r="E57" s="608"/>
      <c r="F57" s="608"/>
      <c r="G57" s="608"/>
      <c r="H57" s="608"/>
      <c r="I57" s="670" t="s">
        <v>551</v>
      </c>
      <c r="J57" s="674">
        <v>5.0000000000000001E-3</v>
      </c>
      <c r="K57" s="674">
        <v>8.9999999999999993E-3</v>
      </c>
      <c r="L57" s="674">
        <v>6.0000000000000001E-3</v>
      </c>
      <c r="M57" s="608"/>
      <c r="N57" s="608"/>
      <c r="O57" s="610"/>
      <c r="P57" s="608"/>
    </row>
    <row r="58" spans="1:16" hidden="1">
      <c r="A58" s="1165"/>
      <c r="B58" s="1165"/>
      <c r="C58" s="608"/>
      <c r="D58" s="608"/>
      <c r="E58" s="608"/>
      <c r="F58" s="608"/>
      <c r="G58" s="608"/>
      <c r="H58" s="608"/>
      <c r="I58" s="670"/>
      <c r="J58" s="674"/>
      <c r="K58" s="674"/>
      <c r="L58" s="674"/>
      <c r="M58" s="608"/>
      <c r="N58" s="608"/>
      <c r="O58" s="610"/>
      <c r="P58" s="608"/>
    </row>
    <row r="59" spans="1:16" hidden="1">
      <c r="A59" s="1165"/>
      <c r="B59" s="1165"/>
      <c r="C59" s="608"/>
      <c r="D59" s="608"/>
      <c r="E59" s="608"/>
      <c r="F59" s="608"/>
      <c r="G59" s="608"/>
      <c r="H59" s="608"/>
      <c r="I59" s="673" t="s">
        <v>553</v>
      </c>
      <c r="J59" s="674"/>
      <c r="K59" s="674"/>
      <c r="L59" s="674"/>
      <c r="M59" s="608"/>
      <c r="N59" s="608"/>
      <c r="O59" s="610"/>
      <c r="P59" s="608"/>
    </row>
    <row r="60" spans="1:16" hidden="1">
      <c r="A60" s="1165"/>
      <c r="B60" s="1165"/>
      <c r="C60" s="608"/>
      <c r="D60" s="608"/>
      <c r="E60" s="608"/>
      <c r="F60" s="608"/>
      <c r="G60" s="608"/>
      <c r="H60" s="608"/>
      <c r="I60" s="670" t="s">
        <v>555</v>
      </c>
      <c r="J60" s="674">
        <v>0</v>
      </c>
      <c r="K60" s="674">
        <v>0</v>
      </c>
      <c r="L60" s="674">
        <v>0</v>
      </c>
      <c r="M60" s="608"/>
      <c r="N60" s="608"/>
      <c r="O60" s="610"/>
      <c r="P60" s="608"/>
    </row>
    <row r="61" spans="1:16" hidden="1">
      <c r="A61" s="1165"/>
      <c r="B61" s="1165"/>
      <c r="C61" s="608"/>
      <c r="D61" s="608"/>
      <c r="E61" s="608"/>
      <c r="F61" s="608"/>
      <c r="G61" s="608"/>
      <c r="H61" s="608"/>
      <c r="I61" s="670" t="s">
        <v>558</v>
      </c>
      <c r="J61" s="674">
        <v>0</v>
      </c>
      <c r="K61" s="674">
        <v>0</v>
      </c>
      <c r="L61" s="674">
        <v>0</v>
      </c>
      <c r="M61" s="608"/>
      <c r="N61" s="608"/>
      <c r="O61" s="610"/>
      <c r="P61" s="608"/>
    </row>
    <row r="62" spans="1:16" hidden="1">
      <c r="A62" s="1165"/>
      <c r="B62" s="1165"/>
      <c r="C62" s="608"/>
      <c r="D62" s="608"/>
      <c r="E62" s="608"/>
      <c r="F62" s="608"/>
      <c r="G62" s="608"/>
      <c r="H62" s="608"/>
      <c r="I62" s="670" t="s">
        <v>561</v>
      </c>
      <c r="J62" s="674">
        <v>0</v>
      </c>
      <c r="K62" s="674">
        <v>0</v>
      </c>
      <c r="L62" s="674">
        <v>0</v>
      </c>
      <c r="M62" s="608"/>
      <c r="N62" s="608"/>
      <c r="O62" s="610"/>
      <c r="P62" s="608"/>
    </row>
    <row r="63" spans="1:16" hidden="1">
      <c r="A63" s="1165"/>
      <c r="B63" s="1165"/>
      <c r="C63" s="608"/>
      <c r="D63" s="608"/>
      <c r="E63" s="608"/>
      <c r="F63" s="608"/>
      <c r="G63" s="608"/>
      <c r="H63" s="608"/>
      <c r="I63" s="670" t="s">
        <v>563</v>
      </c>
      <c r="J63" s="674">
        <v>0</v>
      </c>
      <c r="K63" s="674">
        <v>0</v>
      </c>
      <c r="L63" s="674">
        <v>0</v>
      </c>
      <c r="M63" s="608"/>
      <c r="N63" s="608"/>
      <c r="O63" s="610"/>
      <c r="P63" s="608"/>
    </row>
    <row r="64" spans="1:16" hidden="1">
      <c r="A64" s="1165"/>
      <c r="B64" s="1165"/>
      <c r="C64" s="608"/>
      <c r="D64" s="608"/>
      <c r="E64" s="608"/>
      <c r="F64" s="608"/>
      <c r="G64" s="608"/>
      <c r="H64" s="608"/>
      <c r="I64" s="670" t="s">
        <v>566</v>
      </c>
      <c r="J64" s="674">
        <v>0</v>
      </c>
      <c r="K64" s="674">
        <v>0</v>
      </c>
      <c r="L64" s="674">
        <v>0</v>
      </c>
      <c r="M64" s="608"/>
      <c r="N64" s="608"/>
      <c r="O64" s="610"/>
      <c r="P64" s="608"/>
    </row>
    <row r="65" spans="1:16" hidden="1">
      <c r="A65" s="1165"/>
      <c r="B65" s="1165"/>
      <c r="C65" s="608"/>
      <c r="D65" s="608"/>
      <c r="E65" s="608"/>
      <c r="F65" s="608"/>
      <c r="G65" s="608"/>
      <c r="H65" s="608"/>
      <c r="I65" s="608"/>
      <c r="J65" s="609"/>
      <c r="K65" s="609"/>
      <c r="L65" s="609"/>
      <c r="M65" s="608"/>
      <c r="N65" s="608"/>
      <c r="O65" s="610"/>
      <c r="P65" s="608"/>
    </row>
    <row r="66" spans="1:16" hidden="1"/>
  </sheetData>
  <mergeCells count="46">
    <mergeCell ref="A1:B1"/>
    <mergeCell ref="A8:B8"/>
    <mergeCell ref="B9:B10"/>
    <mergeCell ref="C9:C10"/>
    <mergeCell ref="D9:D10"/>
    <mergeCell ref="F9:F10"/>
    <mergeCell ref="G9:I9"/>
    <mergeCell ref="J9:L9"/>
    <mergeCell ref="M9:M10"/>
    <mergeCell ref="E17:E18"/>
    <mergeCell ref="F17:F18"/>
    <mergeCell ref="G17:G18"/>
    <mergeCell ref="H17:H18"/>
    <mergeCell ref="I17:I18"/>
    <mergeCell ref="E9:E10"/>
    <mergeCell ref="A46:B46"/>
    <mergeCell ref="E29:E30"/>
    <mergeCell ref="A36:B36"/>
    <mergeCell ref="A37:B37"/>
    <mergeCell ref="A38:B38"/>
    <mergeCell ref="A39:B39"/>
    <mergeCell ref="A40:B40"/>
    <mergeCell ref="A41:B41"/>
    <mergeCell ref="A42:B42"/>
    <mergeCell ref="A43:B43"/>
    <mergeCell ref="A44:B44"/>
    <mergeCell ref="A45:B45"/>
    <mergeCell ref="A58:B58"/>
    <mergeCell ref="A47:B47"/>
    <mergeCell ref="A48:B48"/>
    <mergeCell ref="A49:B49"/>
    <mergeCell ref="A50:B50"/>
    <mergeCell ref="A51:B51"/>
    <mergeCell ref="A52:B52"/>
    <mergeCell ref="A53:B53"/>
    <mergeCell ref="A54:B54"/>
    <mergeCell ref="A55:B55"/>
    <mergeCell ref="A56:B56"/>
    <mergeCell ref="A57:B57"/>
    <mergeCell ref="A65:B65"/>
    <mergeCell ref="A59:B59"/>
    <mergeCell ref="A60:B60"/>
    <mergeCell ref="A61:B61"/>
    <mergeCell ref="A62:B62"/>
    <mergeCell ref="A63:B63"/>
    <mergeCell ref="A64:B64"/>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0"/>
  <sheetViews>
    <sheetView view="pageBreakPreview" topLeftCell="A10" zoomScale="90" zoomScaleNormal="100" zoomScaleSheetLayoutView="90" workbookViewId="0">
      <selection activeCell="I12" sqref="I12"/>
    </sheetView>
  </sheetViews>
  <sheetFormatPr defaultRowHeight="14.4"/>
  <cols>
    <col min="1" max="1" width="8.88671875" customWidth="1"/>
    <col min="2" max="2" width="66.109375" customWidth="1"/>
    <col min="3" max="3" width="22.109375" customWidth="1"/>
    <col min="4" max="4" width="14.6640625" customWidth="1"/>
    <col min="5" max="5" width="14.88671875" style="2" customWidth="1"/>
    <col min="6" max="6" width="54.109375" customWidth="1"/>
    <col min="8" max="8" width="14.6640625" customWidth="1"/>
    <col min="9" max="9" width="17.6640625" style="2" customWidth="1"/>
  </cols>
  <sheetData>
    <row r="1" spans="1:9" ht="17.399999999999999">
      <c r="A1" s="1072" t="s">
        <v>0</v>
      </c>
      <c r="B1" s="1072"/>
      <c r="C1" s="1072"/>
      <c r="D1" s="1072"/>
      <c r="E1" s="1072"/>
      <c r="F1" s="1072"/>
    </row>
    <row r="2" spans="1:9" ht="15.6" thickBot="1">
      <c r="A2" s="1073" t="s">
        <v>831</v>
      </c>
      <c r="B2" s="1073"/>
      <c r="C2" s="1073"/>
      <c r="D2" s="1073"/>
      <c r="E2" s="1073"/>
      <c r="F2" s="1073"/>
    </row>
    <row r="3" spans="1:9">
      <c r="A3" s="285"/>
      <c r="B3" s="309"/>
      <c r="C3" s="309"/>
      <c r="D3" s="286"/>
      <c r="E3" s="286"/>
      <c r="F3" s="905"/>
    </row>
    <row r="4" spans="1:9">
      <c r="A4" s="314" t="s">
        <v>2</v>
      </c>
      <c r="E4" s="315" t="s">
        <v>3</v>
      </c>
      <c r="F4" s="316">
        <f ca="1">+'Annexure-4 Labour Cost Summary'!H4</f>
        <v>44949</v>
      </c>
    </row>
    <row r="5" spans="1:9">
      <c r="A5" s="314" t="s">
        <v>162</v>
      </c>
      <c r="E5" s="315" t="s">
        <v>5</v>
      </c>
      <c r="F5" s="316" t="str">
        <f>+'Annexure-4 Labour Cost Summary'!H5</f>
        <v>KCE-11</v>
      </c>
    </row>
    <row r="6" spans="1:9">
      <c r="A6" s="314" t="s">
        <v>163</v>
      </c>
      <c r="E6" s="315" t="s">
        <v>8</v>
      </c>
      <c r="F6" s="316" t="str">
        <f>+'Annexure-4 Labour Cost Summary'!H6</f>
        <v>AED</v>
      </c>
    </row>
    <row r="7" spans="1:9" ht="15" thickBot="1">
      <c r="A7" s="289"/>
      <c r="B7" s="290"/>
      <c r="C7" s="290"/>
      <c r="D7" s="290"/>
      <c r="E7" s="291"/>
      <c r="F7" s="927"/>
    </row>
    <row r="9" spans="1:9" ht="15" thickBot="1"/>
    <row r="10" spans="1:9" s="787" customFormat="1" ht="31.2" customHeight="1" thickBot="1">
      <c r="A10" s="908" t="s">
        <v>207</v>
      </c>
      <c r="B10" s="909" t="s">
        <v>141</v>
      </c>
      <c r="C10" s="909" t="s">
        <v>825</v>
      </c>
      <c r="D10" s="909" t="s">
        <v>830</v>
      </c>
      <c r="E10" s="909" t="s">
        <v>167</v>
      </c>
      <c r="F10" s="910" t="s">
        <v>498</v>
      </c>
      <c r="G10" s="911"/>
      <c r="H10" s="336"/>
      <c r="I10" s="788"/>
    </row>
    <row r="11" spans="1:9">
      <c r="A11" s="912" t="s">
        <v>145</v>
      </c>
      <c r="B11" s="300" t="s">
        <v>826</v>
      </c>
      <c r="C11" s="300" t="s">
        <v>827</v>
      </c>
      <c r="D11" s="300" t="s">
        <v>828</v>
      </c>
      <c r="E11" s="301">
        <v>2797.41</v>
      </c>
      <c r="F11" s="907" t="s">
        <v>833</v>
      </c>
      <c r="H11" s="779" t="s">
        <v>164</v>
      </c>
      <c r="I11" s="806" t="s">
        <v>256</v>
      </c>
    </row>
    <row r="12" spans="1:9">
      <c r="A12" s="912" t="s">
        <v>147</v>
      </c>
      <c r="B12" s="300" t="s">
        <v>826</v>
      </c>
      <c r="C12" s="300" t="s">
        <v>827</v>
      </c>
      <c r="D12" s="300" t="s">
        <v>824</v>
      </c>
      <c r="E12" s="301">
        <v>1259.8</v>
      </c>
      <c r="F12" s="907" t="s">
        <v>833</v>
      </c>
      <c r="H12" s="955" t="s">
        <v>886</v>
      </c>
      <c r="I12" s="956">
        <f>SUMIF(C$11:C$1001,H12,E$11:E$1001)</f>
        <v>58239.73</v>
      </c>
    </row>
    <row r="13" spans="1:9">
      <c r="A13" s="912" t="s">
        <v>149</v>
      </c>
      <c r="B13" s="300" t="s">
        <v>832</v>
      </c>
      <c r="C13" s="300" t="s">
        <v>823</v>
      </c>
      <c r="D13" s="300" t="s">
        <v>887</v>
      </c>
      <c r="E13" s="301">
        <f>353.589047619048+147.6+20</f>
        <v>521.18904761904798</v>
      </c>
      <c r="F13" s="907" t="s">
        <v>829</v>
      </c>
      <c r="H13" s="300" t="s">
        <v>827</v>
      </c>
      <c r="I13" s="301">
        <f>SUMIF(C$11:C$1001,H13,E$11:E$1001)</f>
        <v>4057.21</v>
      </c>
    </row>
    <row r="14" spans="1:9">
      <c r="A14" s="912" t="s">
        <v>151</v>
      </c>
      <c r="B14" s="300" t="s">
        <v>878</v>
      </c>
      <c r="C14" s="300" t="s">
        <v>886</v>
      </c>
      <c r="D14" s="300" t="s">
        <v>887</v>
      </c>
      <c r="E14" s="301">
        <v>9071.5400000000009</v>
      </c>
      <c r="F14" s="906"/>
      <c r="H14" s="300" t="s">
        <v>888</v>
      </c>
      <c r="I14" s="301">
        <f>SUMIF(C$11:C$1001,H14,E$11:E$1001)</f>
        <v>0</v>
      </c>
    </row>
    <row r="15" spans="1:9">
      <c r="A15" s="912" t="s">
        <v>153</v>
      </c>
      <c r="B15" s="300" t="s">
        <v>879</v>
      </c>
      <c r="C15" s="300" t="s">
        <v>886</v>
      </c>
      <c r="D15" s="300" t="s">
        <v>887</v>
      </c>
      <c r="E15" s="301">
        <v>9384.76</v>
      </c>
      <c r="F15" s="906"/>
      <c r="H15" s="948" t="s">
        <v>823</v>
      </c>
      <c r="I15" s="949">
        <f>SUMIF(C$11:C$1001,H15,E$11:E$1001)</f>
        <v>48681.189047619046</v>
      </c>
    </row>
    <row r="16" spans="1:9">
      <c r="A16" s="912" t="s">
        <v>261</v>
      </c>
      <c r="B16" s="300" t="s">
        <v>880</v>
      </c>
      <c r="C16" s="300" t="s">
        <v>886</v>
      </c>
      <c r="D16" s="300" t="s">
        <v>887</v>
      </c>
      <c r="E16" s="301">
        <v>9051.18</v>
      </c>
      <c r="F16" s="906"/>
      <c r="H16" s="957" t="s">
        <v>889</v>
      </c>
      <c r="I16" s="958">
        <f>SUM(I12:I15)</f>
        <v>110978.12904761905</v>
      </c>
    </row>
    <row r="17" spans="1:6">
      <c r="A17" s="912" t="s">
        <v>263</v>
      </c>
      <c r="B17" s="300" t="s">
        <v>881</v>
      </c>
      <c r="C17" s="300" t="s">
        <v>886</v>
      </c>
      <c r="D17" s="300" t="s">
        <v>887</v>
      </c>
      <c r="E17" s="301">
        <v>9951.73</v>
      </c>
      <c r="F17" s="906"/>
    </row>
    <row r="18" spans="1:6">
      <c r="A18" s="912" t="s">
        <v>264</v>
      </c>
      <c r="B18" s="300" t="s">
        <v>881</v>
      </c>
      <c r="C18" s="300" t="s">
        <v>886</v>
      </c>
      <c r="D18" s="300" t="s">
        <v>887</v>
      </c>
      <c r="E18" s="301">
        <v>1583.52</v>
      </c>
      <c r="F18" s="906"/>
    </row>
    <row r="19" spans="1:6">
      <c r="A19" s="912" t="s">
        <v>266</v>
      </c>
      <c r="B19" s="300" t="s">
        <v>898</v>
      </c>
      <c r="C19" s="300" t="s">
        <v>886</v>
      </c>
      <c r="D19" s="300" t="s">
        <v>899</v>
      </c>
      <c r="E19" s="301">
        <v>19197</v>
      </c>
      <c r="F19" s="906"/>
    </row>
    <row r="20" spans="1:6">
      <c r="A20" s="912" t="s">
        <v>268</v>
      </c>
      <c r="B20" s="300" t="s">
        <v>882</v>
      </c>
      <c r="C20" s="300" t="s">
        <v>823</v>
      </c>
      <c r="D20" s="300" t="s">
        <v>887</v>
      </c>
      <c r="E20" s="301">
        <v>8370.5300000000007</v>
      </c>
      <c r="F20" s="906"/>
    </row>
    <row r="21" spans="1:6">
      <c r="A21" s="912" t="s">
        <v>270</v>
      </c>
      <c r="B21" s="300" t="s">
        <v>883</v>
      </c>
      <c r="C21" s="300" t="s">
        <v>823</v>
      </c>
      <c r="D21" s="300" t="s">
        <v>887</v>
      </c>
      <c r="E21" s="301">
        <v>11789.47</v>
      </c>
      <c r="F21" s="906"/>
    </row>
    <row r="22" spans="1:6">
      <c r="A22" s="912" t="s">
        <v>271</v>
      </c>
      <c r="B22" s="300" t="s">
        <v>884</v>
      </c>
      <c r="C22" s="300" t="s">
        <v>823</v>
      </c>
      <c r="D22" s="300" t="s">
        <v>887</v>
      </c>
      <c r="E22" s="301">
        <v>14000</v>
      </c>
      <c r="F22" s="906"/>
    </row>
    <row r="23" spans="1:6">
      <c r="A23" s="912" t="s">
        <v>273</v>
      </c>
      <c r="B23" s="300" t="s">
        <v>885</v>
      </c>
      <c r="C23" s="300" t="s">
        <v>823</v>
      </c>
      <c r="D23" s="300" t="s">
        <v>887</v>
      </c>
      <c r="E23" s="301">
        <v>14000</v>
      </c>
      <c r="F23" s="906"/>
    </row>
    <row r="24" spans="1:6">
      <c r="A24" s="913"/>
      <c r="B24" s="300"/>
      <c r="C24" s="300"/>
      <c r="D24" s="300"/>
      <c r="E24" s="301"/>
      <c r="F24" s="906"/>
    </row>
    <row r="25" spans="1:6">
      <c r="A25" s="913"/>
      <c r="B25" s="300"/>
      <c r="C25" s="300"/>
      <c r="D25" s="300"/>
      <c r="E25" s="301"/>
      <c r="F25" s="906"/>
    </row>
    <row r="26" spans="1:6">
      <c r="A26" s="913"/>
      <c r="B26" s="300"/>
      <c r="C26" s="300"/>
      <c r="D26" s="300"/>
      <c r="E26" s="301"/>
      <c r="F26" s="906"/>
    </row>
    <row r="27" spans="1:6">
      <c r="A27" s="913"/>
      <c r="B27" s="300"/>
      <c r="C27" s="300"/>
      <c r="D27" s="300"/>
      <c r="E27" s="301"/>
      <c r="F27" s="906"/>
    </row>
    <row r="28" spans="1:6">
      <c r="A28" s="913"/>
      <c r="B28" s="300"/>
      <c r="C28" s="300"/>
      <c r="D28" s="300"/>
      <c r="E28" s="301"/>
      <c r="F28" s="906"/>
    </row>
    <row r="29" spans="1:6">
      <c r="A29" s="913"/>
      <c r="B29" s="300"/>
      <c r="C29" s="300"/>
      <c r="D29" s="300"/>
      <c r="E29" s="301"/>
      <c r="F29" s="906"/>
    </row>
    <row r="30" spans="1:6">
      <c r="A30" s="913"/>
      <c r="B30" s="300"/>
      <c r="C30" s="300"/>
      <c r="D30" s="300"/>
      <c r="E30" s="301"/>
      <c r="F30" s="906"/>
    </row>
    <row r="31" spans="1:6">
      <c r="A31" s="913"/>
      <c r="B31" s="300"/>
      <c r="C31" s="300"/>
      <c r="D31" s="300"/>
      <c r="E31" s="301"/>
      <c r="F31" s="906"/>
    </row>
    <row r="32" spans="1:6">
      <c r="A32" s="913"/>
      <c r="B32" s="300"/>
      <c r="C32" s="300"/>
      <c r="D32" s="300"/>
      <c r="E32" s="301"/>
      <c r="F32" s="906"/>
    </row>
    <row r="33" spans="1:6">
      <c r="A33" s="913"/>
      <c r="B33" s="300"/>
      <c r="C33" s="300"/>
      <c r="D33" s="300"/>
      <c r="E33" s="301"/>
      <c r="F33" s="906"/>
    </row>
    <row r="34" spans="1:6">
      <c r="A34" s="913"/>
      <c r="B34" s="300"/>
      <c r="C34" s="300"/>
      <c r="D34" s="300"/>
      <c r="E34" s="301"/>
      <c r="F34" s="906"/>
    </row>
    <row r="35" spans="1:6">
      <c r="A35" s="913"/>
      <c r="B35" s="300"/>
      <c r="C35" s="300"/>
      <c r="D35" s="300"/>
      <c r="E35" s="301"/>
      <c r="F35" s="906"/>
    </row>
    <row r="36" spans="1:6">
      <c r="A36" s="913"/>
      <c r="B36" s="300"/>
      <c r="C36" s="300"/>
      <c r="D36" s="300"/>
      <c r="E36" s="301"/>
      <c r="F36" s="906"/>
    </row>
    <row r="37" spans="1:6">
      <c r="A37" s="913"/>
      <c r="B37" s="300"/>
      <c r="C37" s="300"/>
      <c r="D37" s="300"/>
      <c r="E37" s="301"/>
      <c r="F37" s="906"/>
    </row>
    <row r="38" spans="1:6">
      <c r="A38" s="913"/>
      <c r="B38" s="300"/>
      <c r="C38" s="300"/>
      <c r="D38" s="300"/>
      <c r="E38" s="301"/>
      <c r="F38" s="906"/>
    </row>
    <row r="39" spans="1:6">
      <c r="A39" s="913"/>
      <c r="B39" s="300"/>
      <c r="C39" s="300"/>
      <c r="D39" s="300"/>
      <c r="E39" s="301"/>
      <c r="F39" s="906"/>
    </row>
    <row r="40" spans="1:6">
      <c r="A40" s="913"/>
      <c r="B40" s="300"/>
      <c r="C40" s="300"/>
      <c r="D40" s="300"/>
      <c r="E40" s="301"/>
      <c r="F40" s="906"/>
    </row>
    <row r="41" spans="1:6">
      <c r="A41" s="913"/>
      <c r="B41" s="300"/>
      <c r="C41" s="300"/>
      <c r="D41" s="300"/>
      <c r="E41" s="301"/>
      <c r="F41" s="906"/>
    </row>
    <row r="42" spans="1:6">
      <c r="A42" s="913"/>
      <c r="B42" s="300"/>
      <c r="C42" s="300"/>
      <c r="D42" s="300"/>
      <c r="E42" s="301"/>
      <c r="F42" s="906"/>
    </row>
    <row r="43" spans="1:6">
      <c r="A43" s="913"/>
      <c r="B43" s="300"/>
      <c r="C43" s="300"/>
      <c r="D43" s="300"/>
      <c r="E43" s="301"/>
      <c r="F43" s="906"/>
    </row>
    <row r="44" spans="1:6">
      <c r="A44" s="913"/>
      <c r="B44" s="300"/>
      <c r="C44" s="300"/>
      <c r="D44" s="300"/>
      <c r="E44" s="301"/>
      <c r="F44" s="906"/>
    </row>
    <row r="45" spans="1:6">
      <c r="A45" s="913"/>
      <c r="B45" s="300"/>
      <c r="C45" s="300"/>
      <c r="D45" s="300"/>
      <c r="E45" s="301"/>
      <c r="F45" s="906"/>
    </row>
    <row r="46" spans="1:6">
      <c r="A46" s="913"/>
      <c r="B46" s="300"/>
      <c r="C46" s="300"/>
      <c r="D46" s="300"/>
      <c r="E46" s="301"/>
      <c r="F46" s="906"/>
    </row>
    <row r="47" spans="1:6">
      <c r="A47" s="913"/>
      <c r="B47" s="300"/>
      <c r="C47" s="300"/>
      <c r="D47" s="300"/>
      <c r="E47" s="301"/>
      <c r="F47" s="906"/>
    </row>
    <row r="48" spans="1:6">
      <c r="A48" s="913"/>
      <c r="B48" s="300"/>
      <c r="C48" s="300"/>
      <c r="D48" s="300"/>
      <c r="E48" s="301"/>
      <c r="F48" s="906"/>
    </row>
    <row r="49" spans="1:6" ht="15" thickBot="1">
      <c r="A49" s="947"/>
      <c r="B49" s="948"/>
      <c r="C49" s="948"/>
      <c r="D49" s="948"/>
      <c r="E49" s="949"/>
      <c r="F49" s="950"/>
    </row>
    <row r="50" spans="1:6" ht="15" thickBot="1">
      <c r="A50" s="951"/>
      <c r="B50" s="952"/>
      <c r="C50" s="952"/>
      <c r="D50" s="952"/>
      <c r="E50" s="953">
        <f>SUM(E11:E49)</f>
        <v>110978.12904761905</v>
      </c>
      <c r="F50" s="954"/>
    </row>
  </sheetData>
  <mergeCells count="2">
    <mergeCell ref="A1:F1"/>
    <mergeCell ref="A2:F2"/>
  </mergeCells>
  <phoneticPr fontId="90" type="noConversion"/>
  <pageMargins left="0.7" right="0.7" top="0.75" bottom="0.75" header="0.3" footer="0.3"/>
  <pageSetup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topLeftCell="A22" zoomScale="60" zoomScaleNormal="70" workbookViewId="0">
      <selection activeCell="D42" sqref="D42"/>
    </sheetView>
  </sheetViews>
  <sheetFormatPr defaultColWidth="9.109375" defaultRowHeight="13.8"/>
  <cols>
    <col min="1" max="2" width="1.5546875" style="124" customWidth="1"/>
    <col min="3" max="3" width="32.5546875" style="124" customWidth="1"/>
    <col min="4" max="4" width="31.109375" style="124" customWidth="1"/>
    <col min="5" max="5" width="33.33203125" style="124" customWidth="1"/>
    <col min="6" max="6" width="33.5546875" style="124" customWidth="1"/>
    <col min="7" max="7" width="33" style="124" customWidth="1"/>
    <col min="8" max="8" width="14.33203125" style="123" bestFit="1" customWidth="1"/>
    <col min="9" max="9" width="19.5546875" style="123" bestFit="1" customWidth="1"/>
    <col min="10" max="10" width="14.33203125" style="123" customWidth="1"/>
    <col min="11" max="11" width="23.88671875" style="123" customWidth="1"/>
    <col min="12" max="12" width="29.5546875" style="123" customWidth="1"/>
    <col min="13" max="13" width="20.109375" style="123" customWidth="1"/>
    <col min="14" max="16384" width="9.109375" style="124"/>
  </cols>
  <sheetData>
    <row r="1" spans="1:13" ht="35.25" customHeight="1">
      <c r="A1" s="122"/>
      <c r="B1" s="1026" t="s">
        <v>75</v>
      </c>
      <c r="C1" s="1027"/>
      <c r="D1" s="1027"/>
      <c r="E1" s="1027"/>
      <c r="F1" s="1027"/>
      <c r="G1" s="1028"/>
    </row>
    <row r="2" spans="1:13" s="125" customFormat="1" ht="21">
      <c r="B2" s="126" t="s">
        <v>76</v>
      </c>
      <c r="C2" s="127"/>
      <c r="D2" s="127" t="s">
        <v>77</v>
      </c>
      <c r="E2" s="128"/>
      <c r="F2" s="129" t="s">
        <v>78</v>
      </c>
      <c r="G2" s="130" t="str">
        <f>'KCE-PC 11'!G2</f>
        <v>KCE-11</v>
      </c>
      <c r="H2" s="131"/>
      <c r="I2" s="131"/>
      <c r="J2" s="131"/>
      <c r="K2" s="131"/>
      <c r="L2" s="131"/>
      <c r="M2" s="131"/>
    </row>
    <row r="3" spans="1:13" s="125" customFormat="1" ht="18.600000000000001" thickBot="1">
      <c r="B3" s="132"/>
      <c r="C3" s="133"/>
      <c r="D3" s="133"/>
      <c r="E3" s="133"/>
      <c r="F3" s="134" t="s">
        <v>79</v>
      </c>
      <c r="G3" s="135">
        <f ca="1">'KCE-PC 11'!G3</f>
        <v>44949</v>
      </c>
      <c r="H3" s="131"/>
      <c r="I3" s="131"/>
      <c r="J3" s="131"/>
      <c r="K3" s="131"/>
      <c r="L3" s="131"/>
      <c r="M3" s="131"/>
    </row>
    <row r="4" spans="1:13" ht="16.8">
      <c r="A4" s="122"/>
      <c r="B4" s="136"/>
      <c r="C4" s="145" t="s">
        <v>80</v>
      </c>
      <c r="D4" s="138" t="s">
        <v>81</v>
      </c>
      <c r="E4" s="139"/>
      <c r="F4" s="139" t="s">
        <v>82</v>
      </c>
      <c r="G4" s="140" t="str">
        <f>'KCE-PC 11'!G4</f>
        <v>Khansaheb IPA -11</v>
      </c>
    </row>
    <row r="5" spans="1:13" ht="16.8">
      <c r="A5" s="122"/>
      <c r="B5" s="141"/>
      <c r="C5" s="142"/>
      <c r="D5" s="138" t="s">
        <v>83</v>
      </c>
      <c r="E5" s="139"/>
      <c r="F5" s="139" t="s">
        <v>84</v>
      </c>
      <c r="G5" s="140" t="str">
        <f>'KCE-PC 11'!G5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11'!G8</f>
        <v>44651</v>
      </c>
      <c r="K8" s="144"/>
      <c r="L8" s="144"/>
    </row>
    <row r="9" spans="1:13" ht="16.8">
      <c r="A9" s="122"/>
      <c r="B9" s="141"/>
      <c r="C9" s="142"/>
      <c r="D9" s="142"/>
      <c r="E9" s="139"/>
      <c r="F9" s="139" t="s">
        <v>88</v>
      </c>
      <c r="G9" s="146">
        <f>'KCE-PC 11'!G9</f>
        <v>44932</v>
      </c>
      <c r="I9" s="144"/>
      <c r="K9" s="144"/>
    </row>
    <row r="10" spans="1:13" ht="16.8">
      <c r="A10" s="122"/>
      <c r="B10" s="141"/>
      <c r="C10" s="145" t="s">
        <v>89</v>
      </c>
      <c r="D10" s="142" t="s">
        <v>0</v>
      </c>
      <c r="E10" s="147"/>
      <c r="F10" s="139" t="s">
        <v>90</v>
      </c>
      <c r="G10" s="143" t="str">
        <f>'KCE-PC 11'!G10</f>
        <v>December 2022</v>
      </c>
    </row>
    <row r="11" spans="1:13" ht="16.8">
      <c r="A11" s="122"/>
      <c r="B11" s="141"/>
      <c r="C11" s="142"/>
      <c r="D11" s="142" t="s">
        <v>91</v>
      </c>
      <c r="E11" s="139"/>
      <c r="F11" s="139" t="s">
        <v>92</v>
      </c>
      <c r="G11" s="146">
        <f>'KCE-PC 11'!G11</f>
        <v>44953</v>
      </c>
    </row>
    <row r="12" spans="1:13" ht="16.8">
      <c r="A12" s="122"/>
      <c r="B12" s="141"/>
      <c r="C12" s="142"/>
      <c r="D12" s="142" t="s">
        <v>86</v>
      </c>
      <c r="E12" s="139"/>
      <c r="F12" s="139" t="s">
        <v>93</v>
      </c>
      <c r="G12" s="140" t="str">
        <f>'KCE-PC 11'!G12</f>
        <v>AED</v>
      </c>
    </row>
    <row r="13" spans="1:13" ht="10.95"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2" t="s">
        <v>97</v>
      </c>
      <c r="G15" s="149"/>
    </row>
    <row r="16" spans="1:13" ht="18" customHeight="1">
      <c r="A16" s="122"/>
      <c r="B16" s="141"/>
      <c r="C16" s="145"/>
      <c r="D16" s="142" t="s">
        <v>86</v>
      </c>
      <c r="E16" s="147"/>
      <c r="F16" s="262" t="s">
        <v>98</v>
      </c>
      <c r="G16" s="153">
        <f>'KCE-PC 11'!G16</f>
        <v>0.66832767280999572</v>
      </c>
    </row>
    <row r="17" spans="1:13" ht="18" customHeight="1">
      <c r="A17" s="122"/>
      <c r="B17" s="141"/>
      <c r="C17" s="145"/>
      <c r="D17" s="142"/>
      <c r="E17" s="147"/>
      <c r="F17" s="263" t="s">
        <v>99</v>
      </c>
      <c r="G17" s="153">
        <f>'KCE-PC 11'!G17</f>
        <v>0.77634939869885633</v>
      </c>
    </row>
    <row r="18" spans="1:13" ht="18" customHeight="1">
      <c r="A18" s="122"/>
      <c r="B18" s="141"/>
      <c r="C18" s="145"/>
      <c r="D18" s="142"/>
      <c r="E18" s="147"/>
      <c r="F18" s="262" t="s">
        <v>127</v>
      </c>
      <c r="G18" s="153"/>
    </row>
    <row r="19" spans="1:13" ht="4.5" customHeight="1" thickBot="1">
      <c r="A19" s="122"/>
      <c r="B19" s="154"/>
      <c r="C19" s="155"/>
      <c r="D19" s="156"/>
      <c r="E19" s="157"/>
      <c r="F19" s="158"/>
      <c r="G19" s="159"/>
    </row>
    <row r="20" spans="1:13" ht="16.8">
      <c r="A20" s="122"/>
      <c r="B20" s="160"/>
      <c r="C20" s="161"/>
      <c r="D20" s="162"/>
      <c r="E20" s="163"/>
      <c r="F20" s="164" t="s">
        <v>101</v>
      </c>
      <c r="G20" s="165" t="s">
        <v>9</v>
      </c>
    </row>
    <row r="21" spans="1:13" s="166" customFormat="1" ht="16.8">
      <c r="B21" s="167"/>
      <c r="E21" s="168"/>
      <c r="F21" s="169" t="s">
        <v>103</v>
      </c>
      <c r="G21" s="170">
        <f>'KCE-PC 11'!G21</f>
        <v>194951735</v>
      </c>
      <c r="H21" s="171"/>
      <c r="I21" s="123"/>
      <c r="J21" s="123"/>
      <c r="K21" s="123"/>
      <c r="L21" s="123"/>
      <c r="M21" s="171"/>
    </row>
    <row r="22" spans="1:13" s="166" customFormat="1" ht="16.8">
      <c r="B22" s="167"/>
      <c r="E22" s="168"/>
      <c r="F22" s="169" t="s">
        <v>104</v>
      </c>
      <c r="G22" s="170">
        <f>'KCE-PC 11'!G22</f>
        <v>0</v>
      </c>
      <c r="H22" s="171"/>
      <c r="I22" s="123"/>
      <c r="J22" s="123"/>
      <c r="K22" s="123"/>
      <c r="L22" s="123"/>
      <c r="M22" s="171"/>
    </row>
    <row r="23" spans="1:13" s="166" customFormat="1" ht="17.399999999999999" thickBot="1">
      <c r="B23" s="167"/>
      <c r="E23" s="168"/>
      <c r="F23" s="169" t="s">
        <v>105</v>
      </c>
      <c r="G23" s="264">
        <f>SUM(G21:G22)</f>
        <v>194951735</v>
      </c>
      <c r="H23" s="171"/>
      <c r="I23" s="123"/>
      <c r="J23" s="123"/>
      <c r="K23" s="123"/>
      <c r="L23" s="123"/>
      <c r="M23" s="171"/>
    </row>
    <row r="24" spans="1:13" ht="3.75" customHeight="1" thickTop="1" thickBot="1">
      <c r="A24" s="122"/>
      <c r="B24" s="173"/>
      <c r="C24" s="174"/>
      <c r="D24" s="175"/>
      <c r="E24" s="176"/>
      <c r="F24" s="177"/>
      <c r="G24" s="178"/>
    </row>
    <row r="25" spans="1:13" ht="16.8">
      <c r="A25" s="122"/>
      <c r="B25" s="154"/>
      <c r="C25" s="145" t="s">
        <v>106</v>
      </c>
      <c r="D25" s="142"/>
      <c r="E25" s="142"/>
      <c r="F25" s="139"/>
      <c r="G25" s="179">
        <f>E31</f>
        <v>21059022.879727807</v>
      </c>
    </row>
    <row r="26" spans="1:13" ht="16.8">
      <c r="A26" s="122"/>
      <c r="B26" s="154"/>
      <c r="C26" s="180"/>
      <c r="D26" s="142"/>
      <c r="E26" s="181"/>
      <c r="F26" s="139"/>
      <c r="G26" s="182"/>
    </row>
    <row r="27" spans="1:13" ht="24.75" customHeight="1">
      <c r="A27" s="122"/>
      <c r="B27" s="183"/>
      <c r="C27" s="184" t="s">
        <v>107</v>
      </c>
      <c r="D27" s="185"/>
      <c r="E27" s="186">
        <f>'KCE-PC 11'!E27</f>
        <v>23638476.020000003</v>
      </c>
      <c r="F27" s="139"/>
      <c r="G27" s="182"/>
    </row>
    <row r="28" spans="1:13" ht="6" customHeight="1">
      <c r="A28" s="122"/>
      <c r="B28" s="183"/>
      <c r="C28" s="184"/>
      <c r="D28" s="185"/>
      <c r="E28" s="186"/>
      <c r="F28" s="139"/>
      <c r="G28" s="182"/>
    </row>
    <row r="29" spans="1:13" ht="16.8">
      <c r="A29" s="122"/>
      <c r="B29" s="183"/>
      <c r="C29" s="184" t="str">
        <f>+'KCE-PC 11'!C29</f>
        <v>Advance Payment  Recovery - Refer Annexure 11</v>
      </c>
      <c r="D29" s="185"/>
      <c r="E29" s="186">
        <f>'KCE-PC 11'!E29</f>
        <v>2579453.140272195</v>
      </c>
      <c r="F29" s="139"/>
      <c r="G29" s="182"/>
    </row>
    <row r="30" spans="1:13" s="123" customFormat="1" ht="5.25" customHeight="1">
      <c r="A30" s="122"/>
      <c r="B30" s="183"/>
      <c r="C30" s="184"/>
      <c r="D30" s="185"/>
      <c r="E30" s="188"/>
      <c r="F30" s="139"/>
      <c r="G30" s="182"/>
    </row>
    <row r="31" spans="1:13" s="123" customFormat="1" ht="16.8">
      <c r="A31" s="122"/>
      <c r="B31" s="183"/>
      <c r="C31" s="184" t="s">
        <v>108</v>
      </c>
      <c r="D31" s="185"/>
      <c r="E31" s="186">
        <f>E27-E29</f>
        <v>21059022.879727807</v>
      </c>
      <c r="F31" s="139"/>
      <c r="G31" s="182"/>
    </row>
    <row r="32" spans="1:13" s="123" customFormat="1" ht="9.75" customHeight="1">
      <c r="A32" s="122"/>
      <c r="B32" s="183"/>
      <c r="C32" s="184"/>
      <c r="D32" s="185"/>
      <c r="E32" s="189"/>
      <c r="F32" s="139"/>
      <c r="G32" s="182"/>
    </row>
    <row r="33" spans="1:13" s="123" customFormat="1" ht="16.8">
      <c r="A33" s="122"/>
      <c r="B33" s="190"/>
      <c r="C33" s="191"/>
      <c r="D33" s="192"/>
      <c r="E33" s="193"/>
      <c r="F33" s="194"/>
      <c r="G33" s="195"/>
    </row>
    <row r="34" spans="1:13" s="123" customFormat="1" ht="18">
      <c r="A34" s="125"/>
      <c r="B34" s="196"/>
      <c r="C34" s="145" t="s">
        <v>109</v>
      </c>
      <c r="D34" s="142"/>
      <c r="E34" s="197"/>
      <c r="F34" s="198"/>
      <c r="G34" s="179">
        <f>'KCE-PC 11'!G34</f>
        <v>130291639.36282098</v>
      </c>
    </row>
    <row r="35" spans="1:13" s="123" customFormat="1" ht="3" customHeight="1">
      <c r="A35" s="166"/>
      <c r="B35" s="199"/>
      <c r="C35" s="200"/>
      <c r="D35" s="201"/>
      <c r="E35" s="201"/>
      <c r="F35" s="202"/>
      <c r="G35" s="195"/>
    </row>
    <row r="36" spans="1:13" s="123" customFormat="1" ht="20.399999999999999">
      <c r="A36" s="125"/>
      <c r="B36" s="196"/>
      <c r="C36" s="145" t="s">
        <v>110</v>
      </c>
      <c r="D36" s="142"/>
      <c r="E36" s="142"/>
      <c r="F36" s="198"/>
      <c r="G36" s="179">
        <f>G34+G25</f>
        <v>151350662.24254879</v>
      </c>
      <c r="L36" s="187"/>
    </row>
    <row r="37" spans="1:13" s="123" customFormat="1" ht="9.6" customHeight="1">
      <c r="A37" s="166"/>
      <c r="B37" s="167"/>
      <c r="C37" s="1029"/>
      <c r="D37" s="1029"/>
      <c r="E37" s="142"/>
      <c r="F37" s="198"/>
      <c r="G37" s="203"/>
    </row>
    <row r="38" spans="1:13" s="123" customFormat="1" ht="16.8">
      <c r="A38" s="166"/>
      <c r="B38" s="167"/>
      <c r="C38" s="145" t="str">
        <f>+'KCE-PC 11'!C38</f>
        <v>(D) LESS Retention (10%) - Refer Annexure 10</v>
      </c>
      <c r="D38" s="204"/>
      <c r="E38" s="142"/>
      <c r="F38" s="198"/>
      <c r="G38" s="205">
        <f>'KCE-PC 11'!G38</f>
        <v>-5896303.4575111428</v>
      </c>
    </row>
    <row r="39" spans="1:13" s="123" customFormat="1" ht="9.6" customHeight="1">
      <c r="A39" s="166"/>
      <c r="B39" s="167"/>
      <c r="C39" s="145"/>
      <c r="D39" s="204"/>
      <c r="E39" s="142"/>
      <c r="F39" s="198"/>
      <c r="G39" s="205"/>
    </row>
    <row r="40" spans="1:13" s="123" customFormat="1" ht="20.399999999999999">
      <c r="A40" s="166"/>
      <c r="B40" s="167"/>
      <c r="C40" s="207" t="s">
        <v>111</v>
      </c>
      <c r="D40" s="208"/>
      <c r="E40" s="142"/>
      <c r="F40" s="198"/>
      <c r="G40" s="205">
        <f>'KCE-PC 11'!G40</f>
        <v>0</v>
      </c>
      <c r="L40" s="187"/>
    </row>
    <row r="41" spans="1:13" s="123" customFormat="1" ht="9.6" customHeight="1">
      <c r="A41" s="166"/>
      <c r="B41" s="199"/>
      <c r="C41" s="200"/>
      <c r="D41" s="201"/>
      <c r="E41" s="201"/>
      <c r="F41" s="202"/>
      <c r="G41" s="195"/>
    </row>
    <row r="42" spans="1:13" s="123" customFormat="1" ht="16.8">
      <c r="A42" s="166"/>
      <c r="B42" s="167"/>
      <c r="C42" s="145" t="s">
        <v>112</v>
      </c>
      <c r="D42" s="142"/>
      <c r="E42" s="142"/>
      <c r="F42" s="198"/>
      <c r="G42" s="179">
        <f>'KCE-PC 11'!G42</f>
        <v>145454358.78503764</v>
      </c>
    </row>
    <row r="43" spans="1:13" s="123" customFormat="1" ht="7.95" customHeight="1">
      <c r="A43" s="166"/>
      <c r="B43" s="167"/>
      <c r="C43" s="142"/>
      <c r="D43" s="142"/>
      <c r="E43" s="142"/>
      <c r="F43" s="198"/>
      <c r="G43" s="182"/>
    </row>
    <row r="44" spans="1:13" s="123" customFormat="1" ht="20.399999999999999">
      <c r="A44" s="166"/>
      <c r="B44" s="167"/>
      <c r="C44" s="145" t="str">
        <f>+'KCE-PC 11'!C44</f>
        <v>(G) LESS Previous Certified Value - Refer Annexure 12</v>
      </c>
      <c r="D44" s="142"/>
      <c r="E44" s="210"/>
      <c r="F44" s="198"/>
      <c r="G44" s="205">
        <f>'KCE-PC 11'!G44</f>
        <v>-125482803.90599506</v>
      </c>
      <c r="L44" s="187"/>
    </row>
    <row r="45" spans="1:13" ht="3.75" customHeight="1" thickBot="1">
      <c r="A45" s="166"/>
      <c r="B45" s="212"/>
      <c r="C45" s="213"/>
      <c r="D45" s="214"/>
      <c r="E45" s="214"/>
      <c r="F45" s="215"/>
      <c r="G45" s="216"/>
    </row>
    <row r="46" spans="1:13" s="166" customFormat="1" ht="25.5" customHeight="1" thickBot="1">
      <c r="B46" s="217"/>
      <c r="C46" s="1047" t="s">
        <v>128</v>
      </c>
      <c r="D46" s="1047"/>
      <c r="E46" s="1047"/>
      <c r="F46" s="265" t="s">
        <v>9</v>
      </c>
      <c r="G46" s="266">
        <f>'KCE-PC 11'!G46</f>
        <v>19971554.879042581</v>
      </c>
      <c r="H46" s="123"/>
      <c r="I46" s="171"/>
      <c r="J46" s="123"/>
      <c r="K46" s="123"/>
      <c r="L46" s="123"/>
      <c r="M46" s="171"/>
    </row>
    <row r="47" spans="1:13" s="166" customFormat="1" ht="26.4" customHeight="1">
      <c r="B47" s="167"/>
      <c r="C47" s="221" t="s">
        <v>129</v>
      </c>
      <c r="D47" s="185"/>
      <c r="E47" s="222"/>
      <c r="F47" s="223"/>
      <c r="G47" s="224">
        <f>'KCE-PC 11'!G47</f>
        <v>998577.74395212904</v>
      </c>
      <c r="H47" s="123"/>
      <c r="I47" s="123"/>
      <c r="J47" s="123"/>
      <c r="K47" s="123"/>
      <c r="L47" s="123"/>
      <c r="M47" s="171"/>
    </row>
    <row r="48" spans="1:13" s="166" customFormat="1" ht="29.4" customHeight="1" thickBot="1">
      <c r="B48" s="225"/>
      <c r="C48" s="221" t="s">
        <v>115</v>
      </c>
      <c r="D48" s="185"/>
      <c r="E48" s="222"/>
      <c r="F48" s="223"/>
      <c r="G48" s="226">
        <f>'KCE-PC 11'!G48</f>
        <v>0</v>
      </c>
      <c r="H48" s="123"/>
      <c r="I48" s="123"/>
      <c r="J48" s="123"/>
      <c r="K48" s="123"/>
      <c r="L48" s="171"/>
      <c r="M48" s="171"/>
    </row>
    <row r="49" spans="1:13" ht="46.2" customHeight="1" thickBot="1">
      <c r="A49" s="122"/>
      <c r="B49" s="1048" t="s">
        <v>116</v>
      </c>
      <c r="C49" s="1049"/>
      <c r="D49" s="1049"/>
      <c r="E49" s="1049"/>
      <c r="F49" s="265" t="s">
        <v>9</v>
      </c>
      <c r="G49" s="266">
        <f>'KCE-PC 11'!G49</f>
        <v>20970132.62299471</v>
      </c>
      <c r="L49" s="187"/>
    </row>
    <row r="50" spans="1:13" ht="10.199999999999999" customHeight="1" thickBot="1">
      <c r="A50" s="122"/>
      <c r="B50" s="173"/>
      <c r="C50" s="174"/>
      <c r="D50" s="174"/>
      <c r="E50" s="176"/>
      <c r="F50" s="176"/>
      <c r="G50" s="227"/>
    </row>
    <row r="51" spans="1:13" ht="30" customHeight="1">
      <c r="A51" s="122"/>
      <c r="B51" s="1033" t="s">
        <v>117</v>
      </c>
      <c r="C51" s="1034"/>
      <c r="D51" s="1050" t="str">
        <f>+'KCE-PC 11'!D51:G51</f>
        <v>This IPC is issued for the KHANSAHAB IPA No.11</v>
      </c>
      <c r="E51" s="1036"/>
      <c r="F51" s="1036"/>
      <c r="G51" s="1037"/>
    </row>
    <row r="52" spans="1:13" ht="19.5" customHeight="1">
      <c r="A52" s="122"/>
      <c r="B52" s="1038" t="s">
        <v>118</v>
      </c>
      <c r="C52" s="1039"/>
      <c r="D52" s="1040" t="str">
        <f>+'KCE-PC 11'!D52:G52</f>
        <v>The Payment shall be released within 30 days of the IPA</v>
      </c>
      <c r="E52" s="1041"/>
      <c r="F52" s="1041"/>
      <c r="G52" s="1042"/>
    </row>
    <row r="53" spans="1:13" ht="10.199999999999999" customHeight="1" thickBot="1">
      <c r="A53" s="122"/>
      <c r="B53" s="228"/>
      <c r="C53" s="229"/>
      <c r="D53" s="230"/>
      <c r="E53" s="231"/>
      <c r="F53" s="231"/>
      <c r="G53" s="232"/>
    </row>
    <row r="54" spans="1:13" ht="23.4" thickBot="1">
      <c r="A54" s="122"/>
      <c r="B54" s="233"/>
      <c r="C54" s="1052" t="s">
        <v>130</v>
      </c>
      <c r="D54" s="1052"/>
      <c r="E54" s="1052"/>
      <c r="F54" s="1052"/>
      <c r="G54" s="1053"/>
    </row>
    <row r="55" spans="1:13" ht="21" customHeight="1">
      <c r="A55" s="122"/>
      <c r="B55" s="234"/>
      <c r="C55" s="235" t="s">
        <v>131</v>
      </c>
      <c r="D55" s="236"/>
      <c r="E55" s="237"/>
      <c r="F55" s="237"/>
      <c r="G55" s="238"/>
    </row>
    <row r="56" spans="1:13" ht="21" customHeight="1">
      <c r="A56" s="122"/>
      <c r="B56" s="234"/>
      <c r="C56" s="235"/>
      <c r="D56" s="236"/>
      <c r="E56" s="237"/>
      <c r="F56" s="237"/>
      <c r="G56" s="238"/>
    </row>
    <row r="57" spans="1:13" s="125" customFormat="1" ht="60.75" customHeight="1" thickBot="1">
      <c r="B57" s="239"/>
      <c r="C57" s="267"/>
      <c r="D57" s="268"/>
      <c r="E57" s="246"/>
      <c r="F57" s="267"/>
      <c r="G57" s="269"/>
      <c r="H57" s="123"/>
      <c r="I57" s="123"/>
      <c r="J57" s="123"/>
      <c r="K57" s="123"/>
      <c r="L57" s="123"/>
      <c r="M57" s="131"/>
    </row>
    <row r="58" spans="1:13" s="244" customFormat="1" ht="22.5" customHeight="1">
      <c r="B58" s="245"/>
      <c r="C58" s="246" t="s">
        <v>837</v>
      </c>
      <c r="D58" s="270"/>
      <c r="E58" s="246"/>
      <c r="F58" s="246" t="s">
        <v>132</v>
      </c>
      <c r="G58" s="271"/>
      <c r="H58" s="123"/>
      <c r="I58" s="123"/>
      <c r="J58" s="123"/>
      <c r="K58" s="123"/>
      <c r="L58" s="123"/>
      <c r="M58" s="250"/>
    </row>
    <row r="59" spans="1:13" s="244" customFormat="1" ht="22.5" customHeight="1">
      <c r="B59" s="245"/>
      <c r="C59" s="929" t="s">
        <v>838</v>
      </c>
      <c r="D59" s="929"/>
      <c r="E59" s="272"/>
      <c r="F59" s="1051" t="s">
        <v>133</v>
      </c>
      <c r="G59" s="1051"/>
      <c r="H59" s="123"/>
      <c r="I59" s="123"/>
      <c r="J59" s="123"/>
      <c r="K59" s="123"/>
      <c r="L59" s="123"/>
      <c r="M59" s="250"/>
    </row>
    <row r="60" spans="1:13" customFormat="1" ht="17.399999999999999" customHeight="1" thickBot="1">
      <c r="A60" s="273"/>
      <c r="B60" s="274"/>
      <c r="C60" s="275"/>
      <c r="D60" s="275"/>
      <c r="E60" s="276"/>
      <c r="F60" s="275"/>
      <c r="G60" s="277"/>
      <c r="I60" s="123"/>
    </row>
    <row r="61" spans="1:13" customFormat="1" ht="17.399999999999999">
      <c r="A61" s="273"/>
      <c r="B61" s="278"/>
      <c r="C61" s="279" t="s">
        <v>134</v>
      </c>
      <c r="D61" s="270"/>
      <c r="E61" s="246"/>
      <c r="F61" s="280"/>
      <c r="G61" s="281"/>
      <c r="H61" s="123"/>
      <c r="I61" s="123"/>
    </row>
    <row r="62" spans="1:13" customFormat="1" ht="17.399999999999999">
      <c r="A62" s="273"/>
      <c r="B62" s="282"/>
      <c r="C62" s="279"/>
      <c r="D62" s="270"/>
      <c r="E62" s="246"/>
      <c r="F62" s="280"/>
      <c r="G62" s="256"/>
      <c r="I62" s="123"/>
    </row>
    <row r="63" spans="1:13" s="125" customFormat="1" ht="45.6" customHeight="1" thickBot="1">
      <c r="B63" s="282"/>
      <c r="C63" s="267"/>
      <c r="D63" s="268"/>
      <c r="E63" s="268"/>
      <c r="F63" s="267"/>
      <c r="G63" s="269"/>
      <c r="H63" s="123"/>
      <c r="I63" s="123"/>
      <c r="J63" s="123"/>
      <c r="K63" s="123"/>
      <c r="L63" s="123"/>
      <c r="M63" s="131"/>
    </row>
    <row r="64" spans="1:13" s="125" customFormat="1" ht="21.75" customHeight="1">
      <c r="B64" s="282"/>
      <c r="C64" s="279" t="s">
        <v>135</v>
      </c>
      <c r="D64" s="268"/>
      <c r="E64" s="268"/>
      <c r="F64" s="246" t="s">
        <v>846</v>
      </c>
      <c r="G64" s="271"/>
      <c r="H64" s="123"/>
      <c r="I64" s="123"/>
      <c r="J64" s="123"/>
      <c r="K64" s="123"/>
      <c r="L64" s="123"/>
      <c r="M64" s="131"/>
    </row>
    <row r="65" spans="1:13" s="125" customFormat="1" ht="22.5" customHeight="1">
      <c r="B65" s="282"/>
      <c r="C65" s="283" t="s">
        <v>136</v>
      </c>
      <c r="D65" s="284"/>
      <c r="E65" s="284"/>
      <c r="F65" s="1051" t="s">
        <v>847</v>
      </c>
      <c r="G65" s="1051"/>
      <c r="H65" s="123"/>
      <c r="I65" s="123"/>
      <c r="J65" s="123"/>
      <c r="K65" s="123"/>
      <c r="L65" s="123"/>
      <c r="M65" s="131"/>
    </row>
    <row r="66" spans="1:13" s="125" customFormat="1" ht="22.5" customHeight="1">
      <c r="B66" s="282"/>
      <c r="C66" s="283"/>
      <c r="D66" s="284"/>
      <c r="E66" s="284"/>
      <c r="F66" s="284"/>
      <c r="G66" s="269"/>
      <c r="H66" s="123"/>
      <c r="I66" s="123"/>
      <c r="J66" s="123"/>
      <c r="K66" s="123"/>
      <c r="L66" s="123"/>
      <c r="M66" s="131"/>
    </row>
    <row r="67" spans="1:13" s="125" customFormat="1" ht="12.75" customHeight="1" thickBot="1">
      <c r="B67" s="258"/>
      <c r="C67" s="259"/>
      <c r="D67" s="240"/>
      <c r="E67" s="259"/>
      <c r="F67" s="259"/>
      <c r="G67" s="260"/>
      <c r="H67" s="123"/>
      <c r="I67" s="123"/>
      <c r="J67" s="123"/>
      <c r="K67" s="123"/>
      <c r="L67" s="123"/>
      <c r="M67" s="131"/>
    </row>
    <row r="68" spans="1:13" ht="14.4">
      <c r="A68" s="122"/>
      <c r="B68" s="122"/>
    </row>
    <row r="69" spans="1:13" ht="14.4">
      <c r="A69" s="122"/>
      <c r="B69" s="122"/>
    </row>
    <row r="70" spans="1:13">
      <c r="A70" s="261"/>
      <c r="B70" s="261"/>
    </row>
    <row r="71" spans="1:13" ht="14.4">
      <c r="A71" s="122"/>
      <c r="B71" s="122"/>
    </row>
    <row r="72" spans="1:13" ht="14.4">
      <c r="A72" s="122"/>
      <c r="B72" s="122"/>
    </row>
    <row r="73" spans="1:13" ht="14.4">
      <c r="A73" s="122"/>
      <c r="B73" s="122"/>
    </row>
    <row r="74" spans="1:13" ht="14.4">
      <c r="A74" s="122"/>
      <c r="B74" s="122"/>
    </row>
    <row r="75" spans="1:13" ht="14.4">
      <c r="A75" s="122"/>
      <c r="B75" s="122"/>
    </row>
    <row r="76" spans="1:13" ht="14.4">
      <c r="A76" s="122"/>
      <c r="B76" s="122"/>
    </row>
    <row r="77" spans="1:13" ht="14.4">
      <c r="A77" s="122"/>
      <c r="B77" s="122"/>
    </row>
    <row r="78" spans="1:13" ht="14.4">
      <c r="A78" s="122"/>
      <c r="B78" s="122"/>
    </row>
    <row r="79" spans="1:13" ht="14.4">
      <c r="A79" s="122"/>
      <c r="B79" s="122"/>
    </row>
    <row r="80" spans="1:13" ht="14.4">
      <c r="A80" s="122"/>
      <c r="B80" s="122"/>
    </row>
  </sheetData>
  <mergeCells count="11">
    <mergeCell ref="F65:G65"/>
    <mergeCell ref="B52:C52"/>
    <mergeCell ref="D52:G52"/>
    <mergeCell ref="C54:G54"/>
    <mergeCell ref="F59:G59"/>
    <mergeCell ref="B1:G1"/>
    <mergeCell ref="C37:D37"/>
    <mergeCell ref="C46:E46"/>
    <mergeCell ref="B49:E49"/>
    <mergeCell ref="B51:C51"/>
    <mergeCell ref="D51:G51"/>
  </mergeCells>
  <pageMargins left="0.5" right="0.45" top="0.75" bottom="0.4" header="0.3" footer="0.3"/>
  <pageSetup scale="57"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4"/>
  <cols>
    <col min="1" max="1" width="7.6640625" customWidth="1"/>
    <col min="2" max="2" width="30" customWidth="1"/>
    <col min="3" max="5" width="17.5546875" customWidth="1"/>
    <col min="6" max="6" width="26.44140625" style="74" customWidth="1"/>
    <col min="7" max="7" width="14.6640625" style="336" customWidth="1"/>
    <col min="8" max="8" width="11.109375" style="74" customWidth="1"/>
    <col min="9" max="9" width="14.6640625" style="336" customWidth="1"/>
  </cols>
  <sheetData>
    <row r="2" spans="1:9">
      <c r="A2" s="415" t="s">
        <v>2</v>
      </c>
    </row>
    <row r="3" spans="1:9">
      <c r="A3" s="415" t="s">
        <v>4</v>
      </c>
      <c r="F3" s="562"/>
    </row>
    <row r="4" spans="1:9">
      <c r="A4" s="415" t="s">
        <v>184</v>
      </c>
      <c r="F4" s="595"/>
    </row>
    <row r="5" spans="1:9">
      <c r="A5" s="415" t="s">
        <v>495</v>
      </c>
      <c r="F5" s="595"/>
    </row>
    <row r="6" spans="1:9">
      <c r="A6" s="596"/>
      <c r="B6" s="597"/>
      <c r="C6" s="597"/>
      <c r="D6" s="597"/>
      <c r="E6" s="597"/>
      <c r="F6" s="118"/>
    </row>
    <row r="8" spans="1:9" s="601" customFormat="1" ht="28.8">
      <c r="A8" s="598" t="s">
        <v>496</v>
      </c>
      <c r="B8" s="599" t="s">
        <v>497</v>
      </c>
      <c r="C8" s="600" t="s">
        <v>142</v>
      </c>
      <c r="D8" s="600" t="s">
        <v>165</v>
      </c>
      <c r="E8" s="600" t="s">
        <v>144</v>
      </c>
      <c r="F8" s="599" t="s">
        <v>498</v>
      </c>
      <c r="H8" s="345"/>
      <c r="I8" s="345"/>
    </row>
    <row r="9" spans="1:9" ht="13.95" customHeight="1">
      <c r="A9" s="602">
        <v>1</v>
      </c>
      <c r="B9" s="603" t="s">
        <v>499</v>
      </c>
      <c r="C9" s="604">
        <v>218423.22</v>
      </c>
      <c r="D9" s="604">
        <f>E9-C9</f>
        <v>0</v>
      </c>
      <c r="E9" s="604">
        <v>218423.22</v>
      </c>
      <c r="F9" s="605"/>
      <c r="G9" s="601"/>
    </row>
    <row r="10" spans="1:9" ht="13.95" customHeight="1">
      <c r="A10" s="602">
        <v>2</v>
      </c>
      <c r="B10" s="603" t="s">
        <v>500</v>
      </c>
      <c r="C10" s="606">
        <v>162500</v>
      </c>
      <c r="D10" s="604">
        <f t="shared" ref="D10:D15" si="0">E10-C10</f>
        <v>0</v>
      </c>
      <c r="E10" s="604">
        <v>162500</v>
      </c>
      <c r="F10" s="605"/>
      <c r="G10" s="601"/>
    </row>
    <row r="11" spans="1:9" ht="13.95" customHeight="1">
      <c r="A11" s="602">
        <v>3</v>
      </c>
      <c r="B11" s="603" t="s">
        <v>501</v>
      </c>
      <c r="C11" s="604">
        <v>278110.34999999998</v>
      </c>
      <c r="D11" s="604">
        <f t="shared" si="0"/>
        <v>0</v>
      </c>
      <c r="E11" s="604">
        <v>278110.34999999998</v>
      </c>
      <c r="F11" s="605" t="s">
        <v>502</v>
      </c>
      <c r="G11" s="601"/>
    </row>
    <row r="12" spans="1:9" ht="13.95" customHeight="1">
      <c r="A12" s="602"/>
      <c r="B12" s="603"/>
      <c r="C12" s="600"/>
      <c r="D12" s="604"/>
      <c r="E12" s="600">
        <f>SUM(E9:E11)</f>
        <v>659033.56999999995</v>
      </c>
      <c r="F12" s="605"/>
      <c r="G12" s="601"/>
    </row>
    <row r="13" spans="1:9" ht="13.95" customHeight="1">
      <c r="A13" s="602">
        <v>4</v>
      </c>
      <c r="B13" s="603" t="s">
        <v>503</v>
      </c>
      <c r="C13" s="604">
        <v>110160</v>
      </c>
      <c r="D13" s="604">
        <f t="shared" si="0"/>
        <v>0</v>
      </c>
      <c r="E13" s="604">
        <v>110160</v>
      </c>
      <c r="F13" s="605"/>
      <c r="G13" s="601"/>
    </row>
    <row r="14" spans="1:9" ht="13.95" customHeight="1">
      <c r="A14" s="602">
        <v>5</v>
      </c>
      <c r="B14" s="603" t="s">
        <v>504</v>
      </c>
      <c r="C14" s="604">
        <v>51944.800000000003</v>
      </c>
      <c r="D14" s="604">
        <f t="shared" si="0"/>
        <v>0</v>
      </c>
      <c r="E14" s="604">
        <v>51944.800000000003</v>
      </c>
      <c r="F14" s="605"/>
      <c r="G14" s="601"/>
    </row>
    <row r="15" spans="1:9" s="100" customFormat="1">
      <c r="A15" s="1179" t="s">
        <v>505</v>
      </c>
      <c r="B15" s="1179"/>
      <c r="C15" s="600">
        <f>SUM(C9:C14)</f>
        <v>821138.37</v>
      </c>
      <c r="D15" s="600">
        <f t="shared" si="0"/>
        <v>0</v>
      </c>
      <c r="E15" s="600">
        <f>SUM(E12:E14)</f>
        <v>821138.37</v>
      </c>
      <c r="F15" s="607"/>
      <c r="G15" s="601"/>
      <c r="H15" s="563"/>
      <c r="I15" s="345"/>
    </row>
    <row r="16" spans="1:9">
      <c r="G16" s="601"/>
    </row>
    <row r="17" spans="7:7">
      <c r="G17" s="601"/>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89"/>
  <sheetViews>
    <sheetView view="pageBreakPreview" topLeftCell="A31" zoomScale="85" zoomScaleNormal="70" zoomScaleSheetLayoutView="85" workbookViewId="0">
      <selection activeCell="G37" sqref="G37"/>
    </sheetView>
  </sheetViews>
  <sheetFormatPr defaultRowHeight="14.4"/>
  <cols>
    <col min="1" max="1" width="1.44140625" customWidth="1"/>
    <col min="2" max="2" width="42.44140625" customWidth="1"/>
    <col min="3" max="3" width="16" style="74" customWidth="1"/>
    <col min="4" max="4" width="16" style="74" hidden="1" customWidth="1"/>
    <col min="5" max="5" width="15.109375" style="74" customWidth="1"/>
    <col min="6" max="6" width="16" style="74" customWidth="1"/>
    <col min="7" max="7" width="15" customWidth="1"/>
    <col min="8" max="8" width="21.109375" customWidth="1"/>
    <col min="9" max="9" width="15.109375" customWidth="1"/>
    <col min="10" max="10" width="7.6640625" customWidth="1"/>
    <col min="11" max="11" width="0.88671875" customWidth="1"/>
    <col min="12" max="12" width="16.44140625" style="74" customWidth="1"/>
    <col min="13" max="13" width="16" style="74" hidden="1" customWidth="1"/>
    <col min="14" max="14" width="15" customWidth="1"/>
    <col min="15" max="15" width="12.88671875" bestFit="1" customWidth="1"/>
    <col min="16" max="16" width="15.33203125" style="781" hidden="1" customWidth="1"/>
    <col min="17" max="17" width="16.6640625" style="782" hidden="1" customWidth="1"/>
    <col min="18" max="18" width="13.6640625" style="782" hidden="1" customWidth="1"/>
    <col min="19" max="21" width="18.44140625" style="783" hidden="1" customWidth="1"/>
    <col min="22" max="22" width="13.6640625" style="782" hidden="1" customWidth="1"/>
    <col min="23" max="24" width="18.6640625" hidden="1" customWidth="1"/>
    <col min="25" max="25" width="15" hidden="1" customWidth="1"/>
    <col min="26" max="26" width="8.88671875" hidden="1" customWidth="1"/>
  </cols>
  <sheetData>
    <row r="1" spans="2:26" ht="22.8">
      <c r="B1" s="1059" t="s">
        <v>0</v>
      </c>
      <c r="C1" s="1059"/>
      <c r="D1" s="1059"/>
      <c r="E1" s="1059"/>
      <c r="F1" s="1059"/>
      <c r="G1" s="1059"/>
      <c r="H1" s="1059"/>
      <c r="I1" s="1059"/>
      <c r="J1" s="1"/>
      <c r="L1"/>
      <c r="M1"/>
    </row>
    <row r="2" spans="2:26" ht="17.399999999999999">
      <c r="B2" s="1060" t="s">
        <v>1</v>
      </c>
      <c r="C2" s="1060"/>
      <c r="D2" s="1060"/>
      <c r="E2" s="1060"/>
      <c r="F2" s="1060"/>
      <c r="G2" s="1060"/>
      <c r="H2" s="1060"/>
      <c r="I2" s="1060"/>
      <c r="J2" s="3"/>
      <c r="L2"/>
      <c r="M2"/>
    </row>
    <row r="3" spans="2:26" ht="15.6" thickBot="1">
      <c r="B3" s="4"/>
      <c r="C3" s="4"/>
      <c r="D3" s="4"/>
      <c r="E3" s="5"/>
      <c r="F3" s="5"/>
      <c r="G3" s="6"/>
      <c r="H3" s="7"/>
      <c r="I3" s="7"/>
      <c r="J3" s="8"/>
      <c r="L3"/>
      <c r="M3"/>
    </row>
    <row r="4" spans="2:26" ht="7.95" customHeight="1">
      <c r="B4" s="9"/>
      <c r="C4" s="10"/>
      <c r="D4" s="10"/>
      <c r="E4" s="11"/>
      <c r="F4" s="12"/>
      <c r="G4" s="13"/>
      <c r="H4" s="13"/>
      <c r="I4" s="14"/>
      <c r="J4" s="15"/>
      <c r="L4" s="16"/>
      <c r="M4" s="16"/>
    </row>
    <row r="5" spans="2:26" ht="15.6">
      <c r="B5" s="17" t="s">
        <v>2</v>
      </c>
      <c r="C5" s="18"/>
      <c r="D5" s="18"/>
      <c r="E5" s="18"/>
      <c r="F5" s="19"/>
      <c r="G5" s="1061" t="s">
        <v>3</v>
      </c>
      <c r="H5" s="1061"/>
      <c r="I5" s="20">
        <f ca="1">+'KCE-PC 11 INT'!G3</f>
        <v>44949</v>
      </c>
      <c r="J5" s="21"/>
      <c r="L5" s="22"/>
      <c r="M5" s="22"/>
    </row>
    <row r="6" spans="2:26" ht="7.95" customHeight="1">
      <c r="B6" s="17"/>
      <c r="C6" s="18"/>
      <c r="D6" s="18"/>
      <c r="E6" s="18"/>
      <c r="F6" s="19"/>
      <c r="G6" s="23"/>
      <c r="I6" s="24"/>
      <c r="J6" s="21"/>
      <c r="L6" s="22"/>
      <c r="M6" s="22"/>
    </row>
    <row r="7" spans="2:26" ht="15.6">
      <c r="B7" s="17" t="s">
        <v>4</v>
      </c>
      <c r="C7" s="18"/>
      <c r="D7" s="18"/>
      <c r="E7" s="18"/>
      <c r="F7" s="19"/>
      <c r="G7" s="1061" t="s">
        <v>5</v>
      </c>
      <c r="H7" s="1061"/>
      <c r="I7" s="25" t="str">
        <f>+'KCE-PC 11 INT'!G2</f>
        <v>KCE-11</v>
      </c>
      <c r="J7" s="21"/>
      <c r="L7" s="26"/>
      <c r="M7" s="26" t="s">
        <v>6</v>
      </c>
    </row>
    <row r="8" spans="2:26" ht="6" customHeight="1">
      <c r="B8" s="17"/>
      <c r="C8" s="18"/>
      <c r="D8" s="18"/>
      <c r="E8" s="18"/>
      <c r="F8" s="19"/>
      <c r="G8" s="23"/>
      <c r="I8" s="24"/>
      <c r="J8" s="21"/>
      <c r="L8" s="22"/>
      <c r="M8" s="22"/>
    </row>
    <row r="9" spans="2:26" ht="15.6">
      <c r="B9" s="17" t="s">
        <v>7</v>
      </c>
      <c r="C9" s="18"/>
      <c r="D9" s="18"/>
      <c r="E9" s="18"/>
      <c r="F9" s="19"/>
      <c r="G9" s="1061" t="s">
        <v>8</v>
      </c>
      <c r="H9" s="1061"/>
      <c r="I9" s="27" t="s">
        <v>9</v>
      </c>
      <c r="J9" s="21"/>
      <c r="L9" s="22"/>
      <c r="M9" s="22"/>
      <c r="P9"/>
      <c r="Q9" s="805" t="s">
        <v>148</v>
      </c>
      <c r="R9" s="779" t="s">
        <v>798</v>
      </c>
      <c r="S9" s="779" t="s">
        <v>150</v>
      </c>
      <c r="T9" s="806" t="s">
        <v>799</v>
      </c>
      <c r="U9" s="806" t="s">
        <v>802</v>
      </c>
      <c r="V9" s="806" t="s">
        <v>805</v>
      </c>
      <c r="W9" s="779" t="s">
        <v>800</v>
      </c>
      <c r="X9" s="779" t="s">
        <v>836</v>
      </c>
    </row>
    <row r="10" spans="2:26" ht="5.4" customHeight="1" thickBot="1">
      <c r="B10" s="28"/>
      <c r="C10" s="29"/>
      <c r="D10" s="29"/>
      <c r="E10" s="30"/>
      <c r="F10" s="31"/>
      <c r="G10" s="7"/>
      <c r="H10" s="7"/>
      <c r="I10" s="32"/>
      <c r="J10" s="21"/>
      <c r="L10" s="33"/>
      <c r="M10" s="33"/>
      <c r="P10"/>
      <c r="Q10" s="794"/>
      <c r="R10" s="795"/>
      <c r="S10" s="795"/>
      <c r="T10" s="796"/>
      <c r="U10" s="796"/>
      <c r="V10" s="796"/>
      <c r="W10" s="795"/>
      <c r="X10" s="795"/>
      <c r="Y10" s="789"/>
      <c r="Z10" s="38"/>
    </row>
    <row r="11" spans="2:26" ht="14.4" customHeight="1">
      <c r="B11" s="1062" t="s">
        <v>10</v>
      </c>
      <c r="C11" s="1064" t="s">
        <v>11</v>
      </c>
      <c r="D11" s="1064" t="s">
        <v>12</v>
      </c>
      <c r="E11" s="1066" t="s">
        <v>13</v>
      </c>
      <c r="F11" s="1068" t="s">
        <v>14</v>
      </c>
      <c r="G11" s="1054" t="s">
        <v>15</v>
      </c>
      <c r="H11" s="1055"/>
      <c r="I11" s="1055"/>
      <c r="J11" s="1056"/>
      <c r="L11" s="1057" t="s">
        <v>16</v>
      </c>
      <c r="M11" s="1057" t="s">
        <v>17</v>
      </c>
      <c r="P11" t="s">
        <v>806</v>
      </c>
      <c r="Q11" s="794"/>
      <c r="R11" s="795"/>
      <c r="S11" s="795"/>
      <c r="T11" s="796"/>
      <c r="U11" s="796"/>
      <c r="V11" s="796">
        <f>+'Staff Cost Summary'!E8</f>
        <v>9548987.6218144167</v>
      </c>
      <c r="W11" s="795"/>
      <c r="X11" s="795"/>
      <c r="Y11" s="804">
        <f>SUM(Q11:W11)</f>
        <v>9548987.6218144167</v>
      </c>
      <c r="Z11" s="790" t="b">
        <f>Y11=G15</f>
        <v>1</v>
      </c>
    </row>
    <row r="12" spans="2:26" s="38" customFormat="1" ht="28.95" customHeight="1" thickBot="1">
      <c r="B12" s="1063"/>
      <c r="C12" s="1065"/>
      <c r="D12" s="1065"/>
      <c r="E12" s="1067"/>
      <c r="F12" s="1069"/>
      <c r="G12" s="34" t="s">
        <v>18</v>
      </c>
      <c r="H12" s="35" t="s">
        <v>19</v>
      </c>
      <c r="I12" s="36" t="s">
        <v>20</v>
      </c>
      <c r="J12" s="37" t="s">
        <v>21</v>
      </c>
      <c r="L12" s="1058"/>
      <c r="M12" s="1058"/>
      <c r="P12" s="790" t="s">
        <v>801</v>
      </c>
      <c r="Q12" s="797">
        <f>+'Annexure -3 Material Summary'!E14</f>
        <v>20920.010000000002</v>
      </c>
      <c r="R12" s="797">
        <f>+'Annexure-4 Labour Cost Summary'!H19</f>
        <v>8139012.9799999986</v>
      </c>
      <c r="S12" s="798"/>
      <c r="T12" s="797">
        <f>'Annexure 6-SC Summary '!D91</f>
        <v>830285</v>
      </c>
      <c r="U12" s="797"/>
      <c r="V12" s="797"/>
      <c r="W12" s="798"/>
      <c r="X12" s="798"/>
      <c r="Y12" s="804">
        <f>SUM(Q12:W12)</f>
        <v>8990217.9899999984</v>
      </c>
      <c r="Z12" s="790" t="b">
        <f>Y12=G24</f>
        <v>1</v>
      </c>
    </row>
    <row r="13" spans="2:26">
      <c r="B13" s="39"/>
      <c r="C13" s="40"/>
      <c r="D13" s="40"/>
      <c r="E13" s="41"/>
      <c r="F13" s="42"/>
      <c r="G13" s="43"/>
      <c r="H13" s="44"/>
      <c r="I13" s="45"/>
      <c r="J13" s="46"/>
      <c r="L13" s="47"/>
      <c r="M13" s="47"/>
      <c r="P13" t="s">
        <v>803</v>
      </c>
      <c r="Q13" s="797">
        <f>+'Annexure -3 Material Summary'!E11</f>
        <v>5125705.57</v>
      </c>
      <c r="R13" s="795"/>
      <c r="S13" s="799">
        <f>+'Annexure-5 Plant Summary'!F10</f>
        <v>2315622.34</v>
      </c>
      <c r="T13" s="796">
        <f>+'Annexure 6-SC Summary '!D89</f>
        <v>5173392.0100000007</v>
      </c>
      <c r="U13" s="796">
        <f>+'Committed Orders - Dec 22'!H5</f>
        <v>371666.73000000004</v>
      </c>
      <c r="V13" s="796"/>
      <c r="W13" s="799">
        <f>+'Annexure 7-Overhead Summary'!E10</f>
        <v>1121275.8500000001</v>
      </c>
      <c r="X13" s="799">
        <f>+Q16+S16</f>
        <v>659033.56999999995</v>
      </c>
      <c r="Y13" s="804">
        <f>SUM(Q13:X13)</f>
        <v>14766696.070000002</v>
      </c>
      <c r="Z13" s="790" t="b">
        <f>Y13=G17</f>
        <v>0</v>
      </c>
    </row>
    <row r="14" spans="2:26">
      <c r="B14" s="48" t="s">
        <v>22</v>
      </c>
      <c r="C14" s="40"/>
      <c r="D14" s="49"/>
      <c r="E14" s="41"/>
      <c r="F14" s="42"/>
      <c r="G14" s="43"/>
      <c r="H14" s="44"/>
      <c r="I14" s="45"/>
      <c r="J14" s="46"/>
      <c r="L14" s="47"/>
      <c r="M14" s="47"/>
      <c r="P14" t="s">
        <v>804</v>
      </c>
      <c r="Q14" s="797">
        <f>+'Annexure -3 Material Summary'!E12</f>
        <v>2178657.5099999998</v>
      </c>
      <c r="R14" s="795"/>
      <c r="S14" s="795">
        <f>+'Annexure-5 Plant Summary'!F12</f>
        <v>0</v>
      </c>
      <c r="T14" s="796">
        <f>+'Annexure 6-SC Summary '!D90</f>
        <v>5953001.8123809509</v>
      </c>
      <c r="U14" s="796">
        <f>+'Committed Orders - Dec 22'!H6</f>
        <v>473591.41000000003</v>
      </c>
      <c r="V14" s="796"/>
      <c r="W14" s="795"/>
      <c r="X14" s="795"/>
      <c r="Y14" s="804">
        <f>SUM(Q14:W14)</f>
        <v>8605250.7323809508</v>
      </c>
      <c r="Z14" s="790" t="b">
        <f>Y14=G23</f>
        <v>1</v>
      </c>
    </row>
    <row r="15" spans="2:26">
      <c r="B15" s="39" t="s">
        <v>23</v>
      </c>
      <c r="C15" s="40">
        <v>9449750</v>
      </c>
      <c r="D15" s="49">
        <v>9449750</v>
      </c>
      <c r="E15" s="41">
        <v>8249552.4399962351</v>
      </c>
      <c r="F15" s="42">
        <f>+I15-E15</f>
        <v>1299435.1818181816</v>
      </c>
      <c r="G15" s="995">
        <f>+'Staff Cost Summary'!E8</f>
        <v>9548987.6218144167</v>
      </c>
      <c r="H15" s="52"/>
      <c r="I15" s="50">
        <f>H15+G15</f>
        <v>9548987.6218144167</v>
      </c>
      <c r="J15" s="51">
        <f>I15/C15</f>
        <v>1.0105016134621991</v>
      </c>
      <c r="L15" s="47"/>
      <c r="M15" s="47">
        <v>1227292.55</v>
      </c>
      <c r="P15" t="s">
        <v>799</v>
      </c>
      <c r="Q15" s="797"/>
      <c r="R15" s="795"/>
      <c r="S15" s="795"/>
      <c r="T15" s="796">
        <f>SUM('Annexure 6-SC Summary '!D95:D102)</f>
        <v>31640521.631040227</v>
      </c>
      <c r="U15" s="796">
        <f>+'Committed Orders - Dec 22'!H7+'Committed Orders - Dec 22'!H8</f>
        <v>831086.1</v>
      </c>
      <c r="V15" s="796"/>
      <c r="W15" s="795"/>
      <c r="X15" s="795"/>
      <c r="Y15" s="804">
        <f>SUM(Q15:W15)</f>
        <v>32471607.731040228</v>
      </c>
      <c r="Z15" s="790" t="b">
        <f>Y15=G52</f>
        <v>1</v>
      </c>
    </row>
    <row r="16" spans="2:26">
      <c r="B16" s="39" t="s">
        <v>24</v>
      </c>
      <c r="C16" s="40">
        <v>10059900</v>
      </c>
      <c r="D16" s="49">
        <v>10059900</v>
      </c>
      <c r="E16" s="41">
        <v>7474618.4055483872</v>
      </c>
      <c r="F16" s="42">
        <f>+I16-E16</f>
        <v>1113659.7716129022</v>
      </c>
      <c r="G16" s="43"/>
      <c r="H16" s="996">
        <f>'KMEP -IPC'!L12</f>
        <v>8588278.1771612894</v>
      </c>
      <c r="I16" s="50">
        <f>H16+G16</f>
        <v>8588278.1771612894</v>
      </c>
      <c r="J16" s="51">
        <f>I16/C16</f>
        <v>0.85371407043422787</v>
      </c>
      <c r="L16" s="47"/>
      <c r="M16" s="47">
        <v>1138806.26</v>
      </c>
      <c r="P16" t="s">
        <v>836</v>
      </c>
      <c r="Q16" s="800">
        <f>+'Annexure -3 Material Summary'!E13</f>
        <v>218423.22</v>
      </c>
      <c r="R16" s="801"/>
      <c r="S16" s="802">
        <f>+'Annexure-5 Plant Summary'!F11</f>
        <v>440610.35</v>
      </c>
      <c r="T16" s="802"/>
      <c r="U16" s="802"/>
      <c r="V16" s="802"/>
      <c r="W16" s="801"/>
      <c r="X16" s="801"/>
    </row>
    <row r="17" spans="2:24" ht="15" thickBot="1">
      <c r="B17" s="39" t="s">
        <v>25</v>
      </c>
      <c r="C17" s="49">
        <v>4000000</v>
      </c>
      <c r="D17" s="49">
        <v>8707572.4499999993</v>
      </c>
      <c r="E17" s="41">
        <v>12632018.483102389</v>
      </c>
      <c r="F17" s="42">
        <f>+I17-E17</f>
        <v>2027756.6678499952</v>
      </c>
      <c r="G17" s="997">
        <f>+'Annexure 6-SC Summary '!D89+'Annexure -3 Material Summary'!E11+'Annexure 8-Committed Orders'!F10+'Annexure -3 Material Summary'!E13+'Annexure -3 Material Summary'!E15+'Annexure 7-Overhead Summary'!E12+'Annexure-5 Plant Summary'!F14</f>
        <v>14659775.150952384</v>
      </c>
      <c r="H17" s="52"/>
      <c r="I17" s="53">
        <f>H17+G17</f>
        <v>14659775.150952384</v>
      </c>
      <c r="J17" s="54">
        <f>I17/C17</f>
        <v>3.6649437877380961</v>
      </c>
      <c r="L17" s="47" t="s">
        <v>842</v>
      </c>
      <c r="M17" s="47">
        <v>1410311.36</v>
      </c>
      <c r="P17" s="55"/>
      <c r="Q17" s="791">
        <f>SUM(Q12:Q16)</f>
        <v>7543706.3099999996</v>
      </c>
      <c r="R17" s="792">
        <f>SUM(R12:R16)</f>
        <v>8139012.9799999986</v>
      </c>
      <c r="S17" s="792">
        <f t="shared" ref="S17:X17" si="0">SUM(S12:S16)</f>
        <v>2756232.69</v>
      </c>
      <c r="T17" s="792">
        <f t="shared" si="0"/>
        <v>43597200.453421175</v>
      </c>
      <c r="U17" s="792">
        <f t="shared" si="0"/>
        <v>1676344.2400000002</v>
      </c>
      <c r="V17" s="792">
        <f>SUM(V11:V16)</f>
        <v>9548987.6218144167</v>
      </c>
      <c r="W17" s="792">
        <f t="shared" si="0"/>
        <v>1121275.8500000001</v>
      </c>
      <c r="X17" s="792">
        <f t="shared" si="0"/>
        <v>659033.56999999995</v>
      </c>
    </row>
    <row r="18" spans="2:24" ht="15" thickTop="1">
      <c r="B18" s="56" t="s">
        <v>26</v>
      </c>
      <c r="C18" s="57">
        <v>1000000</v>
      </c>
      <c r="D18" s="58">
        <v>1000000</v>
      </c>
      <c r="E18" s="59">
        <v>1359330.28</v>
      </c>
      <c r="F18" s="60">
        <f>I18-E18</f>
        <v>128007.65999999992</v>
      </c>
      <c r="G18" s="61"/>
      <c r="H18" s="998">
        <f>'KMEP -IPC'!L13</f>
        <v>1487337.94</v>
      </c>
      <c r="I18" s="62">
        <f>H18+G18</f>
        <v>1487337.94</v>
      </c>
      <c r="J18" s="63">
        <f>I18/C18</f>
        <v>1.48733794</v>
      </c>
      <c r="L18" s="64"/>
      <c r="M18" s="64">
        <v>321088.26</v>
      </c>
      <c r="P18"/>
      <c r="Q18" s="784" t="b">
        <f>'Annexure -3 Material Summary'!E16=Q17</f>
        <v>0</v>
      </c>
      <c r="R18" s="782" t="b">
        <f>'Annexure-4 Labour Cost Summary'!H19=R17</f>
        <v>1</v>
      </c>
      <c r="S18" s="782" t="b">
        <f>'Annexure-5 Plant Summary'!F14=S17</f>
        <v>1</v>
      </c>
      <c r="T18" s="783" t="b">
        <f>'Annexure 6-SC Summary '!D103=T17</f>
        <v>1</v>
      </c>
      <c r="U18" s="783" t="b">
        <f>'Committed Orders - Dec 22'!D59=U17</f>
        <v>1</v>
      </c>
      <c r="V18" s="783" t="b">
        <f>'Staff Cost Summary'!E8=V17</f>
        <v>1</v>
      </c>
      <c r="W18" s="782" t="b">
        <f>'Annexure 7-Overhead Summary'!E12=W17</f>
        <v>0</v>
      </c>
      <c r="X18" s="782"/>
    </row>
    <row r="19" spans="2:24">
      <c r="B19" s="65" t="s">
        <v>28</v>
      </c>
      <c r="C19" s="66">
        <f>SUM(C15:C18)</f>
        <v>24509650</v>
      </c>
      <c r="D19" s="67">
        <v>29217222.449999996</v>
      </c>
      <c r="E19" s="68">
        <f>SUM(E15:E18)</f>
        <v>29715519.608647011</v>
      </c>
      <c r="F19" s="69">
        <f>+I19-E19</f>
        <v>4568859.2812810764</v>
      </c>
      <c r="G19" s="70">
        <f>SUM(G15:G18)</f>
        <v>24208762.772766799</v>
      </c>
      <c r="H19" s="71">
        <f>SUM(H15:H18)</f>
        <v>10075616.117161289</v>
      </c>
      <c r="I19" s="72">
        <f>SUM(I15:I18)</f>
        <v>34284378.889928088</v>
      </c>
      <c r="J19" s="73">
        <f>I19/C19</f>
        <v>1.3988114432449295</v>
      </c>
      <c r="L19" s="47"/>
      <c r="M19" s="47">
        <f>SUM(M15:M18)</f>
        <v>4097498.4299999997</v>
      </c>
      <c r="N19" s="74">
        <f>G19+H19</f>
        <v>34284378.889928088</v>
      </c>
      <c r="O19" t="b">
        <f>N19=I19</f>
        <v>1</v>
      </c>
      <c r="Q19" s="781"/>
      <c r="R19" s="785"/>
      <c r="S19" s="782"/>
      <c r="V19" s="783"/>
      <c r="W19" s="782"/>
      <c r="X19" s="782"/>
    </row>
    <row r="20" spans="2:24">
      <c r="B20" s="65"/>
      <c r="C20" s="76"/>
      <c r="D20" s="67"/>
      <c r="E20" s="68"/>
      <c r="F20" s="69"/>
      <c r="G20" s="43"/>
      <c r="H20" s="44"/>
      <c r="I20" s="45"/>
      <c r="J20" s="46"/>
      <c r="L20" s="77"/>
      <c r="M20" s="77"/>
      <c r="N20" s="74"/>
      <c r="P20"/>
      <c r="Q20" s="784"/>
      <c r="S20" s="782" t="s">
        <v>807</v>
      </c>
      <c r="T20" s="783">
        <f>+'Annexure 6-SC Summary '!AB85+G69</f>
        <v>7654725.883727802</v>
      </c>
      <c r="V20" s="783"/>
      <c r="W20" s="782"/>
      <c r="X20" s="782"/>
    </row>
    <row r="21" spans="2:24" ht="15" thickBot="1">
      <c r="B21" s="78" t="s">
        <v>29</v>
      </c>
      <c r="C21" s="79"/>
      <c r="D21" s="80"/>
      <c r="E21" s="81"/>
      <c r="F21" s="82"/>
      <c r="G21" s="83"/>
      <c r="H21" s="84"/>
      <c r="I21" s="85"/>
      <c r="J21" s="86"/>
      <c r="L21" s="87"/>
      <c r="M21" s="47"/>
      <c r="N21" s="74"/>
      <c r="P21"/>
      <c r="Q21" s="784"/>
      <c r="S21" s="782" t="s">
        <v>808</v>
      </c>
      <c r="T21" s="803">
        <f>+T20+T17</f>
        <v>51251926.337148979</v>
      </c>
      <c r="V21" s="783"/>
      <c r="W21" s="782"/>
      <c r="X21" s="782"/>
    </row>
    <row r="22" spans="2:24" ht="15" thickTop="1">
      <c r="B22" s="65" t="s">
        <v>30</v>
      </c>
      <c r="C22" s="88"/>
      <c r="D22" s="49"/>
      <c r="E22" s="41"/>
      <c r="F22" s="42"/>
      <c r="G22" s="43"/>
      <c r="H22" s="44"/>
      <c r="I22" s="45"/>
      <c r="J22" s="46"/>
      <c r="L22" s="47"/>
      <c r="M22" s="47"/>
      <c r="N22" s="74"/>
      <c r="P22"/>
      <c r="Q22" s="784"/>
      <c r="S22" s="782"/>
      <c r="V22" s="783"/>
      <c r="W22" s="782"/>
      <c r="X22" s="782"/>
    </row>
    <row r="23" spans="2:24">
      <c r="B23" s="39" t="s">
        <v>31</v>
      </c>
      <c r="C23" s="88">
        <v>8300000</v>
      </c>
      <c r="D23" s="49">
        <v>15197560.09</v>
      </c>
      <c r="E23" s="41">
        <v>7295870.5500688646</v>
      </c>
      <c r="F23" s="42">
        <f>+I23-E23</f>
        <v>1309380.1823120862</v>
      </c>
      <c r="G23" s="995">
        <f>+'Annexure 6-SC Summary '!D90+'Annexure -3 Material Summary'!E12+'Annexure-5 Plant Summary'!F12+'Annexure 8-Committed Orders'!F11</f>
        <v>8605250.7323809508</v>
      </c>
      <c r="H23" s="44"/>
      <c r="I23" s="50">
        <f>H23+G23</f>
        <v>8605250.7323809508</v>
      </c>
      <c r="J23" s="51">
        <f>I23/C23</f>
        <v>1.0367771966724038</v>
      </c>
      <c r="L23" s="47" t="s">
        <v>843</v>
      </c>
      <c r="M23" s="47">
        <v>1167096.5</v>
      </c>
      <c r="N23" s="74"/>
      <c r="P23" s="55"/>
      <c r="Q23" s="784"/>
      <c r="S23" s="782" t="s">
        <v>809</v>
      </c>
      <c r="T23" s="793">
        <f>+'Annexure 6-SC Summary '!AD85</f>
        <v>51251926.337148972</v>
      </c>
      <c r="V23" s="783"/>
      <c r="W23" s="782"/>
      <c r="X23" s="782"/>
    </row>
    <row r="24" spans="2:24">
      <c r="B24" s="89" t="s">
        <v>32</v>
      </c>
      <c r="C24" s="90">
        <v>1034790</v>
      </c>
      <c r="D24" s="58">
        <v>1034790</v>
      </c>
      <c r="E24" s="59">
        <v>7391369.3099999996</v>
      </c>
      <c r="F24" s="60">
        <f>+I24-E24</f>
        <v>1598848.6799999988</v>
      </c>
      <c r="G24" s="999">
        <f>'Annexure 6-SC Summary '!D91+'Annexure-4 Labour Cost Summary'!H19+'Annexure -3 Material Summary'!E14</f>
        <v>8990217.9899999984</v>
      </c>
      <c r="H24" s="91"/>
      <c r="I24" s="92">
        <f>H24+G24</f>
        <v>8990217.9899999984</v>
      </c>
      <c r="J24" s="63">
        <f>I24/C24</f>
        <v>8.6879637317716618</v>
      </c>
      <c r="L24" s="64" t="s">
        <v>45</v>
      </c>
      <c r="M24" s="47"/>
      <c r="N24" s="74"/>
      <c r="P24" s="55"/>
      <c r="Q24" s="781"/>
      <c r="S24" s="782"/>
      <c r="V24" s="783"/>
      <c r="W24" s="782"/>
      <c r="X24" s="782"/>
    </row>
    <row r="25" spans="2:24" ht="15" thickBot="1">
      <c r="B25" s="65" t="s">
        <v>33</v>
      </c>
      <c r="C25" s="88"/>
      <c r="D25" s="49"/>
      <c r="E25" s="41"/>
      <c r="F25" s="42"/>
      <c r="G25" s="995"/>
      <c r="H25" s="44"/>
      <c r="I25" s="50"/>
      <c r="J25" s="51"/>
      <c r="L25" s="47"/>
      <c r="M25" s="47"/>
      <c r="N25" s="74"/>
      <c r="P25" s="55"/>
      <c r="Q25" s="781"/>
      <c r="S25" s="782" t="s">
        <v>74</v>
      </c>
      <c r="T25" s="803">
        <f>T23-T21</f>
        <v>0</v>
      </c>
      <c r="V25" s="783"/>
      <c r="W25" s="782"/>
      <c r="X25" s="782"/>
    </row>
    <row r="26" spans="2:24" ht="15" thickTop="1">
      <c r="B26" s="39" t="s">
        <v>34</v>
      </c>
      <c r="C26" s="88">
        <v>22000000</v>
      </c>
      <c r="D26" s="49">
        <v>13860981.780000001</v>
      </c>
      <c r="E26" s="41">
        <v>8334407.1082926914</v>
      </c>
      <c r="F26" s="42">
        <f>I26-E26</f>
        <v>1522383.0894097127</v>
      </c>
      <c r="G26" s="43"/>
      <c r="H26" s="996">
        <f>'KMEP -IPC'!L15-'KMEP -IPC'!L16</f>
        <v>9856790.1977024041</v>
      </c>
      <c r="I26" s="53">
        <f>H26+G26</f>
        <v>9856790.1977024041</v>
      </c>
      <c r="J26" s="51">
        <f>I26/C26</f>
        <v>0.44803591807738202</v>
      </c>
      <c r="L26" s="47"/>
      <c r="M26" s="47">
        <v>2306983.96</v>
      </c>
      <c r="N26" s="74"/>
    </row>
    <row r="27" spans="2:24">
      <c r="B27" s="89" t="s">
        <v>35</v>
      </c>
      <c r="C27" s="88"/>
      <c r="D27" s="49">
        <v>9001291</v>
      </c>
      <c r="E27" s="59">
        <v>12853596.905000001</v>
      </c>
      <c r="F27" s="60">
        <f>I27-E27</f>
        <v>2268453.8299999982</v>
      </c>
      <c r="G27" s="999"/>
      <c r="H27" s="1000">
        <f>'KMEP -IPC'!L16</f>
        <v>15122050.734999999</v>
      </c>
      <c r="I27" s="92">
        <f>H27+G27</f>
        <v>15122050.734999999</v>
      </c>
      <c r="J27" s="63">
        <f>I27/D26</f>
        <v>1.0909797714920593</v>
      </c>
      <c r="L27" s="64"/>
      <c r="M27" s="64">
        <v>448275.51</v>
      </c>
      <c r="N27" s="74"/>
      <c r="P27" s="784"/>
    </row>
    <row r="28" spans="2:24">
      <c r="B28" s="65" t="s">
        <v>36</v>
      </c>
      <c r="C28" s="93">
        <f>SUM(C23:C27)</f>
        <v>31334790</v>
      </c>
      <c r="D28" s="94">
        <v>39094622.870000005</v>
      </c>
      <c r="E28" s="68">
        <f>SUM(E23:E27)</f>
        <v>35875243.873361558</v>
      </c>
      <c r="F28" s="69">
        <f>+I28-E28</f>
        <v>6699065.7817218006</v>
      </c>
      <c r="G28" s="70">
        <f>SUM(G23:G27)</f>
        <v>17595468.722380951</v>
      </c>
      <c r="H28" s="72">
        <f>SUM(H25:H27)</f>
        <v>24978840.932702404</v>
      </c>
      <c r="I28" s="67">
        <f>SUM(I21:I27)</f>
        <v>42574309.655083358</v>
      </c>
      <c r="J28" s="73">
        <f>I28/C28</f>
        <v>1.3586913987642284</v>
      </c>
      <c r="L28" s="47"/>
      <c r="M28" s="47">
        <f>SUM(M23:M27)</f>
        <v>3922355.9699999997</v>
      </c>
      <c r="N28" s="74">
        <f>G28+H28</f>
        <v>42574309.655083358</v>
      </c>
      <c r="O28" t="b">
        <f>N28=I28</f>
        <v>1</v>
      </c>
      <c r="Q28" s="785"/>
    </row>
    <row r="29" spans="2:24">
      <c r="B29" s="39"/>
      <c r="C29" s="40"/>
      <c r="D29" s="40"/>
      <c r="E29" s="41"/>
      <c r="F29" s="42"/>
      <c r="G29" s="95"/>
      <c r="H29" s="49"/>
      <c r="I29" s="49"/>
      <c r="J29" s="46"/>
      <c r="L29" s="47"/>
      <c r="M29" s="47"/>
      <c r="P29" s="784"/>
    </row>
    <row r="30" spans="2:24">
      <c r="B30" s="48" t="s">
        <v>37</v>
      </c>
      <c r="C30" s="40"/>
      <c r="D30" s="40"/>
      <c r="E30" s="41"/>
      <c r="F30" s="42"/>
      <c r="G30" s="95"/>
      <c r="H30" s="49"/>
      <c r="I30" s="49"/>
      <c r="J30" s="46"/>
      <c r="L30" s="47"/>
      <c r="M30" s="47"/>
      <c r="P30" s="784"/>
    </row>
    <row r="31" spans="2:24">
      <c r="B31" s="39" t="s">
        <v>38</v>
      </c>
      <c r="C31" s="40">
        <v>1800000</v>
      </c>
      <c r="D31" s="40">
        <v>811861</v>
      </c>
      <c r="E31" s="41">
        <v>60750</v>
      </c>
      <c r="F31" s="42">
        <f>+I31-E31</f>
        <v>0</v>
      </c>
      <c r="G31" s="1001">
        <v>0</v>
      </c>
      <c r="H31" s="49">
        <f>+'KMEP -IPC'!L28</f>
        <v>60750</v>
      </c>
      <c r="I31" s="49">
        <f>H31+G31</f>
        <v>60750</v>
      </c>
      <c r="J31" s="51">
        <f>I31/C31</f>
        <v>3.3750000000000002E-2</v>
      </c>
      <c r="L31" s="47"/>
      <c r="M31" s="47"/>
    </row>
    <row r="32" spans="2:24">
      <c r="B32" s="39" t="s">
        <v>39</v>
      </c>
      <c r="C32" s="49">
        <v>2300000</v>
      </c>
      <c r="D32" s="96">
        <v>1573369</v>
      </c>
      <c r="E32" s="41">
        <v>215654.4179561343</v>
      </c>
      <c r="F32" s="42">
        <f>+I32-E32</f>
        <v>71859.206512314733</v>
      </c>
      <c r="G32" s="1001">
        <v>0</v>
      </c>
      <c r="H32" s="49">
        <f>+'KMEP -IPC'!L30</f>
        <v>287513.62446844904</v>
      </c>
      <c r="I32" s="49">
        <f>H32+G32</f>
        <v>287513.62446844904</v>
      </c>
      <c r="J32" s="51">
        <f>I32/C32</f>
        <v>0.12500592368193436</v>
      </c>
      <c r="L32" s="47"/>
      <c r="M32" s="47"/>
    </row>
    <row r="33" spans="2:17">
      <c r="B33" s="39" t="s">
        <v>40</v>
      </c>
      <c r="C33" s="49"/>
      <c r="D33" s="96">
        <v>726631</v>
      </c>
      <c r="E33" s="41">
        <v>105770.58690035013</v>
      </c>
      <c r="F33" s="42"/>
      <c r="G33" s="1001"/>
      <c r="H33" s="49">
        <f>+'KMEP -IPC'!L29</f>
        <v>105770.58690035013</v>
      </c>
      <c r="I33" s="49">
        <f>H33+G33</f>
        <v>105770.58690035013</v>
      </c>
      <c r="J33" s="51"/>
      <c r="L33" s="47"/>
      <c r="M33" s="47"/>
    </row>
    <row r="34" spans="2:17">
      <c r="B34" s="39" t="s">
        <v>41</v>
      </c>
      <c r="C34" s="40">
        <v>1000000</v>
      </c>
      <c r="D34" s="49">
        <v>1000000</v>
      </c>
      <c r="E34" s="41">
        <v>195616.76</v>
      </c>
      <c r="F34" s="42">
        <f>+I34-E34</f>
        <v>37946.099999999977</v>
      </c>
      <c r="G34" s="1001">
        <v>0</v>
      </c>
      <c r="H34" s="49">
        <f>+'KMEP -IPC'!L31</f>
        <v>233562.86</v>
      </c>
      <c r="I34" s="49">
        <f>H34+G34</f>
        <v>233562.86</v>
      </c>
      <c r="J34" s="51">
        <f>I34/C34</f>
        <v>0.23356285999999998</v>
      </c>
      <c r="L34" s="47"/>
      <c r="M34" s="47"/>
    </row>
    <row r="35" spans="2:17">
      <c r="B35" s="39" t="s">
        <v>42</v>
      </c>
      <c r="C35" s="40">
        <v>4300000</v>
      </c>
      <c r="D35" s="40">
        <v>3067842</v>
      </c>
      <c r="E35" s="41">
        <v>1213405.46</v>
      </c>
      <c r="F35" s="42">
        <f>+I35-E35</f>
        <v>442669.48000000021</v>
      </c>
      <c r="G35" s="1001">
        <v>0</v>
      </c>
      <c r="H35" s="49">
        <f>+'KMEP -IPC'!L32</f>
        <v>1656074.9400000002</v>
      </c>
      <c r="I35" s="49">
        <f>H35+G35</f>
        <v>1656074.9400000002</v>
      </c>
      <c r="J35" s="51">
        <f>I35/C35</f>
        <v>0.38513370697674421</v>
      </c>
      <c r="L35" s="47"/>
      <c r="M35" s="47"/>
    </row>
    <row r="36" spans="2:17">
      <c r="B36" s="39"/>
      <c r="C36" s="40"/>
      <c r="D36" s="40"/>
      <c r="E36" s="41"/>
      <c r="F36" s="42"/>
      <c r="G36" s="1001"/>
      <c r="H36" s="49"/>
      <c r="I36" s="49"/>
      <c r="J36" s="51"/>
      <c r="L36" s="47"/>
      <c r="M36" s="47"/>
    </row>
    <row r="37" spans="2:17">
      <c r="B37" s="39" t="s">
        <v>43</v>
      </c>
      <c r="C37" s="40">
        <v>15600000</v>
      </c>
      <c r="D37" s="40">
        <v>10273402</v>
      </c>
      <c r="E37" s="41">
        <v>4013615.7277084985</v>
      </c>
      <c r="F37" s="42">
        <f>+I37-E37</f>
        <v>1029594.8737653815</v>
      </c>
      <c r="G37" s="1001">
        <f>+'Annexure 6-SC Summary '!D98+'Annexure 8-Committed Orders'!F12</f>
        <v>5043210.60147388</v>
      </c>
      <c r="H37" s="49">
        <v>0</v>
      </c>
      <c r="I37" s="49">
        <f t="shared" ref="I37:I50" si="1">H37+G37</f>
        <v>5043210.60147388</v>
      </c>
      <c r="J37" s="51">
        <f>I37/C37</f>
        <v>0.32328273086371023</v>
      </c>
      <c r="L37" s="47" t="s">
        <v>844</v>
      </c>
      <c r="M37" s="47"/>
    </row>
    <row r="38" spans="2:17">
      <c r="B38" s="39" t="s">
        <v>44</v>
      </c>
      <c r="C38" s="40">
        <v>4200000</v>
      </c>
      <c r="D38" s="40">
        <v>4155655</v>
      </c>
      <c r="E38" s="41">
        <v>1564643.1818534269</v>
      </c>
      <c r="F38" s="42">
        <f>+I38-E38</f>
        <v>739279.61574915587</v>
      </c>
      <c r="G38" s="1002">
        <f>+'Annexure 6-SC Summary '!D97+'Annexure 6-SC Summary '!D96</f>
        <v>2303922.7976025827</v>
      </c>
      <c r="H38" s="49">
        <v>0</v>
      </c>
      <c r="I38" s="50">
        <f t="shared" si="1"/>
        <v>2303922.7976025827</v>
      </c>
      <c r="J38" s="51">
        <f>I38/C38</f>
        <v>0.54855304704823393</v>
      </c>
      <c r="L38" s="47" t="s">
        <v>27</v>
      </c>
      <c r="M38" s="47">
        <v>153815.69</v>
      </c>
      <c r="Q38" s="786">
        <f>H19+H28+H52</f>
        <v>37398129.061232492</v>
      </c>
    </row>
    <row r="39" spans="2:17">
      <c r="B39" s="39" t="s">
        <v>46</v>
      </c>
      <c r="C39" s="40">
        <v>2900000</v>
      </c>
      <c r="D39" s="40">
        <v>1670254</v>
      </c>
      <c r="E39" s="41">
        <v>0</v>
      </c>
      <c r="F39" s="42">
        <f>+I39-E39</f>
        <v>0</v>
      </c>
      <c r="G39" s="1001">
        <v>0</v>
      </c>
      <c r="H39" s="49">
        <v>0</v>
      </c>
      <c r="I39" s="50">
        <f t="shared" si="1"/>
        <v>0</v>
      </c>
      <c r="J39" s="51">
        <f>I39/C39</f>
        <v>0</v>
      </c>
      <c r="L39" s="47"/>
      <c r="M39" s="47"/>
    </row>
    <row r="40" spans="2:17">
      <c r="B40" s="39"/>
      <c r="C40" s="40"/>
      <c r="D40" s="40"/>
      <c r="E40" s="41">
        <v>0</v>
      </c>
      <c r="F40" s="42"/>
      <c r="G40" s="1001"/>
      <c r="H40" s="49"/>
      <c r="I40" s="50">
        <f t="shared" si="1"/>
        <v>0</v>
      </c>
      <c r="J40" s="51"/>
      <c r="L40" s="47"/>
      <c r="M40" s="47"/>
    </row>
    <row r="41" spans="2:17">
      <c r="B41" s="39" t="s">
        <v>47</v>
      </c>
      <c r="C41" s="40">
        <v>39200000</v>
      </c>
      <c r="D41" s="40">
        <v>17574621</v>
      </c>
      <c r="E41" s="41">
        <v>12310319.66576108</v>
      </c>
      <c r="F41" s="42">
        <f>+I41-E41</f>
        <v>2588426.8653779272</v>
      </c>
      <c r="G41" s="1002">
        <f>+'Annexure 6-SC Summary '!D100+'Annexure 8-Committed Orders'!F13</f>
        <v>14898746.531139007</v>
      </c>
      <c r="H41" s="49">
        <v>0</v>
      </c>
      <c r="I41" s="50">
        <f t="shared" si="1"/>
        <v>14898746.531139007</v>
      </c>
      <c r="J41" s="51">
        <f>I41/C41</f>
        <v>0.38007006456987263</v>
      </c>
      <c r="L41" s="47" t="s">
        <v>844</v>
      </c>
      <c r="M41" s="47">
        <v>739977.4</v>
      </c>
    </row>
    <row r="42" spans="2:17">
      <c r="B42" s="39" t="s">
        <v>48</v>
      </c>
      <c r="C42" s="40">
        <v>8500000</v>
      </c>
      <c r="D42" s="40">
        <v>9719682</v>
      </c>
      <c r="E42" s="41">
        <v>0</v>
      </c>
      <c r="F42" s="42">
        <f>+I42-E42</f>
        <v>0</v>
      </c>
      <c r="G42" s="1001">
        <v>0</v>
      </c>
      <c r="H42" s="49">
        <v>0</v>
      </c>
      <c r="I42" s="50">
        <f t="shared" si="1"/>
        <v>0</v>
      </c>
      <c r="J42" s="51">
        <f>I42/C42</f>
        <v>0</v>
      </c>
      <c r="L42" s="47"/>
      <c r="M42" s="47">
        <v>0</v>
      </c>
    </row>
    <row r="43" spans="2:17">
      <c r="B43" s="39" t="s">
        <v>49</v>
      </c>
      <c r="C43" s="40">
        <v>2000000</v>
      </c>
      <c r="D43" s="49">
        <v>2000000</v>
      </c>
      <c r="E43" s="41">
        <v>0</v>
      </c>
      <c r="F43" s="42">
        <f>+I43-E43</f>
        <v>0</v>
      </c>
      <c r="G43" s="1002">
        <v>0</v>
      </c>
      <c r="H43" s="49">
        <v>0</v>
      </c>
      <c r="I43" s="50">
        <f t="shared" si="1"/>
        <v>0</v>
      </c>
      <c r="J43" s="51">
        <f>I43/C43</f>
        <v>0</v>
      </c>
      <c r="L43" s="47"/>
      <c r="M43" s="47">
        <v>199830</v>
      </c>
    </row>
    <row r="44" spans="2:17">
      <c r="B44" s="39"/>
      <c r="C44" s="40"/>
      <c r="D44" s="40"/>
      <c r="E44" s="41">
        <v>0</v>
      </c>
      <c r="F44" s="42"/>
      <c r="G44" s="1001"/>
      <c r="H44" s="49"/>
      <c r="I44" s="50">
        <f t="shared" si="1"/>
        <v>0</v>
      </c>
      <c r="J44" s="51"/>
      <c r="L44" s="47"/>
      <c r="M44" s="47"/>
    </row>
    <row r="45" spans="2:17">
      <c r="B45" s="39" t="s">
        <v>50</v>
      </c>
      <c r="C45" s="40">
        <v>3400000</v>
      </c>
      <c r="D45" s="40">
        <v>1391469</v>
      </c>
      <c r="E45" s="41">
        <v>409986.69128000003</v>
      </c>
      <c r="F45" s="42">
        <f t="shared" ref="F45:F50" si="2">+I45-E45</f>
        <v>185460.22334999999</v>
      </c>
      <c r="G45" s="1001">
        <f>+'Annexure 6-SC Summary '!D102</f>
        <v>595446.91463000001</v>
      </c>
      <c r="H45" s="49">
        <v>0</v>
      </c>
      <c r="I45" s="50">
        <f t="shared" si="1"/>
        <v>595446.91463000001</v>
      </c>
      <c r="J45" s="51">
        <f t="shared" ref="J45:J50" si="3">I45/C45</f>
        <v>0.17513144547941176</v>
      </c>
      <c r="L45" s="47" t="s">
        <v>27</v>
      </c>
      <c r="M45" s="47">
        <v>0</v>
      </c>
    </row>
    <row r="46" spans="2:17">
      <c r="B46" s="39" t="s">
        <v>51</v>
      </c>
      <c r="C46" s="40">
        <v>10300000</v>
      </c>
      <c r="D46" s="40">
        <v>5523719.1200000001</v>
      </c>
      <c r="E46" s="41">
        <v>6355119.5192270819</v>
      </c>
      <c r="F46" s="42">
        <f t="shared" si="2"/>
        <v>1751802.8627399988</v>
      </c>
      <c r="G46" s="1002">
        <f>+'Annexure 6-SC Summary '!D95</f>
        <v>8106922.3819670808</v>
      </c>
      <c r="H46" s="49">
        <v>0</v>
      </c>
      <c r="I46" s="50">
        <f t="shared" si="1"/>
        <v>8106922.3819670808</v>
      </c>
      <c r="J46" s="51">
        <f t="shared" si="3"/>
        <v>0.78707984290942534</v>
      </c>
      <c r="L46" s="47" t="s">
        <v>27</v>
      </c>
      <c r="M46" s="47">
        <v>2310029.06</v>
      </c>
    </row>
    <row r="47" spans="2:17">
      <c r="B47" s="39" t="s">
        <v>52</v>
      </c>
      <c r="C47" s="40">
        <v>5700000</v>
      </c>
      <c r="D47" s="40">
        <v>3186640.6</v>
      </c>
      <c r="E47" s="41">
        <v>0</v>
      </c>
      <c r="F47" s="42">
        <f t="shared" si="2"/>
        <v>0</v>
      </c>
      <c r="G47" s="1001">
        <v>0</v>
      </c>
      <c r="H47" s="49">
        <v>0</v>
      </c>
      <c r="I47" s="50">
        <f t="shared" si="1"/>
        <v>0</v>
      </c>
      <c r="J47" s="51">
        <f t="shared" si="3"/>
        <v>0</v>
      </c>
      <c r="L47" s="47"/>
      <c r="M47" s="47">
        <v>0</v>
      </c>
    </row>
    <row r="48" spans="2:17">
      <c r="B48" s="39" t="s">
        <v>53</v>
      </c>
      <c r="C48" s="40">
        <v>5600000</v>
      </c>
      <c r="D48" s="40">
        <v>3465990.23</v>
      </c>
      <c r="E48" s="41">
        <v>1345291.0508060146</v>
      </c>
      <c r="F48" s="42">
        <f t="shared" si="2"/>
        <v>178067.45342166186</v>
      </c>
      <c r="G48" s="1001">
        <f>+'Annexure 6-SC Summary '!D101</f>
        <v>1523358.5042276764</v>
      </c>
      <c r="H48" s="49">
        <v>0</v>
      </c>
      <c r="I48" s="50">
        <f t="shared" si="1"/>
        <v>1523358.5042276764</v>
      </c>
      <c r="J48" s="51">
        <f t="shared" si="3"/>
        <v>0.27202830432637082</v>
      </c>
      <c r="L48" s="47" t="s">
        <v>27</v>
      </c>
      <c r="M48" s="47">
        <v>0</v>
      </c>
    </row>
    <row r="49" spans="2:22">
      <c r="B49" s="39" t="s">
        <v>54</v>
      </c>
      <c r="C49" s="40">
        <v>800000</v>
      </c>
      <c r="D49" s="49">
        <v>800000</v>
      </c>
      <c r="E49" s="41">
        <v>0</v>
      </c>
      <c r="F49" s="42">
        <f t="shared" si="2"/>
        <v>0</v>
      </c>
      <c r="G49" s="1001">
        <v>0</v>
      </c>
      <c r="H49" s="49">
        <v>0</v>
      </c>
      <c r="I49" s="50">
        <f t="shared" si="1"/>
        <v>0</v>
      </c>
      <c r="J49" s="51">
        <f t="shared" si="3"/>
        <v>0</v>
      </c>
      <c r="L49" s="47"/>
      <c r="M49" s="47">
        <v>0</v>
      </c>
    </row>
    <row r="50" spans="2:22">
      <c r="B50" s="39" t="s">
        <v>55</v>
      </c>
      <c r="C50" s="40">
        <v>800000</v>
      </c>
      <c r="D50" s="40">
        <v>628861</v>
      </c>
      <c r="E50" s="41">
        <v>0</v>
      </c>
      <c r="F50" s="42">
        <f t="shared" si="2"/>
        <v>0</v>
      </c>
      <c r="G50" s="95">
        <v>0</v>
      </c>
      <c r="H50" s="40">
        <v>0</v>
      </c>
      <c r="I50" s="50">
        <f t="shared" si="1"/>
        <v>0</v>
      </c>
      <c r="J50" s="51">
        <f t="shared" si="3"/>
        <v>0</v>
      </c>
      <c r="L50" s="47"/>
      <c r="M50" s="47"/>
    </row>
    <row r="51" spans="2:22">
      <c r="B51" s="56"/>
      <c r="C51" s="57"/>
      <c r="D51" s="57"/>
      <c r="E51" s="59"/>
      <c r="F51" s="60"/>
      <c r="G51" s="97"/>
      <c r="H51" s="57"/>
      <c r="I51" s="58"/>
      <c r="J51" s="63"/>
      <c r="L51" s="64"/>
      <c r="M51" s="64"/>
    </row>
    <row r="52" spans="2:22" s="100" customFormat="1">
      <c r="B52" s="65" t="s">
        <v>56</v>
      </c>
      <c r="C52" s="66">
        <f>SUM(C31:C51)</f>
        <v>108400000</v>
      </c>
      <c r="D52" s="66">
        <v>69041277.950000003</v>
      </c>
      <c r="E52" s="68">
        <f>SUM(E31:E51)</f>
        <v>27790173.061492585</v>
      </c>
      <c r="F52" s="69">
        <f>+I52-E52</f>
        <v>7025106.680916436</v>
      </c>
      <c r="G52" s="70">
        <f>SUM(G31:G51)</f>
        <v>32471607.731040224</v>
      </c>
      <c r="H52" s="98">
        <f>SUM(H30:H51)</f>
        <v>2343672.011368799</v>
      </c>
      <c r="I52" s="72">
        <f>SUM(I31:I51)</f>
        <v>34815279.742409021</v>
      </c>
      <c r="J52" s="99">
        <f>I52/C52</f>
        <v>0.32117416736539689</v>
      </c>
      <c r="L52" s="101"/>
      <c r="M52" s="101">
        <f>SUM(M31:M51)</f>
        <v>3403652.1500000004</v>
      </c>
      <c r="N52" s="74">
        <f>G52+H52</f>
        <v>34815279.742409021</v>
      </c>
      <c r="O52" t="b">
        <f>N52=I52</f>
        <v>1</v>
      </c>
      <c r="P52" s="781"/>
      <c r="Q52" s="785"/>
      <c r="R52" s="787"/>
      <c r="S52" s="788"/>
      <c r="T52" s="788"/>
      <c r="U52" s="788"/>
      <c r="V52" s="787"/>
    </row>
    <row r="53" spans="2:22">
      <c r="B53" s="39"/>
      <c r="C53" s="40"/>
      <c r="D53" s="40"/>
      <c r="E53" s="41"/>
      <c r="F53" s="42"/>
      <c r="G53" s="43"/>
      <c r="H53" s="44"/>
      <c r="I53" s="45"/>
      <c r="J53" s="46"/>
      <c r="L53" s="47"/>
      <c r="M53" s="47"/>
    </row>
    <row r="54" spans="2:22">
      <c r="B54" s="48" t="s">
        <v>57</v>
      </c>
      <c r="C54" s="40"/>
      <c r="D54" s="40"/>
      <c r="E54" s="41"/>
      <c r="F54" s="42"/>
      <c r="G54" s="43"/>
      <c r="H54" s="44"/>
      <c r="I54" s="45"/>
      <c r="J54" s="46"/>
      <c r="L54" s="47"/>
      <c r="M54" s="47"/>
    </row>
    <row r="55" spans="2:22">
      <c r="B55" s="39" t="s">
        <v>58</v>
      </c>
      <c r="C55" s="40">
        <v>3600000</v>
      </c>
      <c r="D55" s="40">
        <v>3600000</v>
      </c>
      <c r="E55" s="41"/>
      <c r="F55" s="42">
        <f>+I55-E55</f>
        <v>0</v>
      </c>
      <c r="G55" s="43"/>
      <c r="H55" s="44"/>
      <c r="I55" s="45"/>
      <c r="J55" s="46"/>
      <c r="L55" s="47"/>
      <c r="M55" s="47"/>
      <c r="N55" s="55"/>
    </row>
    <row r="56" spans="2:22">
      <c r="B56" s="56" t="s">
        <v>59</v>
      </c>
      <c r="C56" s="57">
        <v>1200000</v>
      </c>
      <c r="D56" s="57">
        <v>1200000</v>
      </c>
      <c r="E56" s="59"/>
      <c r="F56" s="60">
        <f>+I56-E56</f>
        <v>0</v>
      </c>
      <c r="G56" s="61"/>
      <c r="H56" s="91"/>
      <c r="I56" s="102"/>
      <c r="J56" s="103"/>
      <c r="L56" s="64"/>
      <c r="M56" s="64"/>
    </row>
    <row r="57" spans="2:22">
      <c r="B57" s="65" t="s">
        <v>60</v>
      </c>
      <c r="C57" s="66">
        <f>SUM(C55:C56)</f>
        <v>4800000</v>
      </c>
      <c r="D57" s="66">
        <v>4800000</v>
      </c>
      <c r="E57" s="68"/>
      <c r="F57" s="69"/>
      <c r="G57" s="104"/>
      <c r="H57" s="44"/>
      <c r="I57" s="45"/>
      <c r="J57" s="46"/>
      <c r="L57" s="77"/>
      <c r="M57" s="77"/>
    </row>
    <row r="58" spans="2:22">
      <c r="B58" s="39"/>
      <c r="C58" s="40"/>
      <c r="D58" s="40"/>
      <c r="E58" s="41"/>
      <c r="F58" s="42"/>
      <c r="G58" s="105"/>
      <c r="H58" s="44"/>
      <c r="I58" s="45"/>
      <c r="J58" s="46"/>
      <c r="L58" s="47"/>
      <c r="M58" s="47"/>
    </row>
    <row r="59" spans="2:22">
      <c r="B59" s="48" t="s">
        <v>61</v>
      </c>
      <c r="C59" s="40"/>
      <c r="D59" s="40"/>
      <c r="E59" s="41"/>
      <c r="F59" s="42"/>
      <c r="G59" s="105"/>
      <c r="H59" s="44"/>
      <c r="I59" s="45"/>
      <c r="J59" s="46"/>
      <c r="L59" s="47"/>
      <c r="M59" s="47"/>
    </row>
    <row r="60" spans="2:22">
      <c r="B60" s="39" t="s">
        <v>62</v>
      </c>
      <c r="C60" s="40">
        <v>5307488</v>
      </c>
      <c r="D60" s="40">
        <v>4240271.5975000001</v>
      </c>
      <c r="E60" s="41">
        <v>4177836.4129621955</v>
      </c>
      <c r="F60" s="42">
        <f>+I60-E60</f>
        <v>672466.844191866</v>
      </c>
      <c r="G60" s="105"/>
      <c r="H60" s="996">
        <f>'Annexure 9-OHP'!G20*12.5%</f>
        <v>4850303.2571540615</v>
      </c>
      <c r="I60" s="53">
        <f>H60+G60</f>
        <v>4850303.2571540615</v>
      </c>
      <c r="J60" s="51">
        <f>I60/C60</f>
        <v>0.91386042835218118</v>
      </c>
      <c r="L60" s="47" t="s">
        <v>845</v>
      </c>
      <c r="M60" s="106">
        <f>(M26+M16+M18)*12.5%</f>
        <v>470859.80999999994</v>
      </c>
      <c r="N60" s="2"/>
    </row>
    <row r="61" spans="2:22">
      <c r="B61" s="39" t="s">
        <v>63</v>
      </c>
      <c r="C61" s="40">
        <v>4776739</v>
      </c>
      <c r="D61" s="40">
        <v>3816244.43775</v>
      </c>
      <c r="E61" s="41">
        <v>3578979.3664159761</v>
      </c>
      <c r="F61" s="42">
        <f>+I61-E61</f>
        <v>628310.15297268005</v>
      </c>
      <c r="G61" s="1003">
        <f>'Annexure 9-OHP'!G29*10%</f>
        <v>4207289.5193886561</v>
      </c>
      <c r="H61" s="44"/>
      <c r="I61" s="53">
        <f>H61+G61</f>
        <v>4207289.5193886561</v>
      </c>
      <c r="J61" s="51">
        <f>I61/C61</f>
        <v>0.88078698027852398</v>
      </c>
      <c r="L61" s="47" t="s">
        <v>845</v>
      </c>
      <c r="M61" s="47">
        <v>423773.82940909103</v>
      </c>
      <c r="N61" s="55"/>
      <c r="O61" s="55"/>
    </row>
    <row r="62" spans="2:22">
      <c r="B62" s="56" t="s">
        <v>64</v>
      </c>
      <c r="C62" s="57">
        <v>15823068</v>
      </c>
      <c r="D62" s="57">
        <v>13528868.811250001</v>
      </c>
      <c r="E62" s="59">
        <v>7989732.9077347741</v>
      </c>
      <c r="F62" s="60">
        <f>+I62-E62</f>
        <v>1570345.3911230285</v>
      </c>
      <c r="G62" s="1004">
        <f>'Annexure 9-OHP'!G41*12.5%</f>
        <v>9560078.2988578025</v>
      </c>
      <c r="H62" s="91"/>
      <c r="I62" s="62">
        <f>H62+G62</f>
        <v>9560078.2988578025</v>
      </c>
      <c r="J62" s="63">
        <f>I62/C62</f>
        <v>0.60418613500604323</v>
      </c>
      <c r="L62" s="64" t="s">
        <v>845</v>
      </c>
      <c r="M62" s="64">
        <v>957078.5079924243</v>
      </c>
    </row>
    <row r="63" spans="2:22">
      <c r="B63" s="65" t="s">
        <v>65</v>
      </c>
      <c r="C63" s="94">
        <f>SUM(C60:C62)</f>
        <v>25907295</v>
      </c>
      <c r="D63" s="94">
        <v>21585384.846500002</v>
      </c>
      <c r="E63" s="68">
        <f>SUM(E60:E62)</f>
        <v>15746548.687112946</v>
      </c>
      <c r="F63" s="69">
        <f>+I63-E63</f>
        <v>2871122.3882875741</v>
      </c>
      <c r="G63" s="70">
        <f>SUM(G61:G62)</f>
        <v>13767367.818246458</v>
      </c>
      <c r="H63" s="98">
        <f>SUM(H60:H62)</f>
        <v>4850303.2571540615</v>
      </c>
      <c r="I63" s="72">
        <f>SUM(I60:I62)</f>
        <v>18617671.07540052</v>
      </c>
      <c r="J63" s="73">
        <f>I63/C63</f>
        <v>0.71862659051825051</v>
      </c>
      <c r="L63" s="106"/>
      <c r="M63" s="106">
        <f>SUM(M60:M62)</f>
        <v>1851712.1474015154</v>
      </c>
      <c r="N63" s="74">
        <f>G63+H63</f>
        <v>18617671.07540052</v>
      </c>
      <c r="O63" t="b">
        <f>N63=I63</f>
        <v>1</v>
      </c>
      <c r="Q63" s="785"/>
    </row>
    <row r="64" spans="2:22">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109127485.2306141</v>
      </c>
      <c r="F65" s="110">
        <f>+I65-E65</f>
        <v>21164154.132206887</v>
      </c>
      <c r="G65" s="111">
        <f>G63+G28+G19+G52</f>
        <v>88043207.044434428</v>
      </c>
      <c r="H65" s="112">
        <f>H63+H28+H19+H52</f>
        <v>42248432.318386555</v>
      </c>
      <c r="I65" s="112">
        <f>I63+I28+I19+I52</f>
        <v>130291639.36282098</v>
      </c>
      <c r="J65" s="113">
        <f>I65/C65</f>
        <v>0.66832767280999572</v>
      </c>
      <c r="L65" s="114"/>
      <c r="M65" s="114">
        <f>M63+M28+M19+M52</f>
        <v>13275218.697401514</v>
      </c>
      <c r="N65" s="74">
        <f>G65+H65</f>
        <v>130291639.36282098</v>
      </c>
      <c r="O65" t="b">
        <f>N65=I65</f>
        <v>1</v>
      </c>
    </row>
    <row r="66" spans="2:15">
      <c r="B66" s="100"/>
      <c r="C66" s="69"/>
      <c r="D66" s="69" t="s">
        <v>67</v>
      </c>
      <c r="E66" s="69"/>
      <c r="F66" s="74" t="s">
        <v>937</v>
      </c>
      <c r="G66" s="55">
        <f>-G61</f>
        <v>-4207289.5193886561</v>
      </c>
      <c r="H66" s="75"/>
      <c r="I66" s="75"/>
      <c r="J66" s="115"/>
      <c r="L66" s="75"/>
      <c r="M66" s="75"/>
    </row>
    <row r="67" spans="2:15">
      <c r="C67" s="116" t="s">
        <v>68</v>
      </c>
      <c r="D67" s="74" t="s">
        <v>69</v>
      </c>
      <c r="F67" s="74" t="s">
        <v>938</v>
      </c>
      <c r="G67" s="74">
        <f>+'Annexure 6-SC Summary '!AC85</f>
        <v>8981903.7150499988</v>
      </c>
      <c r="H67" s="2"/>
      <c r="I67" s="55"/>
    </row>
    <row r="68" spans="2:15">
      <c r="C68" s="116"/>
      <c r="G68" s="117">
        <f>G67+G65+G66</f>
        <v>92817821.240095764</v>
      </c>
      <c r="H68" s="2"/>
      <c r="I68" s="55"/>
      <c r="J68" s="55"/>
    </row>
    <row r="69" spans="2:15">
      <c r="C69" s="116" t="s">
        <v>70</v>
      </c>
      <c r="D69" s="74" t="s">
        <v>71</v>
      </c>
      <c r="F69" s="74" t="s">
        <v>939</v>
      </c>
      <c r="G69" s="118">
        <f>-SUM('Annexure 6-SC Summary '!AB32:AB38)</f>
        <v>-1404296.9959999998</v>
      </c>
      <c r="H69" s="2"/>
      <c r="I69" s="55"/>
    </row>
    <row r="70" spans="2:15">
      <c r="D70" s="74" t="s">
        <v>72</v>
      </c>
      <c r="G70" s="55">
        <f>SUM(G68:G69)</f>
        <v>91413524.244095758</v>
      </c>
      <c r="H70" s="2"/>
      <c r="I70" s="55"/>
    </row>
    <row r="71" spans="2:15">
      <c r="G71" s="2"/>
      <c r="H71" s="2"/>
      <c r="I71" s="55"/>
    </row>
    <row r="72" spans="2:15">
      <c r="D72" s="74" t="s">
        <v>73</v>
      </c>
      <c r="G72" s="2">
        <v>96511337.569999993</v>
      </c>
      <c r="H72" s="2"/>
      <c r="I72" s="55"/>
    </row>
    <row r="73" spans="2:15">
      <c r="G73" s="2"/>
      <c r="H73" s="2"/>
      <c r="I73" s="55"/>
    </row>
    <row r="74" spans="2:15" ht="15" thickBot="1">
      <c r="D74" s="74" t="s">
        <v>74</v>
      </c>
      <c r="G74" s="119">
        <f>(G72-G70)</f>
        <v>5097813.3259042352</v>
      </c>
      <c r="H74" s="2"/>
      <c r="I74" s="55"/>
    </row>
    <row r="75" spans="2:15" ht="15" thickTop="1">
      <c r="E75" s="2"/>
      <c r="G75" s="2"/>
      <c r="I75" s="55"/>
      <c r="J75" s="120"/>
    </row>
    <row r="76" spans="2:15">
      <c r="G76" s="2"/>
      <c r="I76" s="55"/>
    </row>
    <row r="77" spans="2:15">
      <c r="G77" s="55">
        <f>-'Annexure 6-SC Summary '!AG85</f>
        <v>4009602.3229010152</v>
      </c>
    </row>
    <row r="78" spans="2:15">
      <c r="G78" s="74">
        <f>G77*12.5%</f>
        <v>501200.2903626269</v>
      </c>
      <c r="H78" s="74"/>
      <c r="I78" s="74"/>
      <c r="J78" s="74"/>
      <c r="K78" s="74"/>
    </row>
    <row r="80" spans="2:15" ht="15" thickBot="1">
      <c r="G80" s="928">
        <f>SUM(G77:G79)</f>
        <v>4510802.6132636424</v>
      </c>
    </row>
    <row r="81" spans="7:7" ht="15" thickTop="1"/>
    <row r="83" spans="7:7">
      <c r="G83" s="55"/>
    </row>
    <row r="84" spans="7:7">
      <c r="G84" s="121"/>
    </row>
    <row r="85" spans="7:7">
      <c r="G85" s="55"/>
    </row>
    <row r="86" spans="7:7">
      <c r="G86" s="121"/>
    </row>
    <row r="88" spans="7:7">
      <c r="G88" s="55"/>
    </row>
    <row r="89" spans="7:7">
      <c r="G89" s="121"/>
    </row>
  </sheetData>
  <mergeCells count="13">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D13" sqref="D13"/>
    </sheetView>
  </sheetViews>
  <sheetFormatPr defaultRowHeight="14.4"/>
  <cols>
    <col min="1" max="1" width="11.109375" customWidth="1"/>
    <col min="2" max="2" width="29.6640625" customWidth="1"/>
    <col min="3" max="3" width="15.33203125" style="2" customWidth="1"/>
    <col min="4" max="4" width="16.5546875" style="2" customWidth="1"/>
    <col min="5" max="5" width="20.6640625" style="2" customWidth="1"/>
    <col min="6" max="7" width="10" customWidth="1"/>
  </cols>
  <sheetData>
    <row r="1" spans="1:11" ht="21">
      <c r="A1" s="1070" t="s">
        <v>0</v>
      </c>
      <c r="B1" s="1070"/>
      <c r="C1" s="1070"/>
      <c r="D1" s="1070"/>
      <c r="E1" s="1070"/>
    </row>
    <row r="2" spans="1:11" ht="15.6" thickBot="1">
      <c r="A2" s="1071" t="s">
        <v>941</v>
      </c>
      <c r="B2" s="1071"/>
      <c r="C2" s="1071"/>
      <c r="D2" s="1071"/>
      <c r="E2" s="1071"/>
    </row>
    <row r="3" spans="1:11">
      <c r="A3" s="9"/>
      <c r="B3" s="286"/>
      <c r="C3" s="286"/>
      <c r="D3" s="287"/>
      <c r="E3" s="288"/>
    </row>
    <row r="4" spans="1:11">
      <c r="A4" s="314" t="s">
        <v>137</v>
      </c>
      <c r="B4" t="s">
        <v>138</v>
      </c>
      <c r="C4"/>
      <c r="D4" s="315" t="s">
        <v>3</v>
      </c>
      <c r="E4" s="916">
        <f ca="1">'KCE-PC 11 INT'!G3</f>
        <v>44949</v>
      </c>
    </row>
    <row r="5" spans="1:11">
      <c r="A5" s="314" t="s">
        <v>94</v>
      </c>
      <c r="B5" t="s">
        <v>95</v>
      </c>
      <c r="C5"/>
      <c r="D5" s="315" t="s">
        <v>5</v>
      </c>
      <c r="E5" s="917" t="str">
        <f>+'Annexure 9-OHP'!F6</f>
        <v>KCE-11</v>
      </c>
    </row>
    <row r="6" spans="1:11">
      <c r="A6" s="314" t="s">
        <v>139</v>
      </c>
      <c r="B6" t="s">
        <v>140</v>
      </c>
      <c r="C6"/>
      <c r="D6" s="315" t="s">
        <v>8</v>
      </c>
      <c r="E6" s="917" t="s">
        <v>9</v>
      </c>
    </row>
    <row r="7" spans="1:11" ht="15" thickBot="1">
      <c r="A7" s="289"/>
      <c r="B7" s="290"/>
      <c r="C7" s="291"/>
      <c r="D7" s="904"/>
      <c r="E7" s="292"/>
    </row>
    <row r="8" spans="1:11" ht="15" thickBot="1">
      <c r="C8" s="293"/>
      <c r="D8" s="293"/>
      <c r="E8" s="293"/>
      <c r="F8" s="293"/>
      <c r="G8" s="293"/>
      <c r="H8" s="293"/>
      <c r="I8" s="293"/>
      <c r="J8" s="293"/>
      <c r="K8" s="293"/>
    </row>
    <row r="9" spans="1:11" s="100" customFormat="1">
      <c r="A9" s="294"/>
      <c r="B9" s="294" t="s">
        <v>810</v>
      </c>
      <c r="C9" s="295" t="s">
        <v>142</v>
      </c>
      <c r="D9" s="295" t="s">
        <v>143</v>
      </c>
      <c r="E9" s="296" t="s">
        <v>144</v>
      </c>
    </row>
    <row r="10" spans="1:11">
      <c r="A10" s="918">
        <v>1</v>
      </c>
      <c r="B10" s="297" t="s">
        <v>146</v>
      </c>
      <c r="C10" s="298">
        <f>+'Annexure 6-SC Summary '!E89</f>
        <v>4259846.0788166719</v>
      </c>
      <c r="D10" s="974">
        <f>+'Annexure 6-SC Summary '!C89</f>
        <v>913545.93118332885</v>
      </c>
      <c r="E10" s="299">
        <f>+'Annexure 6-SC Summary '!D89</f>
        <v>5173392.0100000007</v>
      </c>
    </row>
    <row r="11" spans="1:11">
      <c r="A11" s="919">
        <v>2</v>
      </c>
      <c r="B11" s="300" t="s">
        <v>148</v>
      </c>
      <c r="C11" s="301">
        <f>+'Annexure -3 Material Summary'!C11+'Annexure -3 Material Summary'!C13</f>
        <v>4673929.8899999997</v>
      </c>
      <c r="D11" s="301">
        <f>+'Annexure -3 Material Summary'!D11</f>
        <v>670198.9</v>
      </c>
      <c r="E11" s="302">
        <f>+'Annexure -3 Material Summary'!E11+'Annexure -3 Material Summary'!E13</f>
        <v>5344128.79</v>
      </c>
    </row>
    <row r="12" spans="1:11">
      <c r="A12" s="919">
        <v>3</v>
      </c>
      <c r="B12" s="300" t="s">
        <v>150</v>
      </c>
      <c r="C12" s="301">
        <f>+'Annexure-5 Plant Summary'!D10+'Annexure-5 Plant Summary'!D11</f>
        <v>2300533.63</v>
      </c>
      <c r="D12" s="301">
        <f>+'Annexure-5 Plant Summary'!E10</f>
        <v>455699.06</v>
      </c>
      <c r="E12" s="302">
        <f>+'Annexure-5 Plant Summary'!F10+'Annexure-5 Plant Summary'!F11</f>
        <v>2756232.69</v>
      </c>
    </row>
    <row r="13" spans="1:11">
      <c r="A13" s="919">
        <v>4</v>
      </c>
      <c r="B13" s="300" t="s">
        <v>152</v>
      </c>
      <c r="C13" s="301">
        <f>+'Annexure 7-Overhead Summary'!C10</f>
        <v>1022048.4</v>
      </c>
      <c r="D13" s="301">
        <f>+'Annexure 7-Overhead Summary'!D10</f>
        <v>99227.449999999983</v>
      </c>
      <c r="E13" s="302">
        <f>+'Annexure 7-Overhead Summary'!E10</f>
        <v>1121275.8500000001</v>
      </c>
    </row>
    <row r="14" spans="1:11">
      <c r="A14" s="920">
        <v>5</v>
      </c>
      <c r="B14" s="303" t="s">
        <v>154</v>
      </c>
      <c r="C14" s="304">
        <v>461945.40333333338</v>
      </c>
      <c r="D14" s="304">
        <f>E14-C14</f>
        <v>-90278.67333333334</v>
      </c>
      <c r="E14" s="305">
        <f>+'Committed Orders - Dec 22'!H5</f>
        <v>371666.73000000004</v>
      </c>
    </row>
    <row r="15" spans="1:11" s="100" customFormat="1" ht="15" thickBot="1">
      <c r="A15" s="306"/>
      <c r="B15" s="306" t="s">
        <v>155</v>
      </c>
      <c r="C15" s="307">
        <f>SUM(C10:C14)</f>
        <v>12718303.402150005</v>
      </c>
      <c r="D15" s="307">
        <f>SUM(D10:D14)</f>
        <v>2048392.6678499957</v>
      </c>
      <c r="E15" s="308">
        <f>SUM(E10:E14)</f>
        <v>14766696.07</v>
      </c>
    </row>
    <row r="16" spans="1:11">
      <c r="A16" s="309"/>
      <c r="B16" s="309"/>
      <c r="C16" s="310"/>
      <c r="D16" s="310"/>
      <c r="E16" s="310"/>
    </row>
    <row r="17" spans="3:5">
      <c r="C17" s="293"/>
      <c r="D17" s="293"/>
      <c r="E17" s="293"/>
    </row>
    <row r="18" spans="3:5">
      <c r="C18" s="293"/>
      <c r="D18" s="293"/>
      <c r="E18" s="293"/>
    </row>
    <row r="19" spans="3:5">
      <c r="C19" s="293"/>
      <c r="D19" s="293"/>
      <c r="E19" s="293"/>
    </row>
  </sheetData>
  <mergeCells count="2">
    <mergeCell ref="A1:E1"/>
    <mergeCell ref="A2:E2"/>
  </mergeCells>
  <pageMargins left="0.7" right="0.7" top="0.75" bottom="0.75" header="0.3" footer="0.3"/>
  <pageSetup scale="9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zoomScale="90" zoomScaleNormal="100" zoomScaleSheetLayoutView="90" workbookViewId="0">
      <selection activeCell="E25" sqref="E25"/>
    </sheetView>
  </sheetViews>
  <sheetFormatPr defaultColWidth="8.88671875" defaultRowHeight="14.4"/>
  <cols>
    <col min="1" max="1" width="9.88671875" style="311" customWidth="1"/>
    <col min="2" max="2" width="28" style="311" customWidth="1"/>
    <col min="3" max="3" width="16.6640625" style="311" customWidth="1"/>
    <col min="4" max="4" width="16.6640625" style="312" customWidth="1"/>
    <col min="5" max="5" width="21.88671875" style="312" customWidth="1"/>
    <col min="6" max="6" width="10.44140625" style="312" customWidth="1"/>
    <col min="7" max="7" width="11.6640625" style="312" customWidth="1"/>
    <col min="8" max="8" width="12.44140625" style="312" customWidth="1"/>
    <col min="9" max="9" width="12.5546875" style="312" bestFit="1" customWidth="1"/>
    <col min="10" max="10" width="8.88671875" style="311"/>
    <col min="11" max="11" width="18.109375" style="313" customWidth="1"/>
    <col min="12" max="12" width="22.33203125" style="311" customWidth="1"/>
    <col min="13" max="13" width="16.33203125" style="313" customWidth="1"/>
    <col min="14" max="16384" width="8.88671875" style="311"/>
  </cols>
  <sheetData>
    <row r="1" spans="1:13">
      <c r="G1" s="311"/>
    </row>
    <row r="2" spans="1:13" ht="17.399999999999999">
      <c r="A2" s="1072" t="s">
        <v>0</v>
      </c>
      <c r="B2" s="1072"/>
      <c r="C2" s="1072"/>
      <c r="D2" s="1072"/>
      <c r="E2" s="1072"/>
      <c r="G2" s="311"/>
    </row>
    <row r="3" spans="1:13" ht="15.6" thickBot="1">
      <c r="A3" s="1073" t="s">
        <v>942</v>
      </c>
      <c r="B3" s="1073"/>
      <c r="C3" s="1073"/>
      <c r="D3" s="1073"/>
      <c r="E3" s="1073"/>
      <c r="K3" s="311"/>
    </row>
    <row r="4" spans="1:13">
      <c r="A4" s="285"/>
      <c r="B4" s="286"/>
      <c r="C4" s="286"/>
      <c r="D4" s="287"/>
      <c r="E4" s="288"/>
      <c r="K4" s="311"/>
    </row>
    <row r="5" spans="1:13">
      <c r="A5" s="314" t="s">
        <v>137</v>
      </c>
      <c r="B5" t="s">
        <v>138</v>
      </c>
      <c r="D5" s="315" t="s">
        <v>3</v>
      </c>
      <c r="E5" s="316">
        <f ca="1">'KCE-PC 11 INT'!G3</f>
        <v>44949</v>
      </c>
      <c r="K5" s="311"/>
    </row>
    <row r="6" spans="1:13">
      <c r="A6" s="314" t="s">
        <v>156</v>
      </c>
      <c r="B6" t="s">
        <v>95</v>
      </c>
      <c r="D6" s="315" t="s">
        <v>5</v>
      </c>
      <c r="E6" s="317" t="str">
        <f>+'Annexure-2 GENERAL PRELIMS'!E5</f>
        <v>KCE-11</v>
      </c>
      <c r="K6" s="311"/>
    </row>
    <row r="7" spans="1:13">
      <c r="A7" s="314" t="s">
        <v>139</v>
      </c>
      <c r="B7" t="s">
        <v>140</v>
      </c>
      <c r="D7" s="315" t="s">
        <v>8</v>
      </c>
      <c r="E7" s="318" t="s">
        <v>9</v>
      </c>
      <c r="K7" s="311"/>
    </row>
    <row r="8" spans="1:13" ht="15" thickBot="1">
      <c r="A8" s="289"/>
      <c r="B8" s="290"/>
      <c r="C8" s="291"/>
      <c r="D8" s="291"/>
      <c r="E8" s="292"/>
      <c r="K8" s="311"/>
    </row>
    <row r="9" spans="1:13" ht="15" thickBot="1">
      <c r="A9" s="319"/>
      <c r="B9"/>
      <c r="C9" s="293"/>
      <c r="D9" s="311"/>
      <c r="E9" s="320"/>
      <c r="K9" s="311"/>
    </row>
    <row r="10" spans="1:13" s="880" customFormat="1" ht="38.4" customHeight="1">
      <c r="A10" s="876" t="s">
        <v>157</v>
      </c>
      <c r="B10" s="877" t="s">
        <v>810</v>
      </c>
      <c r="C10" s="882" t="s">
        <v>158</v>
      </c>
      <c r="D10" s="883" t="s">
        <v>143</v>
      </c>
      <c r="E10" s="878" t="s">
        <v>144</v>
      </c>
      <c r="F10" s="879"/>
      <c r="G10" s="879"/>
      <c r="H10" s="879"/>
      <c r="I10" s="879"/>
      <c r="M10" s="881"/>
    </row>
    <row r="11" spans="1:13">
      <c r="A11" s="321">
        <v>1</v>
      </c>
      <c r="B11" s="324" t="s">
        <v>816</v>
      </c>
      <c r="C11" s="885">
        <v>4455506.67</v>
      </c>
      <c r="D11" s="1023">
        <f>651000.9+19198</f>
        <v>670198.9</v>
      </c>
      <c r="E11" s="886">
        <f>+C11+D11</f>
        <v>5125705.57</v>
      </c>
      <c r="K11" s="311"/>
    </row>
    <row r="12" spans="1:13">
      <c r="A12" s="321">
        <v>2</v>
      </c>
      <c r="B12" s="324" t="s">
        <v>18</v>
      </c>
      <c r="C12" s="885">
        <v>1655882.88</v>
      </c>
      <c r="D12" s="885">
        <v>522774.63000000012</v>
      </c>
      <c r="E12" s="886">
        <f>+C12+D12</f>
        <v>2178657.5099999998</v>
      </c>
      <c r="F12" s="327"/>
      <c r="G12" s="327"/>
      <c r="H12" s="327"/>
      <c r="I12" s="327"/>
      <c r="K12" s="328"/>
      <c r="L12" s="329"/>
      <c r="M12" s="328"/>
    </row>
    <row r="13" spans="1:13">
      <c r="A13" s="321">
        <v>3</v>
      </c>
      <c r="B13" s="324" t="s">
        <v>817</v>
      </c>
      <c r="C13" s="885">
        <v>218423.22</v>
      </c>
      <c r="D13" s="885"/>
      <c r="E13" s="886">
        <f>+C13+D13</f>
        <v>218423.22</v>
      </c>
      <c r="K13" s="311"/>
    </row>
    <row r="14" spans="1:13">
      <c r="A14" s="321">
        <v>4</v>
      </c>
      <c r="B14" s="324" t="s">
        <v>811</v>
      </c>
      <c r="C14" s="885">
        <v>20920.010000000002</v>
      </c>
      <c r="D14" s="885"/>
      <c r="E14" s="886">
        <v>20920.010000000002</v>
      </c>
      <c r="K14" s="311"/>
    </row>
    <row r="15" spans="1:13">
      <c r="A15" s="970" t="s">
        <v>890</v>
      </c>
      <c r="B15" s="330" t="s">
        <v>831</v>
      </c>
      <c r="C15" s="887">
        <v>-39042.730000000003</v>
      </c>
      <c r="D15" s="887">
        <f>E15-C15</f>
        <v>-19197</v>
      </c>
      <c r="E15" s="888">
        <f>-Adjustments!I12</f>
        <v>-58239.73</v>
      </c>
      <c r="K15" s="311"/>
    </row>
    <row r="16" spans="1:13" ht="15" thickBot="1">
      <c r="A16" s="333"/>
      <c r="B16" s="334" t="s">
        <v>161</v>
      </c>
      <c r="C16" s="889">
        <f>SUM(C11:C15)</f>
        <v>6311690.0499999989</v>
      </c>
      <c r="D16" s="890">
        <f>E16-C16</f>
        <v>1173776.5300000003</v>
      </c>
      <c r="E16" s="891">
        <f>SUM(E11:E15)</f>
        <v>7485466.5799999991</v>
      </c>
      <c r="K16" s="311"/>
    </row>
    <row r="17" spans="3:11">
      <c r="D17" s="311"/>
      <c r="E17" s="311"/>
      <c r="K17" s="311"/>
    </row>
    <row r="18" spans="3:11">
      <c r="D18" s="329"/>
      <c r="E18" s="311"/>
      <c r="K18" s="311"/>
    </row>
    <row r="19" spans="3:11">
      <c r="D19" s="311"/>
      <c r="E19" s="914"/>
      <c r="K19" s="311"/>
    </row>
    <row r="20" spans="3:11">
      <c r="K20" s="311"/>
    </row>
    <row r="21" spans="3:11">
      <c r="K21" s="311"/>
    </row>
    <row r="22" spans="3:11">
      <c r="C22" s="335"/>
      <c r="K22" s="311"/>
    </row>
  </sheetData>
  <mergeCells count="2">
    <mergeCell ref="A2:E2"/>
    <mergeCell ref="A3:E3"/>
  </mergeCells>
  <pageMargins left="0.7" right="0.7" top="0.75" bottom="0.75" header="0.3" footer="0.3"/>
  <pageSetup scale="9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20"/>
  <sheetViews>
    <sheetView view="pageBreakPreview" zoomScale="80" zoomScaleNormal="100" zoomScaleSheetLayoutView="80" workbookViewId="0">
      <selection activeCell="H12" sqref="H12"/>
    </sheetView>
  </sheetViews>
  <sheetFormatPr defaultRowHeight="14.4"/>
  <cols>
    <col min="1" max="1" width="5.33203125" customWidth="1"/>
    <col min="2" max="2" width="27.33203125" customWidth="1"/>
    <col min="3" max="3" width="12.33203125" customWidth="1"/>
    <col min="4" max="4" width="16.33203125" customWidth="1"/>
    <col min="5" max="5" width="12.109375" customWidth="1"/>
    <col min="6" max="6" width="15.6640625" customWidth="1"/>
    <col min="7" max="7" width="16.6640625" style="74" customWidth="1"/>
    <col min="8" max="8" width="17.6640625" style="336" customWidth="1"/>
    <col min="9" max="9" width="12.6640625" style="74" bestFit="1" customWidth="1"/>
    <col min="10" max="10" width="14.6640625" style="336" customWidth="1"/>
  </cols>
  <sheetData>
    <row r="1" spans="1:10" ht="17.399999999999999">
      <c r="A1" s="1072" t="s">
        <v>0</v>
      </c>
      <c r="B1" s="1072"/>
      <c r="C1" s="1072"/>
      <c r="D1" s="1072"/>
      <c r="E1" s="1072"/>
      <c r="F1" s="1072"/>
      <c r="G1" s="1072"/>
      <c r="H1" s="1072"/>
    </row>
    <row r="2" spans="1:10" ht="15.6" thickBot="1">
      <c r="A2" s="1073" t="s">
        <v>943</v>
      </c>
      <c r="B2" s="1073"/>
      <c r="C2" s="1073"/>
      <c r="D2" s="1073"/>
      <c r="E2" s="1073"/>
      <c r="F2" s="1073"/>
      <c r="G2" s="1073"/>
      <c r="H2" s="1073"/>
    </row>
    <row r="3" spans="1:10">
      <c r="A3" s="285"/>
      <c r="B3" s="309"/>
      <c r="C3" s="309"/>
      <c r="D3" s="309"/>
      <c r="E3" s="286"/>
      <c r="F3" s="286"/>
      <c r="G3" s="287"/>
      <c r="H3" s="288"/>
    </row>
    <row r="4" spans="1:10">
      <c r="A4" s="314" t="s">
        <v>2</v>
      </c>
      <c r="F4" s="311"/>
      <c r="G4" s="315" t="s">
        <v>3</v>
      </c>
      <c r="H4" s="316">
        <f ca="1">'KCE-PC 11 INT'!G3</f>
        <v>44949</v>
      </c>
    </row>
    <row r="5" spans="1:10">
      <c r="A5" s="314" t="s">
        <v>162</v>
      </c>
      <c r="F5" s="311"/>
      <c r="G5" s="315" t="s">
        <v>5</v>
      </c>
      <c r="H5" s="317" t="str">
        <f>+'Annexure -3 Material Summary'!E6</f>
        <v>KCE-11</v>
      </c>
    </row>
    <row r="6" spans="1:10">
      <c r="A6" s="314" t="s">
        <v>163</v>
      </c>
      <c r="F6" s="311"/>
      <c r="G6" s="315" t="s">
        <v>8</v>
      </c>
      <c r="H6" s="318" t="s">
        <v>9</v>
      </c>
    </row>
    <row r="7" spans="1:10" ht="15" thickBot="1">
      <c r="A7" s="289"/>
      <c r="B7" s="290"/>
      <c r="C7" s="290"/>
      <c r="D7" s="290"/>
      <c r="E7" s="290"/>
      <c r="F7" s="291"/>
      <c r="G7" s="291"/>
      <c r="H7" s="292"/>
    </row>
    <row r="8" spans="1:10" ht="15" thickBot="1"/>
    <row r="9" spans="1:10" s="100" customFormat="1">
      <c r="A9" s="1062" t="s">
        <v>157</v>
      </c>
      <c r="B9" s="1074" t="s">
        <v>810</v>
      </c>
      <c r="C9" s="1076" t="s">
        <v>142</v>
      </c>
      <c r="D9" s="1077"/>
      <c r="E9" s="1076" t="s">
        <v>165</v>
      </c>
      <c r="F9" s="1077"/>
      <c r="G9" s="1078" t="s">
        <v>144</v>
      </c>
      <c r="H9" s="1079"/>
      <c r="I9" s="74"/>
      <c r="J9" s="336"/>
    </row>
    <row r="10" spans="1:10" s="100" customFormat="1" ht="15" thickBot="1">
      <c r="A10" s="1063"/>
      <c r="B10" s="1075"/>
      <c r="C10" s="337" t="s">
        <v>166</v>
      </c>
      <c r="D10" s="338" t="s">
        <v>167</v>
      </c>
      <c r="E10" s="337" t="s">
        <v>166</v>
      </c>
      <c r="F10" s="338" t="s">
        <v>167</v>
      </c>
      <c r="G10" s="337" t="s">
        <v>166</v>
      </c>
      <c r="H10" s="339" t="s">
        <v>167</v>
      </c>
      <c r="I10" s="74"/>
      <c r="J10" s="336"/>
    </row>
    <row r="11" spans="1:10">
      <c r="A11" s="923"/>
      <c r="B11" s="340"/>
      <c r="C11" s="341"/>
      <c r="D11" s="341"/>
      <c r="E11" s="341"/>
      <c r="F11" s="341"/>
      <c r="G11" s="342"/>
      <c r="H11" s="921"/>
    </row>
    <row r="12" spans="1:10">
      <c r="A12" s="924">
        <v>1</v>
      </c>
      <c r="B12" s="324" t="s">
        <v>169</v>
      </c>
      <c r="C12" s="884">
        <v>145352.5</v>
      </c>
      <c r="D12" s="884">
        <v>1699366.7499999998</v>
      </c>
      <c r="E12" s="884">
        <v>41289.5</v>
      </c>
      <c r="F12" s="884">
        <v>386040.11000000004</v>
      </c>
      <c r="G12" s="884">
        <f t="shared" ref="G12:H16" si="0">+C12+E12</f>
        <v>186642</v>
      </c>
      <c r="H12" s="922">
        <f t="shared" si="0"/>
        <v>2085406.8599999999</v>
      </c>
    </row>
    <row r="13" spans="1:10">
      <c r="A13" s="924">
        <v>2</v>
      </c>
      <c r="B13" s="324" t="s">
        <v>170</v>
      </c>
      <c r="C13" s="884">
        <v>107106.5</v>
      </c>
      <c r="D13" s="884">
        <v>1429867.6099999999</v>
      </c>
      <c r="E13" s="884">
        <v>29187</v>
      </c>
      <c r="F13" s="884">
        <v>292071.17999999982</v>
      </c>
      <c r="G13" s="884">
        <f t="shared" si="0"/>
        <v>136293.5</v>
      </c>
      <c r="H13" s="922">
        <f t="shared" si="0"/>
        <v>1721938.7899999996</v>
      </c>
    </row>
    <row r="14" spans="1:10">
      <c r="A14" s="924">
        <v>3</v>
      </c>
      <c r="B14" s="324" t="s">
        <v>171</v>
      </c>
      <c r="C14" s="884">
        <v>28699</v>
      </c>
      <c r="D14" s="884">
        <v>443737.83</v>
      </c>
      <c r="E14" s="884">
        <v>7452</v>
      </c>
      <c r="F14" s="884">
        <v>96434.770000000019</v>
      </c>
      <c r="G14" s="884">
        <f t="shared" si="0"/>
        <v>36151</v>
      </c>
      <c r="H14" s="922">
        <f t="shared" si="0"/>
        <v>540172.60000000009</v>
      </c>
    </row>
    <row r="15" spans="1:10">
      <c r="A15" s="924">
        <v>4</v>
      </c>
      <c r="B15" s="324" t="s">
        <v>172</v>
      </c>
      <c r="C15" s="884">
        <v>227695</v>
      </c>
      <c r="D15" s="884">
        <v>2969945.41</v>
      </c>
      <c r="E15" s="884">
        <v>633383.05999999878</v>
      </c>
      <c r="F15" s="884">
        <v>633383.05999999878</v>
      </c>
      <c r="G15" s="884">
        <f t="shared" si="0"/>
        <v>861078.05999999878</v>
      </c>
      <c r="H15" s="922">
        <f t="shared" si="0"/>
        <v>3603328.4699999988</v>
      </c>
    </row>
    <row r="16" spans="1:10">
      <c r="A16" s="924">
        <v>5</v>
      </c>
      <c r="B16" s="324" t="s">
        <v>173</v>
      </c>
      <c r="C16" s="884">
        <v>11456.5</v>
      </c>
      <c r="D16" s="884">
        <v>157398.91</v>
      </c>
      <c r="E16" s="884">
        <v>33399.56</v>
      </c>
      <c r="F16" s="884">
        <v>33399.56</v>
      </c>
      <c r="G16" s="884">
        <f t="shared" si="0"/>
        <v>44856.06</v>
      </c>
      <c r="H16" s="922">
        <f t="shared" si="0"/>
        <v>190798.47</v>
      </c>
    </row>
    <row r="17" spans="1:10">
      <c r="A17" s="924">
        <v>6</v>
      </c>
      <c r="B17" s="324" t="s">
        <v>174</v>
      </c>
      <c r="C17" s="884">
        <v>1</v>
      </c>
      <c r="D17" s="884">
        <v>1425</v>
      </c>
      <c r="E17" s="884"/>
      <c r="F17" s="884">
        <f>H17-D17</f>
        <v>0</v>
      </c>
      <c r="G17" s="884">
        <v>1</v>
      </c>
      <c r="H17" s="922">
        <v>1425</v>
      </c>
    </row>
    <row r="18" spans="1:10" ht="15" thickBot="1">
      <c r="A18" s="964">
        <v>7</v>
      </c>
      <c r="B18" s="965" t="s">
        <v>831</v>
      </c>
      <c r="C18" s="966"/>
      <c r="D18" s="967">
        <v>-4057.21</v>
      </c>
      <c r="E18" s="966"/>
      <c r="F18" s="967">
        <f>H18-D18</f>
        <v>0</v>
      </c>
      <c r="G18" s="966"/>
      <c r="H18" s="968">
        <f>-Adjustments!I13</f>
        <v>-4057.21</v>
      </c>
    </row>
    <row r="19" spans="1:10" s="100" customFormat="1" ht="15" thickBot="1">
      <c r="A19" s="925"/>
      <c r="B19" s="343" t="s">
        <v>161</v>
      </c>
      <c r="C19" s="344"/>
      <c r="D19" s="892">
        <f>SUM(D12:D18)</f>
        <v>6697684.2999999998</v>
      </c>
      <c r="E19" s="892"/>
      <c r="F19" s="892">
        <f>SUM(F12:F17)</f>
        <v>1441328.6799999988</v>
      </c>
      <c r="G19" s="892"/>
      <c r="H19" s="893">
        <f>SUM(H12:H18)</f>
        <v>8139012.9799999986</v>
      </c>
      <c r="I19" s="74">
        <v>8141645</v>
      </c>
      <c r="J19" s="345">
        <f>I19-H19</f>
        <v>2632.0200000014156</v>
      </c>
    </row>
    <row r="20" spans="1:10" s="100" customFormat="1">
      <c r="C20" s="75"/>
      <c r="D20" s="75"/>
      <c r="E20" s="75"/>
      <c r="F20" s="75"/>
      <c r="G20" s="75"/>
      <c r="H20" s="75"/>
      <c r="I20" s="74"/>
      <c r="J20" s="345"/>
    </row>
  </sheetData>
  <mergeCells count="7">
    <mergeCell ref="A1:H1"/>
    <mergeCell ref="A2:H2"/>
    <mergeCell ref="A9:A10"/>
    <mergeCell ref="B9:B10"/>
    <mergeCell ref="C9:D9"/>
    <mergeCell ref="E9:F9"/>
    <mergeCell ref="G9:H9"/>
  </mergeCells>
  <pageMargins left="0.7" right="0.7" top="0.75" bottom="0.75" header="0.3" footer="0.3"/>
  <pageSetup scale="73"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4"/>
  <sheetViews>
    <sheetView view="pageBreakPreview" zoomScale="85" zoomScaleNormal="100" zoomScaleSheetLayoutView="85" workbookViewId="0">
      <selection activeCell="E10" sqref="E10"/>
    </sheetView>
  </sheetViews>
  <sheetFormatPr defaultColWidth="8.88671875" defaultRowHeight="14.4"/>
  <cols>
    <col min="1" max="1" width="9.6640625" style="311" customWidth="1"/>
    <col min="2" max="2" width="22.44140625" style="311" customWidth="1"/>
    <col min="3" max="3" width="14.88671875" style="311" customWidth="1"/>
    <col min="4" max="4" width="15.5546875" style="311" customWidth="1"/>
    <col min="5" max="5" width="15.5546875" style="312" customWidth="1"/>
    <col min="6" max="6" width="19.44140625" style="312" customWidth="1"/>
    <col min="7" max="7" width="13.6640625" style="311" customWidth="1"/>
    <col min="8" max="8" width="8.88671875" style="311"/>
    <col min="9" max="9" width="20.33203125" style="313" customWidth="1"/>
    <col min="10" max="10" width="19.33203125" style="311" customWidth="1"/>
    <col min="11" max="11" width="12.5546875" style="311" bestFit="1" customWidth="1"/>
    <col min="12" max="16384" width="8.88671875" style="311"/>
  </cols>
  <sheetData>
    <row r="1" spans="1:9" ht="17.399999999999999">
      <c r="A1" s="1072" t="s">
        <v>0</v>
      </c>
      <c r="B1" s="1072"/>
      <c r="C1" s="1072"/>
      <c r="D1" s="1072"/>
      <c r="E1" s="1072"/>
      <c r="F1" s="1072"/>
    </row>
    <row r="2" spans="1:9" ht="15.6" thickBot="1">
      <c r="A2" s="1071" t="s">
        <v>944</v>
      </c>
      <c r="B2" s="1071"/>
      <c r="C2" s="1071"/>
      <c r="D2" s="1071"/>
      <c r="E2" s="1071"/>
      <c r="F2" s="1071"/>
    </row>
    <row r="3" spans="1:9">
      <c r="A3" s="285"/>
      <c r="B3" s="286"/>
      <c r="C3" s="286"/>
      <c r="D3" s="287"/>
      <c r="E3" s="346"/>
      <c r="F3" s="288"/>
    </row>
    <row r="4" spans="1:9">
      <c r="A4" s="314" t="s">
        <v>137</v>
      </c>
      <c r="B4" t="s">
        <v>138</v>
      </c>
      <c r="E4" s="315" t="s">
        <v>3</v>
      </c>
      <c r="F4" s="316">
        <f ca="1">'KCE-PC 11 INT'!G3</f>
        <v>44949</v>
      </c>
    </row>
    <row r="5" spans="1:9">
      <c r="A5" s="314" t="s">
        <v>156</v>
      </c>
      <c r="B5" t="s">
        <v>95</v>
      </c>
      <c r="E5" s="315" t="s">
        <v>5</v>
      </c>
      <c r="F5" s="317" t="str">
        <f>+'Annexure-4 Labour Cost Summary'!H5</f>
        <v>KCE-11</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95" customHeight="1">
      <c r="A9" s="351" t="s">
        <v>157</v>
      </c>
      <c r="B9" s="1076" t="s">
        <v>810</v>
      </c>
      <c r="C9" s="1077"/>
      <c r="D9" s="895" t="s">
        <v>158</v>
      </c>
      <c r="E9" s="896" t="s">
        <v>143</v>
      </c>
      <c r="F9" s="352" t="s">
        <v>144</v>
      </c>
      <c r="I9" s="354"/>
    </row>
    <row r="10" spans="1:9">
      <c r="A10" s="355" t="s">
        <v>812</v>
      </c>
      <c r="B10" s="1084" t="s">
        <v>848</v>
      </c>
      <c r="C10" s="1085"/>
      <c r="D10" s="356">
        <v>1859923.28</v>
      </c>
      <c r="E10" s="894">
        <v>455699.06</v>
      </c>
      <c r="F10" s="357">
        <f>+D10+E10</f>
        <v>2315622.34</v>
      </c>
    </row>
    <row r="11" spans="1:9">
      <c r="A11" s="355" t="s">
        <v>813</v>
      </c>
      <c r="B11" s="1086" t="s">
        <v>817</v>
      </c>
      <c r="C11" s="1087"/>
      <c r="D11" s="356">
        <v>440610.35</v>
      </c>
      <c r="E11" s="323">
        <v>0</v>
      </c>
      <c r="F11" s="897">
        <f>+D11+E11</f>
        <v>440610.35</v>
      </c>
    </row>
    <row r="12" spans="1:9">
      <c r="A12" s="355" t="s">
        <v>814</v>
      </c>
      <c r="B12" s="1086" t="s">
        <v>175</v>
      </c>
      <c r="C12" s="1087"/>
      <c r="D12" s="358">
        <v>0</v>
      </c>
      <c r="E12" s="325">
        <f>F12-D12</f>
        <v>0</v>
      </c>
      <c r="F12" s="326">
        <v>0</v>
      </c>
    </row>
    <row r="13" spans="1:9">
      <c r="A13" s="359" t="s">
        <v>815</v>
      </c>
      <c r="B13" s="1080" t="s">
        <v>831</v>
      </c>
      <c r="C13" s="1081"/>
      <c r="D13" s="360">
        <v>0</v>
      </c>
      <c r="E13" s="331">
        <f>F13-D13</f>
        <v>0</v>
      </c>
      <c r="F13" s="332">
        <f>-Adjustments!I14</f>
        <v>0</v>
      </c>
    </row>
    <row r="14" spans="1:9" ht="15" thickBot="1">
      <c r="A14" s="361"/>
      <c r="B14" s="1082" t="s">
        <v>155</v>
      </c>
      <c r="C14" s="1083"/>
      <c r="D14" s="890">
        <f>SUM(D10:D13)</f>
        <v>2300533.63</v>
      </c>
      <c r="E14" s="890">
        <f>SUM(E10:E13)</f>
        <v>455699.06</v>
      </c>
      <c r="F14" s="891">
        <f>SUM(F10:F13)</f>
        <v>2756232.69</v>
      </c>
      <c r="H14" s="329"/>
    </row>
  </sheetData>
  <mergeCells count="8">
    <mergeCell ref="A1:F1"/>
    <mergeCell ref="A2:F2"/>
    <mergeCell ref="B13:C13"/>
    <mergeCell ref="B14:C14"/>
    <mergeCell ref="B9:C9"/>
    <mergeCell ref="B10:C10"/>
    <mergeCell ref="B11:C11"/>
    <mergeCell ref="B12:C12"/>
  </mergeCells>
  <pageMargins left="0.7" right="0.7" top="0.75" bottom="0.75" header="0.3" footer="0.3"/>
  <pageSetup scale="92"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8"/>
  <sheetViews>
    <sheetView view="pageBreakPreview" zoomScale="55" zoomScaleNormal="55" zoomScaleSheetLayoutView="55" workbookViewId="0">
      <pane ySplit="6" topLeftCell="A40" activePane="bottomLeft" state="frozen"/>
      <selection pane="bottomLeft" activeCell="T2" sqref="T2"/>
    </sheetView>
  </sheetViews>
  <sheetFormatPr defaultColWidth="9" defaultRowHeight="14.4" outlineLevelCol="1"/>
  <cols>
    <col min="1" max="1" width="7" style="676" customWidth="1"/>
    <col min="2" max="2" width="45.33203125" style="676" customWidth="1"/>
    <col min="3" max="3" width="37.6640625" style="676" customWidth="1"/>
    <col min="4" max="4" width="19.44140625" style="677" customWidth="1"/>
    <col min="5" max="5" width="23.33203125" style="677" customWidth="1"/>
    <col min="6" max="7" width="19.6640625" style="676" customWidth="1"/>
    <col min="8" max="8" width="19.6640625" style="676" hidden="1" customWidth="1" outlineLevel="1"/>
    <col min="9" max="9" width="21.6640625" style="676" customWidth="1" collapsed="1"/>
    <col min="10" max="10" width="24.33203125" style="676" hidden="1" customWidth="1" outlineLevel="1"/>
    <col min="11" max="11" width="30.33203125" style="676" customWidth="1" collapsed="1"/>
    <col min="12" max="12" width="18" style="676" customWidth="1"/>
    <col min="13" max="13" width="16.6640625" style="676" hidden="1" customWidth="1" outlineLevel="1"/>
    <col min="14" max="14" width="20.6640625" style="676" customWidth="1" collapsed="1"/>
    <col min="15" max="15" width="22" style="676" hidden="1" customWidth="1" outlineLevel="1"/>
    <col min="16" max="16" width="15.5546875" style="676" customWidth="1" collapsed="1"/>
    <col min="17" max="17" width="20.44140625" style="676" hidden="1" customWidth="1" outlineLevel="1"/>
    <col min="18" max="18" width="15.5546875" style="676" customWidth="1" collapsed="1"/>
    <col min="19" max="19" width="15.5546875" style="676" hidden="1" customWidth="1" outlineLevel="1"/>
    <col min="20" max="20" width="23.109375" style="676" customWidth="1" collapsed="1"/>
    <col min="21" max="21" width="23.109375" style="676" hidden="1" customWidth="1" outlineLevel="1"/>
    <col min="22" max="22" width="18.33203125" style="676" customWidth="1" collapsed="1"/>
    <col min="23" max="23" width="18.33203125" style="676" hidden="1" customWidth="1" outlineLevel="1"/>
    <col min="24" max="24" width="11.109375" style="678" customWidth="1" collapsed="1"/>
    <col min="25" max="25" width="12.88671875" style="959" customWidth="1"/>
    <col min="26" max="26" width="20.33203125" style="676" customWidth="1"/>
    <col min="27" max="27" width="5" style="676" hidden="1" customWidth="1" outlineLevel="1"/>
    <col min="28" max="28" width="18" style="676" customWidth="1" collapsed="1"/>
    <col min="29" max="29" width="18" style="676" hidden="1" customWidth="1" outlineLevel="1"/>
    <col min="30" max="30" width="21.88671875" style="676" customWidth="1" collapsed="1"/>
    <col min="31" max="31" width="24.44140625" style="676" hidden="1" customWidth="1" outlineLevel="1"/>
    <col min="32" max="32" width="6.6640625" style="676" customWidth="1" collapsed="1"/>
    <col min="33" max="33" width="16.5546875" style="676" bestFit="1" customWidth="1"/>
    <col min="34" max="34" width="23.6640625" style="676" customWidth="1"/>
    <col min="35" max="38" width="9" style="676"/>
    <col min="39" max="39" width="15.109375" style="680" bestFit="1" customWidth="1"/>
    <col min="40" max="260" width="9" style="676"/>
    <col min="261" max="261" width="43" style="676" customWidth="1"/>
    <col min="262" max="262" width="15.6640625" style="676" customWidth="1"/>
    <col min="263" max="263" width="14.6640625" style="676" customWidth="1"/>
    <col min="264" max="265" width="13.33203125" style="676" customWidth="1"/>
    <col min="266" max="268" width="16.6640625" style="676" customWidth="1"/>
    <col min="269" max="269" width="9" style="676"/>
    <col min="270" max="270" width="8.88671875" style="676" customWidth="1"/>
    <col min="271" max="516" width="9" style="676"/>
    <col min="517" max="517" width="43" style="676" customWidth="1"/>
    <col min="518" max="518" width="15.6640625" style="676" customWidth="1"/>
    <col min="519" max="519" width="14.6640625" style="676" customWidth="1"/>
    <col min="520" max="521" width="13.33203125" style="676" customWidth="1"/>
    <col min="522" max="524" width="16.6640625" style="676" customWidth="1"/>
    <col min="525" max="525" width="9" style="676"/>
    <col min="526" max="526" width="8.88671875" style="676" customWidth="1"/>
    <col min="527" max="772" width="9" style="676"/>
    <col min="773" max="773" width="43" style="676" customWidth="1"/>
    <col min="774" max="774" width="15.6640625" style="676" customWidth="1"/>
    <col min="775" max="775" width="14.6640625" style="676" customWidth="1"/>
    <col min="776" max="777" width="13.33203125" style="676" customWidth="1"/>
    <col min="778" max="780" width="16.6640625" style="676" customWidth="1"/>
    <col min="781" max="781" width="9" style="676"/>
    <col min="782" max="782" width="8.88671875" style="676" customWidth="1"/>
    <col min="783" max="1028" width="9" style="676"/>
    <col min="1029" max="1029" width="43" style="676" customWidth="1"/>
    <col min="1030" max="1030" width="15.6640625" style="676" customWidth="1"/>
    <col min="1031" max="1031" width="14.6640625" style="676" customWidth="1"/>
    <col min="1032" max="1033" width="13.33203125" style="676" customWidth="1"/>
    <col min="1034" max="1036" width="16.6640625" style="676" customWidth="1"/>
    <col min="1037" max="1037" width="9" style="676"/>
    <col min="1038" max="1038" width="8.88671875" style="676" customWidth="1"/>
    <col min="1039" max="1284" width="9" style="676"/>
    <col min="1285" max="1285" width="43" style="676" customWidth="1"/>
    <col min="1286" max="1286" width="15.6640625" style="676" customWidth="1"/>
    <col min="1287" max="1287" width="14.6640625" style="676" customWidth="1"/>
    <col min="1288" max="1289" width="13.33203125" style="676" customWidth="1"/>
    <col min="1290" max="1292" width="16.6640625" style="676" customWidth="1"/>
    <col min="1293" max="1293" width="9" style="676"/>
    <col min="1294" max="1294" width="8.88671875" style="676" customWidth="1"/>
    <col min="1295" max="1540" width="9" style="676"/>
    <col min="1541" max="1541" width="43" style="676" customWidth="1"/>
    <col min="1542" max="1542" width="15.6640625" style="676" customWidth="1"/>
    <col min="1543" max="1543" width="14.6640625" style="676" customWidth="1"/>
    <col min="1544" max="1545" width="13.33203125" style="676" customWidth="1"/>
    <col min="1546" max="1548" width="16.6640625" style="676" customWidth="1"/>
    <col min="1549" max="1549" width="9" style="676"/>
    <col min="1550" max="1550" width="8.88671875" style="676" customWidth="1"/>
    <col min="1551" max="1796" width="9" style="676"/>
    <col min="1797" max="1797" width="43" style="676" customWidth="1"/>
    <col min="1798" max="1798" width="15.6640625" style="676" customWidth="1"/>
    <col min="1799" max="1799" width="14.6640625" style="676" customWidth="1"/>
    <col min="1800" max="1801" width="13.33203125" style="676" customWidth="1"/>
    <col min="1802" max="1804" width="16.6640625" style="676" customWidth="1"/>
    <col min="1805" max="1805" width="9" style="676"/>
    <col min="1806" max="1806" width="8.88671875" style="676" customWidth="1"/>
    <col min="1807" max="2052" width="9" style="676"/>
    <col min="2053" max="2053" width="43" style="676" customWidth="1"/>
    <col min="2054" max="2054" width="15.6640625" style="676" customWidth="1"/>
    <col min="2055" max="2055" width="14.6640625" style="676" customWidth="1"/>
    <col min="2056" max="2057" width="13.33203125" style="676" customWidth="1"/>
    <col min="2058" max="2060" width="16.6640625" style="676" customWidth="1"/>
    <col min="2061" max="2061" width="9" style="676"/>
    <col min="2062" max="2062" width="8.88671875" style="676" customWidth="1"/>
    <col min="2063" max="2308" width="9" style="676"/>
    <col min="2309" max="2309" width="43" style="676" customWidth="1"/>
    <col min="2310" max="2310" width="15.6640625" style="676" customWidth="1"/>
    <col min="2311" max="2311" width="14.6640625" style="676" customWidth="1"/>
    <col min="2312" max="2313" width="13.33203125" style="676" customWidth="1"/>
    <col min="2314" max="2316" width="16.6640625" style="676" customWidth="1"/>
    <col min="2317" max="2317" width="9" style="676"/>
    <col min="2318" max="2318" width="8.88671875" style="676" customWidth="1"/>
    <col min="2319" max="2564" width="9" style="676"/>
    <col min="2565" max="2565" width="43" style="676" customWidth="1"/>
    <col min="2566" max="2566" width="15.6640625" style="676" customWidth="1"/>
    <col min="2567" max="2567" width="14.6640625" style="676" customWidth="1"/>
    <col min="2568" max="2569" width="13.33203125" style="676" customWidth="1"/>
    <col min="2570" max="2572" width="16.6640625" style="676" customWidth="1"/>
    <col min="2573" max="2573" width="9" style="676"/>
    <col min="2574" max="2574" width="8.88671875" style="676" customWidth="1"/>
    <col min="2575" max="2820" width="9" style="676"/>
    <col min="2821" max="2821" width="43" style="676" customWidth="1"/>
    <col min="2822" max="2822" width="15.6640625" style="676" customWidth="1"/>
    <col min="2823" max="2823" width="14.6640625" style="676" customWidth="1"/>
    <col min="2824" max="2825" width="13.33203125" style="676" customWidth="1"/>
    <col min="2826" max="2828" width="16.6640625" style="676" customWidth="1"/>
    <col min="2829" max="2829" width="9" style="676"/>
    <col min="2830" max="2830" width="8.88671875" style="676" customWidth="1"/>
    <col min="2831" max="3076" width="9" style="676"/>
    <col min="3077" max="3077" width="43" style="676" customWidth="1"/>
    <col min="3078" max="3078" width="15.6640625" style="676" customWidth="1"/>
    <col min="3079" max="3079" width="14.6640625" style="676" customWidth="1"/>
    <col min="3080" max="3081" width="13.33203125" style="676" customWidth="1"/>
    <col min="3082" max="3084" width="16.6640625" style="676" customWidth="1"/>
    <col min="3085" max="3085" width="9" style="676"/>
    <col min="3086" max="3086" width="8.88671875" style="676" customWidth="1"/>
    <col min="3087" max="3332" width="9" style="676"/>
    <col min="3333" max="3333" width="43" style="676" customWidth="1"/>
    <col min="3334" max="3334" width="15.6640625" style="676" customWidth="1"/>
    <col min="3335" max="3335" width="14.6640625" style="676" customWidth="1"/>
    <col min="3336" max="3337" width="13.33203125" style="676" customWidth="1"/>
    <col min="3338" max="3340" width="16.6640625" style="676" customWidth="1"/>
    <col min="3341" max="3341" width="9" style="676"/>
    <col min="3342" max="3342" width="8.88671875" style="676" customWidth="1"/>
    <col min="3343" max="3588" width="9" style="676"/>
    <col min="3589" max="3589" width="43" style="676" customWidth="1"/>
    <col min="3590" max="3590" width="15.6640625" style="676" customWidth="1"/>
    <col min="3591" max="3591" width="14.6640625" style="676" customWidth="1"/>
    <col min="3592" max="3593" width="13.33203125" style="676" customWidth="1"/>
    <col min="3594" max="3596" width="16.6640625" style="676" customWidth="1"/>
    <col min="3597" max="3597" width="9" style="676"/>
    <col min="3598" max="3598" width="8.88671875" style="676" customWidth="1"/>
    <col min="3599" max="3844" width="9" style="676"/>
    <col min="3845" max="3845" width="43" style="676" customWidth="1"/>
    <col min="3846" max="3846" width="15.6640625" style="676" customWidth="1"/>
    <col min="3847" max="3847" width="14.6640625" style="676" customWidth="1"/>
    <col min="3848" max="3849" width="13.33203125" style="676" customWidth="1"/>
    <col min="3850" max="3852" width="16.6640625" style="676" customWidth="1"/>
    <col min="3853" max="3853" width="9" style="676"/>
    <col min="3854" max="3854" width="8.88671875" style="676" customWidth="1"/>
    <col min="3855" max="4100" width="9" style="676"/>
    <col min="4101" max="4101" width="43" style="676" customWidth="1"/>
    <col min="4102" max="4102" width="15.6640625" style="676" customWidth="1"/>
    <col min="4103" max="4103" width="14.6640625" style="676" customWidth="1"/>
    <col min="4104" max="4105" width="13.33203125" style="676" customWidth="1"/>
    <col min="4106" max="4108" width="16.6640625" style="676" customWidth="1"/>
    <col min="4109" max="4109" width="9" style="676"/>
    <col min="4110" max="4110" width="8.88671875" style="676" customWidth="1"/>
    <col min="4111" max="4356" width="9" style="676"/>
    <col min="4357" max="4357" width="43" style="676" customWidth="1"/>
    <col min="4358" max="4358" width="15.6640625" style="676" customWidth="1"/>
    <col min="4359" max="4359" width="14.6640625" style="676" customWidth="1"/>
    <col min="4360" max="4361" width="13.33203125" style="676" customWidth="1"/>
    <col min="4362" max="4364" width="16.6640625" style="676" customWidth="1"/>
    <col min="4365" max="4365" width="9" style="676"/>
    <col min="4366" max="4366" width="8.88671875" style="676" customWidth="1"/>
    <col min="4367" max="4612" width="9" style="676"/>
    <col min="4613" max="4613" width="43" style="676" customWidth="1"/>
    <col min="4614" max="4614" width="15.6640625" style="676" customWidth="1"/>
    <col min="4615" max="4615" width="14.6640625" style="676" customWidth="1"/>
    <col min="4616" max="4617" width="13.33203125" style="676" customWidth="1"/>
    <col min="4618" max="4620" width="16.6640625" style="676" customWidth="1"/>
    <col min="4621" max="4621" width="9" style="676"/>
    <col min="4622" max="4622" width="8.88671875" style="676" customWidth="1"/>
    <col min="4623" max="4868" width="9" style="676"/>
    <col min="4869" max="4869" width="43" style="676" customWidth="1"/>
    <col min="4870" max="4870" width="15.6640625" style="676" customWidth="1"/>
    <col min="4871" max="4871" width="14.6640625" style="676" customWidth="1"/>
    <col min="4872" max="4873" width="13.33203125" style="676" customWidth="1"/>
    <col min="4874" max="4876" width="16.6640625" style="676" customWidth="1"/>
    <col min="4877" max="4877" width="9" style="676"/>
    <col min="4878" max="4878" width="8.88671875" style="676" customWidth="1"/>
    <col min="4879" max="5124" width="9" style="676"/>
    <col min="5125" max="5125" width="43" style="676" customWidth="1"/>
    <col min="5126" max="5126" width="15.6640625" style="676" customWidth="1"/>
    <col min="5127" max="5127" width="14.6640625" style="676" customWidth="1"/>
    <col min="5128" max="5129" width="13.33203125" style="676" customWidth="1"/>
    <col min="5130" max="5132" width="16.6640625" style="676" customWidth="1"/>
    <col min="5133" max="5133" width="9" style="676"/>
    <col min="5134" max="5134" width="8.88671875" style="676" customWidth="1"/>
    <col min="5135" max="5380" width="9" style="676"/>
    <col min="5381" max="5381" width="43" style="676" customWidth="1"/>
    <col min="5382" max="5382" width="15.6640625" style="676" customWidth="1"/>
    <col min="5383" max="5383" width="14.6640625" style="676" customWidth="1"/>
    <col min="5384" max="5385" width="13.33203125" style="676" customWidth="1"/>
    <col min="5386" max="5388" width="16.6640625" style="676" customWidth="1"/>
    <col min="5389" max="5389" width="9" style="676"/>
    <col min="5390" max="5390" width="8.88671875" style="676" customWidth="1"/>
    <col min="5391" max="5636" width="9" style="676"/>
    <col min="5637" max="5637" width="43" style="676" customWidth="1"/>
    <col min="5638" max="5638" width="15.6640625" style="676" customWidth="1"/>
    <col min="5639" max="5639" width="14.6640625" style="676" customWidth="1"/>
    <col min="5640" max="5641" width="13.33203125" style="676" customWidth="1"/>
    <col min="5642" max="5644" width="16.6640625" style="676" customWidth="1"/>
    <col min="5645" max="5645" width="9" style="676"/>
    <col min="5646" max="5646" width="8.88671875" style="676" customWidth="1"/>
    <col min="5647" max="5892" width="9" style="676"/>
    <col min="5893" max="5893" width="43" style="676" customWidth="1"/>
    <col min="5894" max="5894" width="15.6640625" style="676" customWidth="1"/>
    <col min="5895" max="5895" width="14.6640625" style="676" customWidth="1"/>
    <col min="5896" max="5897" width="13.33203125" style="676" customWidth="1"/>
    <col min="5898" max="5900" width="16.6640625" style="676" customWidth="1"/>
    <col min="5901" max="5901" width="9" style="676"/>
    <col min="5902" max="5902" width="8.88671875" style="676" customWidth="1"/>
    <col min="5903" max="6148" width="9" style="676"/>
    <col min="6149" max="6149" width="43" style="676" customWidth="1"/>
    <col min="6150" max="6150" width="15.6640625" style="676" customWidth="1"/>
    <col min="6151" max="6151" width="14.6640625" style="676" customWidth="1"/>
    <col min="6152" max="6153" width="13.33203125" style="676" customWidth="1"/>
    <col min="6154" max="6156" width="16.6640625" style="676" customWidth="1"/>
    <col min="6157" max="6157" width="9" style="676"/>
    <col min="6158" max="6158" width="8.88671875" style="676" customWidth="1"/>
    <col min="6159" max="6404" width="9" style="676"/>
    <col min="6405" max="6405" width="43" style="676" customWidth="1"/>
    <col min="6406" max="6406" width="15.6640625" style="676" customWidth="1"/>
    <col min="6407" max="6407" width="14.6640625" style="676" customWidth="1"/>
    <col min="6408" max="6409" width="13.33203125" style="676" customWidth="1"/>
    <col min="6410" max="6412" width="16.6640625" style="676" customWidth="1"/>
    <col min="6413" max="6413" width="9" style="676"/>
    <col min="6414" max="6414" width="8.88671875" style="676" customWidth="1"/>
    <col min="6415" max="6660" width="9" style="676"/>
    <col min="6661" max="6661" width="43" style="676" customWidth="1"/>
    <col min="6662" max="6662" width="15.6640625" style="676" customWidth="1"/>
    <col min="6663" max="6663" width="14.6640625" style="676" customWidth="1"/>
    <col min="6664" max="6665" width="13.33203125" style="676" customWidth="1"/>
    <col min="6666" max="6668" width="16.6640625" style="676" customWidth="1"/>
    <col min="6669" max="6669" width="9" style="676"/>
    <col min="6670" max="6670" width="8.88671875" style="676" customWidth="1"/>
    <col min="6671" max="6916" width="9" style="676"/>
    <col min="6917" max="6917" width="43" style="676" customWidth="1"/>
    <col min="6918" max="6918" width="15.6640625" style="676" customWidth="1"/>
    <col min="6919" max="6919" width="14.6640625" style="676" customWidth="1"/>
    <col min="6920" max="6921" width="13.33203125" style="676" customWidth="1"/>
    <col min="6922" max="6924" width="16.6640625" style="676" customWidth="1"/>
    <col min="6925" max="6925" width="9" style="676"/>
    <col min="6926" max="6926" width="8.88671875" style="676" customWidth="1"/>
    <col min="6927" max="7172" width="9" style="676"/>
    <col min="7173" max="7173" width="43" style="676" customWidth="1"/>
    <col min="7174" max="7174" width="15.6640625" style="676" customWidth="1"/>
    <col min="7175" max="7175" width="14.6640625" style="676" customWidth="1"/>
    <col min="7176" max="7177" width="13.33203125" style="676" customWidth="1"/>
    <col min="7178" max="7180" width="16.6640625" style="676" customWidth="1"/>
    <col min="7181" max="7181" width="9" style="676"/>
    <col min="7182" max="7182" width="8.88671875" style="676" customWidth="1"/>
    <col min="7183" max="7428" width="9" style="676"/>
    <col min="7429" max="7429" width="43" style="676" customWidth="1"/>
    <col min="7430" max="7430" width="15.6640625" style="676" customWidth="1"/>
    <col min="7431" max="7431" width="14.6640625" style="676" customWidth="1"/>
    <col min="7432" max="7433" width="13.33203125" style="676" customWidth="1"/>
    <col min="7434" max="7436" width="16.6640625" style="676" customWidth="1"/>
    <col min="7437" max="7437" width="9" style="676"/>
    <col min="7438" max="7438" width="8.88671875" style="676" customWidth="1"/>
    <col min="7439" max="7684" width="9" style="676"/>
    <col min="7685" max="7685" width="43" style="676" customWidth="1"/>
    <col min="7686" max="7686" width="15.6640625" style="676" customWidth="1"/>
    <col min="7687" max="7687" width="14.6640625" style="676" customWidth="1"/>
    <col min="7688" max="7689" width="13.33203125" style="676" customWidth="1"/>
    <col min="7690" max="7692" width="16.6640625" style="676" customWidth="1"/>
    <col min="7693" max="7693" width="9" style="676"/>
    <col min="7694" max="7694" width="8.88671875" style="676" customWidth="1"/>
    <col min="7695" max="7940" width="9" style="676"/>
    <col min="7941" max="7941" width="43" style="676" customWidth="1"/>
    <col min="7942" max="7942" width="15.6640625" style="676" customWidth="1"/>
    <col min="7943" max="7943" width="14.6640625" style="676" customWidth="1"/>
    <col min="7944" max="7945" width="13.33203125" style="676" customWidth="1"/>
    <col min="7946" max="7948" width="16.6640625" style="676" customWidth="1"/>
    <col min="7949" max="7949" width="9" style="676"/>
    <col min="7950" max="7950" width="8.88671875" style="676" customWidth="1"/>
    <col min="7951" max="8196" width="9" style="676"/>
    <col min="8197" max="8197" width="43" style="676" customWidth="1"/>
    <col min="8198" max="8198" width="15.6640625" style="676" customWidth="1"/>
    <col min="8199" max="8199" width="14.6640625" style="676" customWidth="1"/>
    <col min="8200" max="8201" width="13.33203125" style="676" customWidth="1"/>
    <col min="8202" max="8204" width="16.6640625" style="676" customWidth="1"/>
    <col min="8205" max="8205" width="9" style="676"/>
    <col min="8206" max="8206" width="8.88671875" style="676" customWidth="1"/>
    <col min="8207" max="8452" width="9" style="676"/>
    <col min="8453" max="8453" width="43" style="676" customWidth="1"/>
    <col min="8454" max="8454" width="15.6640625" style="676" customWidth="1"/>
    <col min="8455" max="8455" width="14.6640625" style="676" customWidth="1"/>
    <col min="8456" max="8457" width="13.33203125" style="676" customWidth="1"/>
    <col min="8458" max="8460" width="16.6640625" style="676" customWidth="1"/>
    <col min="8461" max="8461" width="9" style="676"/>
    <col min="8462" max="8462" width="8.88671875" style="676" customWidth="1"/>
    <col min="8463" max="8708" width="9" style="676"/>
    <col min="8709" max="8709" width="43" style="676" customWidth="1"/>
    <col min="8710" max="8710" width="15.6640625" style="676" customWidth="1"/>
    <col min="8711" max="8711" width="14.6640625" style="676" customWidth="1"/>
    <col min="8712" max="8713" width="13.33203125" style="676" customWidth="1"/>
    <col min="8714" max="8716" width="16.6640625" style="676" customWidth="1"/>
    <col min="8717" max="8717" width="9" style="676"/>
    <col min="8718" max="8718" width="8.88671875" style="676" customWidth="1"/>
    <col min="8719" max="8964" width="9" style="676"/>
    <col min="8965" max="8965" width="43" style="676" customWidth="1"/>
    <col min="8966" max="8966" width="15.6640625" style="676" customWidth="1"/>
    <col min="8967" max="8967" width="14.6640625" style="676" customWidth="1"/>
    <col min="8968" max="8969" width="13.33203125" style="676" customWidth="1"/>
    <col min="8970" max="8972" width="16.6640625" style="676" customWidth="1"/>
    <col min="8973" max="8973" width="9" style="676"/>
    <col min="8974" max="8974" width="8.88671875" style="676" customWidth="1"/>
    <col min="8975" max="9220" width="9" style="676"/>
    <col min="9221" max="9221" width="43" style="676" customWidth="1"/>
    <col min="9222" max="9222" width="15.6640625" style="676" customWidth="1"/>
    <col min="9223" max="9223" width="14.6640625" style="676" customWidth="1"/>
    <col min="9224" max="9225" width="13.33203125" style="676" customWidth="1"/>
    <col min="9226" max="9228" width="16.6640625" style="676" customWidth="1"/>
    <col min="9229" max="9229" width="9" style="676"/>
    <col min="9230" max="9230" width="8.88671875" style="676" customWidth="1"/>
    <col min="9231" max="9476" width="9" style="676"/>
    <col min="9477" max="9477" width="43" style="676" customWidth="1"/>
    <col min="9478" max="9478" width="15.6640625" style="676" customWidth="1"/>
    <col min="9479" max="9479" width="14.6640625" style="676" customWidth="1"/>
    <col min="9480" max="9481" width="13.33203125" style="676" customWidth="1"/>
    <col min="9482" max="9484" width="16.6640625" style="676" customWidth="1"/>
    <col min="9485" max="9485" width="9" style="676"/>
    <col min="9486" max="9486" width="8.88671875" style="676" customWidth="1"/>
    <col min="9487" max="9732" width="9" style="676"/>
    <col min="9733" max="9733" width="43" style="676" customWidth="1"/>
    <col min="9734" max="9734" width="15.6640625" style="676" customWidth="1"/>
    <col min="9735" max="9735" width="14.6640625" style="676" customWidth="1"/>
    <col min="9736" max="9737" width="13.33203125" style="676" customWidth="1"/>
    <col min="9738" max="9740" width="16.6640625" style="676" customWidth="1"/>
    <col min="9741" max="9741" width="9" style="676"/>
    <col min="9742" max="9742" width="8.88671875" style="676" customWidth="1"/>
    <col min="9743" max="9988" width="9" style="676"/>
    <col min="9989" max="9989" width="43" style="676" customWidth="1"/>
    <col min="9990" max="9990" width="15.6640625" style="676" customWidth="1"/>
    <col min="9991" max="9991" width="14.6640625" style="676" customWidth="1"/>
    <col min="9992" max="9993" width="13.33203125" style="676" customWidth="1"/>
    <col min="9994" max="9996" width="16.6640625" style="676" customWidth="1"/>
    <col min="9997" max="9997" width="9" style="676"/>
    <col min="9998" max="9998" width="8.88671875" style="676" customWidth="1"/>
    <col min="9999" max="10244" width="9" style="676"/>
    <col min="10245" max="10245" width="43" style="676" customWidth="1"/>
    <col min="10246" max="10246" width="15.6640625" style="676" customWidth="1"/>
    <col min="10247" max="10247" width="14.6640625" style="676" customWidth="1"/>
    <col min="10248" max="10249" width="13.33203125" style="676" customWidth="1"/>
    <col min="10250" max="10252" width="16.6640625" style="676" customWidth="1"/>
    <col min="10253" max="10253" width="9" style="676"/>
    <col min="10254" max="10254" width="8.88671875" style="676" customWidth="1"/>
    <col min="10255" max="10500" width="9" style="676"/>
    <col min="10501" max="10501" width="43" style="676" customWidth="1"/>
    <col min="10502" max="10502" width="15.6640625" style="676" customWidth="1"/>
    <col min="10503" max="10503" width="14.6640625" style="676" customWidth="1"/>
    <col min="10504" max="10505" width="13.33203125" style="676" customWidth="1"/>
    <col min="10506" max="10508" width="16.6640625" style="676" customWidth="1"/>
    <col min="10509" max="10509" width="9" style="676"/>
    <col min="10510" max="10510" width="8.88671875" style="676" customWidth="1"/>
    <col min="10511" max="10756" width="9" style="676"/>
    <col min="10757" max="10757" width="43" style="676" customWidth="1"/>
    <col min="10758" max="10758" width="15.6640625" style="676" customWidth="1"/>
    <col min="10759" max="10759" width="14.6640625" style="676" customWidth="1"/>
    <col min="10760" max="10761" width="13.33203125" style="676" customWidth="1"/>
    <col min="10762" max="10764" width="16.6640625" style="676" customWidth="1"/>
    <col min="10765" max="10765" width="9" style="676"/>
    <col min="10766" max="10766" width="8.88671875" style="676" customWidth="1"/>
    <col min="10767" max="11012" width="9" style="676"/>
    <col min="11013" max="11013" width="43" style="676" customWidth="1"/>
    <col min="11014" max="11014" width="15.6640625" style="676" customWidth="1"/>
    <col min="11015" max="11015" width="14.6640625" style="676" customWidth="1"/>
    <col min="11016" max="11017" width="13.33203125" style="676" customWidth="1"/>
    <col min="11018" max="11020" width="16.6640625" style="676" customWidth="1"/>
    <col min="11021" max="11021" width="9" style="676"/>
    <col min="11022" max="11022" width="8.88671875" style="676" customWidth="1"/>
    <col min="11023" max="11268" width="9" style="676"/>
    <col min="11269" max="11269" width="43" style="676" customWidth="1"/>
    <col min="11270" max="11270" width="15.6640625" style="676" customWidth="1"/>
    <col min="11271" max="11271" width="14.6640625" style="676" customWidth="1"/>
    <col min="11272" max="11273" width="13.33203125" style="676" customWidth="1"/>
    <col min="11274" max="11276" width="16.6640625" style="676" customWidth="1"/>
    <col min="11277" max="11277" width="9" style="676"/>
    <col min="11278" max="11278" width="8.88671875" style="676" customWidth="1"/>
    <col min="11279" max="11524" width="9" style="676"/>
    <col min="11525" max="11525" width="43" style="676" customWidth="1"/>
    <col min="11526" max="11526" width="15.6640625" style="676" customWidth="1"/>
    <col min="11527" max="11527" width="14.6640625" style="676" customWidth="1"/>
    <col min="11528" max="11529" width="13.33203125" style="676" customWidth="1"/>
    <col min="11530" max="11532" width="16.6640625" style="676" customWidth="1"/>
    <col min="11533" max="11533" width="9" style="676"/>
    <col min="11534" max="11534" width="8.88671875" style="676" customWidth="1"/>
    <col min="11535" max="11780" width="9" style="676"/>
    <col min="11781" max="11781" width="43" style="676" customWidth="1"/>
    <col min="11782" max="11782" width="15.6640625" style="676" customWidth="1"/>
    <col min="11783" max="11783" width="14.6640625" style="676" customWidth="1"/>
    <col min="11784" max="11785" width="13.33203125" style="676" customWidth="1"/>
    <col min="11786" max="11788" width="16.6640625" style="676" customWidth="1"/>
    <col min="11789" max="11789" width="9" style="676"/>
    <col min="11790" max="11790" width="8.88671875" style="676" customWidth="1"/>
    <col min="11791" max="12036" width="9" style="676"/>
    <col min="12037" max="12037" width="43" style="676" customWidth="1"/>
    <col min="12038" max="12038" width="15.6640625" style="676" customWidth="1"/>
    <col min="12039" max="12039" width="14.6640625" style="676" customWidth="1"/>
    <col min="12040" max="12041" width="13.33203125" style="676" customWidth="1"/>
    <col min="12042" max="12044" width="16.6640625" style="676" customWidth="1"/>
    <col min="12045" max="12045" width="9" style="676"/>
    <col min="12046" max="12046" width="8.88671875" style="676" customWidth="1"/>
    <col min="12047" max="12292" width="9" style="676"/>
    <col min="12293" max="12293" width="43" style="676" customWidth="1"/>
    <col min="12294" max="12294" width="15.6640625" style="676" customWidth="1"/>
    <col min="12295" max="12295" width="14.6640625" style="676" customWidth="1"/>
    <col min="12296" max="12297" width="13.33203125" style="676" customWidth="1"/>
    <col min="12298" max="12300" width="16.6640625" style="676" customWidth="1"/>
    <col min="12301" max="12301" width="9" style="676"/>
    <col min="12302" max="12302" width="8.88671875" style="676" customWidth="1"/>
    <col min="12303" max="12548" width="9" style="676"/>
    <col min="12549" max="12549" width="43" style="676" customWidth="1"/>
    <col min="12550" max="12550" width="15.6640625" style="676" customWidth="1"/>
    <col min="12551" max="12551" width="14.6640625" style="676" customWidth="1"/>
    <col min="12552" max="12553" width="13.33203125" style="676" customWidth="1"/>
    <col min="12554" max="12556" width="16.6640625" style="676" customWidth="1"/>
    <col min="12557" max="12557" width="9" style="676"/>
    <col min="12558" max="12558" width="8.88671875" style="676" customWidth="1"/>
    <col min="12559" max="12804" width="9" style="676"/>
    <col min="12805" max="12805" width="43" style="676" customWidth="1"/>
    <col min="12806" max="12806" width="15.6640625" style="676" customWidth="1"/>
    <col min="12807" max="12807" width="14.6640625" style="676" customWidth="1"/>
    <col min="12808" max="12809" width="13.33203125" style="676" customWidth="1"/>
    <col min="12810" max="12812" width="16.6640625" style="676" customWidth="1"/>
    <col min="12813" max="12813" width="9" style="676"/>
    <col min="12814" max="12814" width="8.88671875" style="676" customWidth="1"/>
    <col min="12815" max="13060" width="9" style="676"/>
    <col min="13061" max="13061" width="43" style="676" customWidth="1"/>
    <col min="13062" max="13062" width="15.6640625" style="676" customWidth="1"/>
    <col min="13063" max="13063" width="14.6640625" style="676" customWidth="1"/>
    <col min="13064" max="13065" width="13.33203125" style="676" customWidth="1"/>
    <col min="13066" max="13068" width="16.6640625" style="676" customWidth="1"/>
    <col min="13069" max="13069" width="9" style="676"/>
    <col min="13070" max="13070" width="8.88671875" style="676" customWidth="1"/>
    <col min="13071" max="13316" width="9" style="676"/>
    <col min="13317" max="13317" width="43" style="676" customWidth="1"/>
    <col min="13318" max="13318" width="15.6640625" style="676" customWidth="1"/>
    <col min="13319" max="13319" width="14.6640625" style="676" customWidth="1"/>
    <col min="13320" max="13321" width="13.33203125" style="676" customWidth="1"/>
    <col min="13322" max="13324" width="16.6640625" style="676" customWidth="1"/>
    <col min="13325" max="13325" width="9" style="676"/>
    <col min="13326" max="13326" width="8.88671875" style="676" customWidth="1"/>
    <col min="13327" max="13572" width="9" style="676"/>
    <col min="13573" max="13573" width="43" style="676" customWidth="1"/>
    <col min="13574" max="13574" width="15.6640625" style="676" customWidth="1"/>
    <col min="13575" max="13575" width="14.6640625" style="676" customWidth="1"/>
    <col min="13576" max="13577" width="13.33203125" style="676" customWidth="1"/>
    <col min="13578" max="13580" width="16.6640625" style="676" customWidth="1"/>
    <col min="13581" max="13581" width="9" style="676"/>
    <col min="13582" max="13582" width="8.88671875" style="676" customWidth="1"/>
    <col min="13583" max="13828" width="9" style="676"/>
    <col min="13829" max="13829" width="43" style="676" customWidth="1"/>
    <col min="13830" max="13830" width="15.6640625" style="676" customWidth="1"/>
    <col min="13831" max="13831" width="14.6640625" style="676" customWidth="1"/>
    <col min="13832" max="13833" width="13.33203125" style="676" customWidth="1"/>
    <col min="13834" max="13836" width="16.6640625" style="676" customWidth="1"/>
    <col min="13837" max="13837" width="9" style="676"/>
    <col min="13838" max="13838" width="8.88671875" style="676" customWidth="1"/>
    <col min="13839" max="14084" width="9" style="676"/>
    <col min="14085" max="14085" width="43" style="676" customWidth="1"/>
    <col min="14086" max="14086" width="15.6640625" style="676" customWidth="1"/>
    <col min="14087" max="14087" width="14.6640625" style="676" customWidth="1"/>
    <col min="14088" max="14089" width="13.33203125" style="676" customWidth="1"/>
    <col min="14090" max="14092" width="16.6640625" style="676" customWidth="1"/>
    <col min="14093" max="14093" width="9" style="676"/>
    <col min="14094" max="14094" width="8.88671875" style="676" customWidth="1"/>
    <col min="14095" max="14340" width="9" style="676"/>
    <col min="14341" max="14341" width="43" style="676" customWidth="1"/>
    <col min="14342" max="14342" width="15.6640625" style="676" customWidth="1"/>
    <col min="14343" max="14343" width="14.6640625" style="676" customWidth="1"/>
    <col min="14344" max="14345" width="13.33203125" style="676" customWidth="1"/>
    <col min="14346" max="14348" width="16.6640625" style="676" customWidth="1"/>
    <col min="14349" max="14349" width="9" style="676"/>
    <col min="14350" max="14350" width="8.88671875" style="676" customWidth="1"/>
    <col min="14351" max="14596" width="9" style="676"/>
    <col min="14597" max="14597" width="43" style="676" customWidth="1"/>
    <col min="14598" max="14598" width="15.6640625" style="676" customWidth="1"/>
    <col min="14599" max="14599" width="14.6640625" style="676" customWidth="1"/>
    <col min="14600" max="14601" width="13.33203125" style="676" customWidth="1"/>
    <col min="14602" max="14604" width="16.6640625" style="676" customWidth="1"/>
    <col min="14605" max="14605" width="9" style="676"/>
    <col min="14606" max="14606" width="8.88671875" style="676" customWidth="1"/>
    <col min="14607" max="14852" width="9" style="676"/>
    <col min="14853" max="14853" width="43" style="676" customWidth="1"/>
    <col min="14854" max="14854" width="15.6640625" style="676" customWidth="1"/>
    <col min="14855" max="14855" width="14.6640625" style="676" customWidth="1"/>
    <col min="14856" max="14857" width="13.33203125" style="676" customWidth="1"/>
    <col min="14858" max="14860" width="16.6640625" style="676" customWidth="1"/>
    <col min="14861" max="14861" width="9" style="676"/>
    <col min="14862" max="14862" width="8.88671875" style="676" customWidth="1"/>
    <col min="14863" max="15108" width="9" style="676"/>
    <col min="15109" max="15109" width="43" style="676" customWidth="1"/>
    <col min="15110" max="15110" width="15.6640625" style="676" customWidth="1"/>
    <col min="15111" max="15111" width="14.6640625" style="676" customWidth="1"/>
    <col min="15112" max="15113" width="13.33203125" style="676" customWidth="1"/>
    <col min="15114" max="15116" width="16.6640625" style="676" customWidth="1"/>
    <col min="15117" max="15117" width="9" style="676"/>
    <col min="15118" max="15118" width="8.88671875" style="676" customWidth="1"/>
    <col min="15119" max="15364" width="9" style="676"/>
    <col min="15365" max="15365" width="43" style="676" customWidth="1"/>
    <col min="15366" max="15366" width="15.6640625" style="676" customWidth="1"/>
    <col min="15367" max="15367" width="14.6640625" style="676" customWidth="1"/>
    <col min="15368" max="15369" width="13.33203125" style="676" customWidth="1"/>
    <col min="15370" max="15372" width="16.6640625" style="676" customWidth="1"/>
    <col min="15373" max="15373" width="9" style="676"/>
    <col min="15374" max="15374" width="8.88671875" style="676" customWidth="1"/>
    <col min="15375" max="15620" width="9" style="676"/>
    <col min="15621" max="15621" width="43" style="676" customWidth="1"/>
    <col min="15622" max="15622" width="15.6640625" style="676" customWidth="1"/>
    <col min="15623" max="15623" width="14.6640625" style="676" customWidth="1"/>
    <col min="15624" max="15625" width="13.33203125" style="676" customWidth="1"/>
    <col min="15626" max="15628" width="16.6640625" style="676" customWidth="1"/>
    <col min="15629" max="15629" width="9" style="676"/>
    <col min="15630" max="15630" width="8.88671875" style="676" customWidth="1"/>
    <col min="15631" max="15876" width="9" style="676"/>
    <col min="15877" max="15877" width="43" style="676" customWidth="1"/>
    <col min="15878" max="15878" width="15.6640625" style="676" customWidth="1"/>
    <col min="15879" max="15879" width="14.6640625" style="676" customWidth="1"/>
    <col min="15880" max="15881" width="13.33203125" style="676" customWidth="1"/>
    <col min="15882" max="15884" width="16.6640625" style="676" customWidth="1"/>
    <col min="15885" max="15885" width="9" style="676"/>
    <col min="15886" max="15886" width="8.88671875" style="676" customWidth="1"/>
    <col min="15887" max="16132" width="9" style="676"/>
    <col min="16133" max="16133" width="43" style="676" customWidth="1"/>
    <col min="16134" max="16134" width="15.6640625" style="676" customWidth="1"/>
    <col min="16135" max="16135" width="14.6640625" style="676" customWidth="1"/>
    <col min="16136" max="16137" width="13.33203125" style="676" customWidth="1"/>
    <col min="16138" max="16140" width="16.6640625" style="676" customWidth="1"/>
    <col min="16141" max="16141" width="9" style="676"/>
    <col min="16142" max="16142" width="8.88671875" style="676" customWidth="1"/>
    <col min="16143" max="16384" width="9" style="676"/>
  </cols>
  <sheetData>
    <row r="1" spans="1:39" ht="26.4" customHeight="1">
      <c r="A1" s="529" t="s">
        <v>0</v>
      </c>
      <c r="K1" s="680"/>
    </row>
    <row r="2" spans="1:39" ht="30.6" customHeight="1">
      <c r="A2" s="529" t="s">
        <v>834</v>
      </c>
      <c r="B2" s="529"/>
      <c r="C2" s="529"/>
      <c r="D2" s="529"/>
      <c r="E2" s="679"/>
      <c r="F2" s="529"/>
      <c r="G2" s="529"/>
      <c r="H2" s="529"/>
      <c r="I2" s="529"/>
      <c r="J2" s="529"/>
      <c r="K2" s="1006"/>
      <c r="L2" s="807"/>
      <c r="M2" s="529"/>
      <c r="N2" s="529"/>
      <c r="O2" s="529"/>
      <c r="R2" s="701"/>
      <c r="T2" s="680"/>
      <c r="U2" s="680"/>
      <c r="V2" s="680"/>
      <c r="W2" s="680"/>
    </row>
    <row r="3" spans="1:39" ht="30.6" customHeight="1">
      <c r="A3" s="529"/>
      <c r="B3" s="529"/>
      <c r="C3" s="529"/>
      <c r="D3" s="529"/>
      <c r="E3" s="679"/>
      <c r="F3" s="529"/>
      <c r="G3" s="529"/>
      <c r="H3" s="529"/>
      <c r="I3" s="1021"/>
      <c r="J3" s="529"/>
      <c r="K3" s="1006"/>
      <c r="L3" s="807"/>
      <c r="M3" s="529"/>
      <c r="N3" s="529"/>
      <c r="O3" s="529"/>
      <c r="R3" s="701"/>
      <c r="T3" s="680"/>
      <c r="U3" s="680"/>
      <c r="V3" s="680"/>
      <c r="W3" s="680"/>
    </row>
    <row r="4" spans="1:39" ht="28.95" customHeight="1" thickBot="1">
      <c r="W4" s="680"/>
      <c r="AB4" s="680"/>
      <c r="AD4" s="701"/>
    </row>
    <row r="5" spans="1:39" ht="37.950000000000003" customHeight="1" thickBot="1">
      <c r="A5" s="1090" t="s">
        <v>569</v>
      </c>
      <c r="B5" s="1100" t="s">
        <v>517</v>
      </c>
      <c r="C5" s="1100" t="s">
        <v>570</v>
      </c>
      <c r="D5" s="1092" t="s">
        <v>571</v>
      </c>
      <c r="E5" s="1092" t="s">
        <v>572</v>
      </c>
      <c r="F5" s="1097" t="s">
        <v>573</v>
      </c>
      <c r="G5" s="1098"/>
      <c r="H5" s="1098"/>
      <c r="I5" s="1098"/>
      <c r="J5" s="1099"/>
      <c r="K5" s="1095" t="s">
        <v>574</v>
      </c>
      <c r="L5" s="1088" t="s">
        <v>575</v>
      </c>
      <c r="M5" s="1110" t="s">
        <v>575</v>
      </c>
      <c r="N5" s="1112" t="s">
        <v>576</v>
      </c>
      <c r="O5" s="1114" t="s">
        <v>576</v>
      </c>
      <c r="P5" s="1116" t="s">
        <v>873</v>
      </c>
      <c r="Q5" s="1110" t="s">
        <v>873</v>
      </c>
      <c r="R5" s="1116" t="s">
        <v>874</v>
      </c>
      <c r="S5" s="1110" t="s">
        <v>874</v>
      </c>
      <c r="T5" s="1118" t="s">
        <v>577</v>
      </c>
      <c r="U5" s="1102" t="s">
        <v>577</v>
      </c>
      <c r="V5" s="1104" t="s">
        <v>578</v>
      </c>
      <c r="W5" s="1105"/>
      <c r="X5" s="1105"/>
      <c r="Y5" s="1105"/>
      <c r="Z5" s="1105"/>
      <c r="AA5" s="1105"/>
      <c r="AB5" s="1105"/>
      <c r="AC5" s="835"/>
      <c r="AD5" s="1106" t="s">
        <v>579</v>
      </c>
      <c r="AE5" s="1108" t="s">
        <v>580</v>
      </c>
    </row>
    <row r="6" spans="1:39" ht="35.4" customHeight="1" thickBot="1">
      <c r="A6" s="1091"/>
      <c r="B6" s="1101"/>
      <c r="C6" s="1101"/>
      <c r="D6" s="1093"/>
      <c r="E6" s="1094"/>
      <c r="F6" s="858" t="s">
        <v>581</v>
      </c>
      <c r="G6" s="859" t="s">
        <v>165</v>
      </c>
      <c r="H6" s="860" t="s">
        <v>165</v>
      </c>
      <c r="I6" s="859" t="s">
        <v>582</v>
      </c>
      <c r="J6" s="861" t="s">
        <v>582</v>
      </c>
      <c r="K6" s="1096"/>
      <c r="L6" s="1089"/>
      <c r="M6" s="1111"/>
      <c r="N6" s="1113"/>
      <c r="O6" s="1115"/>
      <c r="P6" s="1117"/>
      <c r="Q6" s="1109"/>
      <c r="R6" s="1117"/>
      <c r="S6" s="1109"/>
      <c r="T6" s="1119"/>
      <c r="U6" s="1103"/>
      <c r="V6" s="1007" t="s">
        <v>583</v>
      </c>
      <c r="W6" s="857" t="s">
        <v>583</v>
      </c>
      <c r="X6" s="855" t="s">
        <v>584</v>
      </c>
      <c r="Y6" s="960" t="s">
        <v>585</v>
      </c>
      <c r="Z6" s="1011" t="s">
        <v>586</v>
      </c>
      <c r="AA6" s="856" t="s">
        <v>586</v>
      </c>
      <c r="AB6" s="1007" t="s">
        <v>587</v>
      </c>
      <c r="AC6" s="856" t="s">
        <v>587</v>
      </c>
      <c r="AD6" s="1107"/>
      <c r="AE6" s="1109"/>
    </row>
    <row r="7" spans="1:39" s="687" customFormat="1" ht="21" customHeight="1">
      <c r="A7" s="836"/>
      <c r="B7" s="682"/>
      <c r="C7" s="851"/>
      <c r="D7" s="682"/>
      <c r="E7" s="690"/>
      <c r="F7" s="681"/>
      <c r="G7" s="815"/>
      <c r="H7" s="828"/>
      <c r="I7" s="815"/>
      <c r="J7" s="683"/>
      <c r="K7" s="836"/>
      <c r="L7" s="809"/>
      <c r="M7" s="828"/>
      <c r="N7" s="815"/>
      <c r="O7" s="866"/>
      <c r="P7" s="808"/>
      <c r="Q7" s="823"/>
      <c r="R7" s="808"/>
      <c r="S7" s="823"/>
      <c r="T7" s="827"/>
      <c r="U7" s="683"/>
      <c r="V7" s="1008"/>
      <c r="W7" s="853"/>
      <c r="X7" s="686"/>
      <c r="Y7" s="961"/>
      <c r="Z7" s="1012"/>
      <c r="AA7" s="852"/>
      <c r="AB7" s="1008"/>
      <c r="AC7" s="684"/>
      <c r="AD7" s="685"/>
      <c r="AE7" s="854"/>
      <c r="AM7" s="991"/>
    </row>
    <row r="8" spans="1:39" ht="24" customHeight="1">
      <c r="A8" s="837"/>
      <c r="B8" s="688" t="s">
        <v>588</v>
      </c>
      <c r="C8" s="689"/>
      <c r="D8" s="780"/>
      <c r="E8" s="690"/>
      <c r="F8" s="695"/>
      <c r="G8" s="817"/>
      <c r="H8" s="825"/>
      <c r="I8" s="817"/>
      <c r="J8" s="692"/>
      <c r="K8" s="945">
        <f>J16*75%*75%</f>
        <v>889912.98562499997</v>
      </c>
      <c r="L8" s="811"/>
      <c r="M8" s="946"/>
      <c r="N8" s="821"/>
      <c r="O8" s="867"/>
      <c r="P8" s="813"/>
      <c r="Q8" s="824"/>
      <c r="R8" s="813"/>
      <c r="S8" s="824"/>
      <c r="T8" s="829"/>
      <c r="U8" s="692"/>
      <c r="V8" s="1009"/>
      <c r="W8" s="871"/>
      <c r="X8" s="696"/>
      <c r="Y8" s="698"/>
      <c r="Z8" s="1013"/>
      <c r="AA8" s="697"/>
      <c r="AB8" s="1009"/>
      <c r="AC8" s="700"/>
      <c r="AD8" s="694"/>
      <c r="AE8" s="838"/>
    </row>
    <row r="9" spans="1:39" ht="24" customHeight="1">
      <c r="A9" s="837">
        <v>1</v>
      </c>
      <c r="B9" s="689" t="s">
        <v>589</v>
      </c>
      <c r="C9" s="689" t="s">
        <v>590</v>
      </c>
      <c r="D9" s="780">
        <v>3330440</v>
      </c>
      <c r="E9" s="690" t="s">
        <v>591</v>
      </c>
      <c r="F9" s="695">
        <v>218243.90000000002</v>
      </c>
      <c r="G9" s="817">
        <f>I9-F9</f>
        <v>0</v>
      </c>
      <c r="H9" s="825">
        <f>J9-F9</f>
        <v>-84602.5</v>
      </c>
      <c r="I9" s="817">
        <f>445743.9-227500</f>
        <v>218243.90000000002</v>
      </c>
      <c r="J9" s="692">
        <f>900141.4-766500</f>
        <v>133641.40000000002</v>
      </c>
      <c r="K9" s="945" t="s">
        <v>592</v>
      </c>
      <c r="L9" s="811"/>
      <c r="M9" s="946"/>
      <c r="N9" s="821">
        <v>566813.46</v>
      </c>
      <c r="O9" s="867"/>
      <c r="P9" s="813">
        <v>227500</v>
      </c>
      <c r="Q9" s="824">
        <v>766500</v>
      </c>
      <c r="R9" s="813">
        <v>1822468.7132999999</v>
      </c>
      <c r="S9" s="824">
        <v>2283336.52</v>
      </c>
      <c r="T9" s="829">
        <f>+I9+L9+N9+R9+P9</f>
        <v>2835026.0732999998</v>
      </c>
      <c r="U9" s="692">
        <f>+J9+M9+O9+S9+Q9</f>
        <v>3183477.92</v>
      </c>
      <c r="V9" s="1016">
        <v>499566</v>
      </c>
      <c r="W9" s="871">
        <v>499566</v>
      </c>
      <c r="X9" s="696"/>
      <c r="Y9" s="698">
        <v>0.15</v>
      </c>
      <c r="Z9" s="1013">
        <v>499566</v>
      </c>
      <c r="AA9" s="697">
        <v>477521.69</v>
      </c>
      <c r="AB9" s="1009">
        <f>V9-Z9</f>
        <v>0</v>
      </c>
      <c r="AC9" s="700">
        <f>W9-AA9</f>
        <v>22044.309999999998</v>
      </c>
      <c r="AD9" s="694">
        <f>AB9+T9</f>
        <v>2835026.0732999998</v>
      </c>
      <c r="AE9" s="838">
        <f>AC9+U9</f>
        <v>3205522.23</v>
      </c>
      <c r="AG9" s="701">
        <f>AD9-AE9</f>
        <v>-370496.15670000017</v>
      </c>
      <c r="AM9" s="680">
        <f>T9-U9</f>
        <v>-348451.84670000011</v>
      </c>
    </row>
    <row r="10" spans="1:39" ht="24" customHeight="1">
      <c r="A10" s="837">
        <f>+A9+1</f>
        <v>2</v>
      </c>
      <c r="B10" s="689" t="s">
        <v>593</v>
      </c>
      <c r="C10" s="699" t="s">
        <v>594</v>
      </c>
      <c r="D10" s="780">
        <v>2128651</v>
      </c>
      <c r="E10" s="690" t="s">
        <v>591</v>
      </c>
      <c r="F10" s="695">
        <v>1295741.6073271399</v>
      </c>
      <c r="G10" s="817">
        <f>I10-F10</f>
        <v>205002.86427585641</v>
      </c>
      <c r="H10" s="825">
        <f t="shared" ref="H10:H29" si="0">J10-F10</f>
        <v>722058.9326728601</v>
      </c>
      <c r="I10" s="817">
        <v>1500744.4716029963</v>
      </c>
      <c r="J10" s="692">
        <v>2017800.54</v>
      </c>
      <c r="K10" s="945" t="s">
        <v>595</v>
      </c>
      <c r="L10" s="811">
        <v>-320048.83122620638</v>
      </c>
      <c r="M10" s="946">
        <v>-584620</v>
      </c>
      <c r="N10" s="821">
        <v>342662.86385088635</v>
      </c>
      <c r="O10" s="867">
        <v>151321.72</v>
      </c>
      <c r="P10" s="813"/>
      <c r="Q10" s="824"/>
      <c r="R10" s="813"/>
      <c r="S10" s="824"/>
      <c r="T10" s="829">
        <f>+I10+L10+N10+R10+P10</f>
        <v>1523358.5042276764</v>
      </c>
      <c r="U10" s="692">
        <v>1650462.71</v>
      </c>
      <c r="V10" s="1016"/>
      <c r="W10" s="871"/>
      <c r="X10" s="696"/>
      <c r="Y10" s="698"/>
      <c r="Z10" s="1013">
        <f t="shared" ref="Z10:Z12" si="1">IF((T10*Y10)&lt;V10,(T10*Y10),V10)</f>
        <v>0</v>
      </c>
      <c r="AA10" s="697">
        <v>0</v>
      </c>
      <c r="AB10" s="1009">
        <f t="shared" ref="AB10:AB74" si="2">V10-Z10</f>
        <v>0</v>
      </c>
      <c r="AC10" s="700">
        <v>0</v>
      </c>
      <c r="AD10" s="694">
        <f>AB10+T10</f>
        <v>1523358.5042276764</v>
      </c>
      <c r="AE10" s="838">
        <f t="shared" ref="AE10:AE74" si="3">AC10+U10</f>
        <v>1650462.71</v>
      </c>
      <c r="AG10" s="701">
        <f t="shared" ref="AG10:AG74" si="4">AD10-AE10</f>
        <v>-127104.20577232353</v>
      </c>
      <c r="AH10" s="701"/>
      <c r="AM10" s="680">
        <f t="shared" ref="AM10:AM74" si="5">T10-U10</f>
        <v>-127104.20577232353</v>
      </c>
    </row>
    <row r="11" spans="1:39" ht="24" customHeight="1">
      <c r="A11" s="837">
        <f t="shared" ref="A11:A29" si="6">+A10+1</f>
        <v>3</v>
      </c>
      <c r="B11" s="689" t="s">
        <v>596</v>
      </c>
      <c r="C11" s="689" t="s">
        <v>597</v>
      </c>
      <c r="D11" s="780">
        <v>4111821</v>
      </c>
      <c r="E11" s="690" t="s">
        <v>591</v>
      </c>
      <c r="F11" s="695">
        <v>1870362.1499438528</v>
      </c>
      <c r="G11" s="817">
        <f t="shared" ref="G11:G29" si="7">I11-F11</f>
        <v>148165.58376003057</v>
      </c>
      <c r="H11" s="825">
        <f t="shared" si="0"/>
        <v>538970.47005614731</v>
      </c>
      <c r="I11" s="817">
        <v>2018527.7337038834</v>
      </c>
      <c r="J11" s="692">
        <v>2409332.62</v>
      </c>
      <c r="K11" s="945" t="s">
        <v>254</v>
      </c>
      <c r="L11" s="811">
        <v>-97030.733602722525</v>
      </c>
      <c r="M11" s="946">
        <v>-132458</v>
      </c>
      <c r="N11" s="821"/>
      <c r="O11" s="867"/>
      <c r="P11" s="813">
        <v>1090574.3723689038</v>
      </c>
      <c r="Q11" s="824">
        <v>1298439.8</v>
      </c>
      <c r="R11" s="813">
        <v>328306.01378012478</v>
      </c>
      <c r="S11" s="824">
        <v>446253.6</v>
      </c>
      <c r="T11" s="829">
        <f t="shared" ref="T11:U29" si="8">+I11+L11+N11+R11+P11</f>
        <v>3340377.3862501895</v>
      </c>
      <c r="U11" s="692">
        <f>+J11+M11+O11+S11+Q11</f>
        <v>4021568.0200000005</v>
      </c>
      <c r="V11" s="1016"/>
      <c r="W11" s="871"/>
      <c r="X11" s="696"/>
      <c r="Y11" s="698"/>
      <c r="Z11" s="1013">
        <f t="shared" si="1"/>
        <v>0</v>
      </c>
      <c r="AA11" s="697">
        <v>0</v>
      </c>
      <c r="AB11" s="1009">
        <f t="shared" si="2"/>
        <v>0</v>
      </c>
      <c r="AC11" s="700">
        <v>0</v>
      </c>
      <c r="AD11" s="694">
        <f t="shared" ref="AD11:AD29" si="9">AB11+T11</f>
        <v>3340377.3862501895</v>
      </c>
      <c r="AE11" s="838">
        <f t="shared" si="3"/>
        <v>4021568.0200000005</v>
      </c>
      <c r="AG11" s="701">
        <f>AD11-AE11</f>
        <v>-681190.63374981098</v>
      </c>
      <c r="AM11" s="680">
        <f t="shared" si="5"/>
        <v>-681190.63374981098</v>
      </c>
    </row>
    <row r="12" spans="1:39" ht="24" customHeight="1">
      <c r="A12" s="837">
        <f t="shared" si="6"/>
        <v>4</v>
      </c>
      <c r="B12" s="689" t="s">
        <v>598</v>
      </c>
      <c r="C12" s="689" t="s">
        <v>599</v>
      </c>
      <c r="D12" s="780">
        <v>1391469</v>
      </c>
      <c r="E12" s="690" t="s">
        <v>591</v>
      </c>
      <c r="F12" s="695">
        <v>394672.52228000003</v>
      </c>
      <c r="G12" s="817">
        <f>I12-F12</f>
        <v>200774.39234999998</v>
      </c>
      <c r="H12" s="825">
        <f t="shared" si="0"/>
        <v>250700.95771999995</v>
      </c>
      <c r="I12" s="817">
        <v>595446.91463000001</v>
      </c>
      <c r="J12" s="692">
        <v>645373.48</v>
      </c>
      <c r="K12" s="945" t="s">
        <v>600</v>
      </c>
      <c r="L12" s="811"/>
      <c r="M12" s="946"/>
      <c r="N12" s="821"/>
      <c r="O12" s="867"/>
      <c r="P12" s="813"/>
      <c r="Q12" s="824"/>
      <c r="R12" s="813"/>
      <c r="S12" s="824">
        <f>11584.06+3730.46</f>
        <v>15314.52</v>
      </c>
      <c r="T12" s="829">
        <f t="shared" si="8"/>
        <v>595446.91463000001</v>
      </c>
      <c r="U12" s="692">
        <f>+J12+M12+O12+S12+Q12</f>
        <v>660688</v>
      </c>
      <c r="V12" s="1016"/>
      <c r="W12" s="871"/>
      <c r="X12" s="696"/>
      <c r="Y12" s="698"/>
      <c r="Z12" s="1013">
        <f t="shared" si="1"/>
        <v>0</v>
      </c>
      <c r="AA12" s="697">
        <v>0</v>
      </c>
      <c r="AB12" s="1009">
        <f t="shared" si="2"/>
        <v>0</v>
      </c>
      <c r="AC12" s="700">
        <v>0</v>
      </c>
      <c r="AD12" s="694">
        <f t="shared" si="9"/>
        <v>595446.91463000001</v>
      </c>
      <c r="AE12" s="838">
        <f t="shared" si="3"/>
        <v>660688</v>
      </c>
      <c r="AG12" s="701">
        <f t="shared" si="4"/>
        <v>-65241.085369999986</v>
      </c>
      <c r="AM12" s="680">
        <f t="shared" si="5"/>
        <v>-65241.085369999986</v>
      </c>
    </row>
    <row r="13" spans="1:39" ht="24" customHeight="1">
      <c r="A13" s="837">
        <f t="shared" si="6"/>
        <v>5</v>
      </c>
      <c r="B13" s="689" t="s">
        <v>601</v>
      </c>
      <c r="C13" s="689" t="s">
        <v>602</v>
      </c>
      <c r="D13" s="780">
        <v>5169165</v>
      </c>
      <c r="E13" s="690" t="s">
        <v>591</v>
      </c>
      <c r="F13" s="695">
        <v>1997743.9673793337</v>
      </c>
      <c r="G13" s="817">
        <f>I13-F13</f>
        <v>202258.41454121633</v>
      </c>
      <c r="H13" s="825">
        <f t="shared" si="0"/>
        <v>242051.00262066652</v>
      </c>
      <c r="I13" s="817">
        <f>2056924.14192055+143078.24</f>
        <v>2200002.38192055</v>
      </c>
      <c r="J13" s="692">
        <v>2239794.9700000002</v>
      </c>
      <c r="K13" s="945" t="s">
        <v>254</v>
      </c>
      <c r="L13" s="811">
        <v>-369409.90804938693</v>
      </c>
      <c r="M13" s="946">
        <v>-400717.8</v>
      </c>
      <c r="N13" s="821"/>
      <c r="O13" s="867"/>
      <c r="P13" s="813">
        <v>333333.33333333331</v>
      </c>
      <c r="Q13" s="824">
        <v>501328.76</v>
      </c>
      <c r="R13" s="813">
        <v>0</v>
      </c>
      <c r="S13" s="824">
        <v>0</v>
      </c>
      <c r="T13" s="829">
        <f>+I13+L13+N13+R13+P13</f>
        <v>2163925.8072044966</v>
      </c>
      <c r="U13" s="692">
        <f t="shared" si="8"/>
        <v>2340405.9300000002</v>
      </c>
      <c r="V13" s="1016">
        <v>887874.75</v>
      </c>
      <c r="W13" s="871">
        <v>887874.75</v>
      </c>
      <c r="X13" s="696"/>
      <c r="Y13" s="698">
        <v>0.17499999999999999</v>
      </c>
      <c r="Z13" s="1013">
        <f>IF((T13*Y13)&lt;V13,(T13*Y13),V13)</f>
        <v>378687.01626078686</v>
      </c>
      <c r="AA13" s="697">
        <v>409571.03775000002</v>
      </c>
      <c r="AB13" s="1009">
        <f>V13-Z13</f>
        <v>509187.73373921314</v>
      </c>
      <c r="AC13" s="700">
        <v>478303.71224999998</v>
      </c>
      <c r="AD13" s="694">
        <f>AB13+T13</f>
        <v>2673113.5409437097</v>
      </c>
      <c r="AE13" s="838">
        <f t="shared" si="3"/>
        <v>2818709.64225</v>
      </c>
      <c r="AG13" s="701">
        <f t="shared" si="4"/>
        <v>-145596.10130629037</v>
      </c>
      <c r="AM13" s="680">
        <f t="shared" si="5"/>
        <v>-176480.12279550359</v>
      </c>
    </row>
    <row r="14" spans="1:39" ht="24" customHeight="1">
      <c r="A14" s="837">
        <f t="shared" si="6"/>
        <v>6</v>
      </c>
      <c r="B14" s="689" t="s">
        <v>603</v>
      </c>
      <c r="C14" s="689" t="s">
        <v>604</v>
      </c>
      <c r="D14" s="780">
        <v>1155933</v>
      </c>
      <c r="E14" s="690" t="s">
        <v>591</v>
      </c>
      <c r="F14" s="695">
        <v>428480.51559690497</v>
      </c>
      <c r="G14" s="817">
        <f t="shared" si="7"/>
        <v>7058.2176000002073</v>
      </c>
      <c r="H14" s="825">
        <f t="shared" si="0"/>
        <v>1734.1644030950265</v>
      </c>
      <c r="I14" s="817">
        <v>435538.73319690517</v>
      </c>
      <c r="J14" s="692">
        <f>440809.82-S14</f>
        <v>430214.68</v>
      </c>
      <c r="K14" s="945" t="s">
        <v>592</v>
      </c>
      <c r="L14" s="811"/>
      <c r="M14" s="946"/>
      <c r="N14" s="821"/>
      <c r="O14" s="867"/>
      <c r="P14" s="813"/>
      <c r="Q14" s="824"/>
      <c r="R14" s="813">
        <v>0</v>
      </c>
      <c r="S14" s="824">
        <v>10595.14</v>
      </c>
      <c r="T14" s="829">
        <f>+I14+L14+N14+R14+P14</f>
        <v>435538.73319690517</v>
      </c>
      <c r="U14" s="692">
        <f t="shared" si="8"/>
        <v>440809.82</v>
      </c>
      <c r="V14" s="1016"/>
      <c r="W14" s="871"/>
      <c r="X14" s="696"/>
      <c r="Y14" s="698"/>
      <c r="Z14" s="1013">
        <f t="shared" ref="Z14:Z15" si="10">IF((T14*Y14)&lt;V14,(T14*Y14),V14)</f>
        <v>0</v>
      </c>
      <c r="AA14" s="697">
        <v>0</v>
      </c>
      <c r="AB14" s="1009">
        <f t="shared" si="2"/>
        <v>0</v>
      </c>
      <c r="AC14" s="700">
        <v>0</v>
      </c>
      <c r="AD14" s="694">
        <f t="shared" si="9"/>
        <v>435538.73319690517</v>
      </c>
      <c r="AE14" s="838">
        <f t="shared" si="3"/>
        <v>440809.82</v>
      </c>
      <c r="AG14" s="701">
        <f t="shared" si="4"/>
        <v>-5271.0868030948332</v>
      </c>
      <c r="AM14" s="680">
        <f t="shared" si="5"/>
        <v>-5271.0868030948332</v>
      </c>
    </row>
    <row r="15" spans="1:39" ht="24" customHeight="1">
      <c r="A15" s="837">
        <f t="shared" si="6"/>
        <v>7</v>
      </c>
      <c r="B15" s="689" t="s">
        <v>605</v>
      </c>
      <c r="C15" s="689" t="s">
        <v>606</v>
      </c>
      <c r="D15" s="780">
        <v>3313028.6</v>
      </c>
      <c r="E15" s="690" t="s">
        <v>591</v>
      </c>
      <c r="F15" s="695">
        <v>1576197.1378701767</v>
      </c>
      <c r="G15" s="817">
        <f t="shared" si="7"/>
        <v>314185.89999999991</v>
      </c>
      <c r="H15" s="825">
        <f t="shared" si="0"/>
        <v>403901.32212982327</v>
      </c>
      <c r="I15" s="817">
        <f>F15+314185.9</f>
        <v>1890383.0378701766</v>
      </c>
      <c r="J15" s="692">
        <v>1980098.46</v>
      </c>
      <c r="K15" s="945" t="s">
        <v>592</v>
      </c>
      <c r="L15" s="811"/>
      <c r="M15" s="946"/>
      <c r="N15" s="821"/>
      <c r="O15" s="867"/>
      <c r="P15" s="813"/>
      <c r="Q15" s="824"/>
      <c r="R15" s="813"/>
      <c r="S15" s="824"/>
      <c r="T15" s="829">
        <f t="shared" ref="T15" si="11">+I15+L15+N15+R15+P15</f>
        <v>1890383.0378701766</v>
      </c>
      <c r="U15" s="692">
        <f t="shared" si="8"/>
        <v>1980098.46</v>
      </c>
      <c r="V15" s="1016"/>
      <c r="W15" s="871"/>
      <c r="X15" s="696"/>
      <c r="Y15" s="698"/>
      <c r="Z15" s="1013">
        <f t="shared" si="10"/>
        <v>0</v>
      </c>
      <c r="AA15" s="697">
        <v>0</v>
      </c>
      <c r="AB15" s="1009">
        <f t="shared" si="2"/>
        <v>0</v>
      </c>
      <c r="AC15" s="700">
        <v>0</v>
      </c>
      <c r="AD15" s="694">
        <f t="shared" si="9"/>
        <v>1890383.0378701766</v>
      </c>
      <c r="AE15" s="838">
        <f t="shared" si="3"/>
        <v>1980098.46</v>
      </c>
      <c r="AG15" s="701">
        <f t="shared" si="4"/>
        <v>-89715.422129823361</v>
      </c>
      <c r="AM15" s="680">
        <f t="shared" si="5"/>
        <v>-89715.422129823361</v>
      </c>
    </row>
    <row r="16" spans="1:39" ht="24" customHeight="1">
      <c r="A16" s="837">
        <f t="shared" si="6"/>
        <v>8</v>
      </c>
      <c r="B16" s="689" t="s">
        <v>607</v>
      </c>
      <c r="C16" s="689" t="s">
        <v>608</v>
      </c>
      <c r="D16" s="780">
        <v>4556481</v>
      </c>
      <c r="E16" s="690" t="s">
        <v>591</v>
      </c>
      <c r="F16" s="695">
        <v>513090.80759999994</v>
      </c>
      <c r="G16" s="817">
        <f t="shared" si="7"/>
        <v>944220.13000000012</v>
      </c>
      <c r="H16" s="825">
        <f t="shared" si="0"/>
        <v>1068976.7224000001</v>
      </c>
      <c r="I16" s="817">
        <v>1457310.9376000001</v>
      </c>
      <c r="J16" s="692">
        <v>1582067.53</v>
      </c>
      <c r="K16" s="945" t="s">
        <v>592</v>
      </c>
      <c r="L16" s="811">
        <f>12291.76+15459.84+72030.66</f>
        <v>99782.260000000009</v>
      </c>
      <c r="M16" s="946">
        <f>L16</f>
        <v>99782.260000000009</v>
      </c>
      <c r="N16" s="821">
        <f>1214151.88</f>
        <v>1214151.8799999999</v>
      </c>
      <c r="O16" s="867">
        <f>N16</f>
        <v>1214151.8799999999</v>
      </c>
      <c r="P16" s="813"/>
      <c r="Q16" s="824"/>
      <c r="R16" s="813">
        <v>174729.46</v>
      </c>
      <c r="S16" s="824">
        <f>R16</f>
        <v>174729.46</v>
      </c>
      <c r="T16" s="829">
        <f>+I16+L16+N16+R16+P16</f>
        <v>2945974.5375999999</v>
      </c>
      <c r="U16" s="692">
        <f t="shared" si="8"/>
        <v>3070731.13</v>
      </c>
      <c r="V16" s="1016">
        <f>216955.15+144636</f>
        <v>361591.15</v>
      </c>
      <c r="W16" s="871">
        <v>216955.15</v>
      </c>
      <c r="X16" s="696">
        <v>0.2</v>
      </c>
      <c r="Y16" s="696">
        <v>0.2</v>
      </c>
      <c r="Z16" s="1013">
        <f>AA16</f>
        <v>13848.56</v>
      </c>
      <c r="AA16" s="697">
        <v>13848.56</v>
      </c>
      <c r="AB16" s="1009">
        <f t="shared" si="2"/>
        <v>347742.59</v>
      </c>
      <c r="AC16" s="700">
        <f>W16-AA16</f>
        <v>203106.59</v>
      </c>
      <c r="AD16" s="694">
        <f>AB16+T16</f>
        <v>3293717.1275999998</v>
      </c>
      <c r="AE16" s="838">
        <f t="shared" si="3"/>
        <v>3273837.7199999997</v>
      </c>
      <c r="AG16" s="701">
        <f t="shared" si="4"/>
        <v>19879.407600000035</v>
      </c>
      <c r="AM16" s="680">
        <f t="shared" si="5"/>
        <v>-124756.59239999996</v>
      </c>
    </row>
    <row r="17" spans="1:39" ht="24" customHeight="1">
      <c r="A17" s="837">
        <f t="shared" si="6"/>
        <v>9</v>
      </c>
      <c r="B17" s="689" t="s">
        <v>609</v>
      </c>
      <c r="C17" s="689" t="s">
        <v>610</v>
      </c>
      <c r="D17" s="780">
        <v>1538156.94</v>
      </c>
      <c r="E17" s="690" t="s">
        <v>591</v>
      </c>
      <c r="F17" s="708">
        <v>283571.53142794629</v>
      </c>
      <c r="G17" s="817">
        <f t="shared" si="7"/>
        <v>250314.5483661365</v>
      </c>
      <c r="H17" s="825">
        <f t="shared" si="0"/>
        <v>415254.27758217743</v>
      </c>
      <c r="I17" s="817">
        <v>533886.07979408279</v>
      </c>
      <c r="J17" s="692">
        <f>1311674.86-Q17-S17-AC17</f>
        <v>698825.80901012372</v>
      </c>
      <c r="K17" s="945" t="s">
        <v>611</v>
      </c>
      <c r="L17" s="811"/>
      <c r="M17" s="946"/>
      <c r="N17" s="821"/>
      <c r="O17" s="867"/>
      <c r="P17" s="813">
        <v>125273.8178085</v>
      </c>
      <c r="Q17" s="824">
        <v>117584.70811112624</v>
      </c>
      <c r="R17" s="813">
        <v>412935</v>
      </c>
      <c r="S17" s="824">
        <v>470099.67287875008</v>
      </c>
      <c r="T17" s="829">
        <f>+I17+L17+N17+R17+P17</f>
        <v>1072094.8976025828</v>
      </c>
      <c r="U17" s="692">
        <f t="shared" si="8"/>
        <v>1286510.19</v>
      </c>
      <c r="V17" s="1016">
        <v>153815.69</v>
      </c>
      <c r="W17" s="871">
        <v>153815.69</v>
      </c>
      <c r="X17" s="696"/>
      <c r="Y17" s="698">
        <v>0.1</v>
      </c>
      <c r="Z17" s="1013">
        <f>IF((T17*Y17)&lt;V17,(T17*Y17),V17)</f>
        <v>107209.48976025829</v>
      </c>
      <c r="AA17" s="697">
        <v>128651.02</v>
      </c>
      <c r="AB17" s="1009">
        <f t="shared" si="2"/>
        <v>46606.200239741709</v>
      </c>
      <c r="AC17" s="700">
        <f>W17-AA17</f>
        <v>25164.67</v>
      </c>
      <c r="AD17" s="694">
        <f t="shared" si="9"/>
        <v>1118701.0978423245</v>
      </c>
      <c r="AE17" s="838">
        <f t="shared" si="3"/>
        <v>1311674.8599999999</v>
      </c>
      <c r="AG17" s="701">
        <f t="shared" si="4"/>
        <v>-192973.76215767534</v>
      </c>
      <c r="AM17" s="680">
        <f t="shared" si="5"/>
        <v>-214415.29239741713</v>
      </c>
    </row>
    <row r="18" spans="1:39" ht="31.95" customHeight="1">
      <c r="A18" s="837">
        <f t="shared" si="6"/>
        <v>10</v>
      </c>
      <c r="B18" s="699" t="s">
        <v>612</v>
      </c>
      <c r="C18" s="702" t="s">
        <v>613</v>
      </c>
      <c r="D18" s="780">
        <v>4325954.46</v>
      </c>
      <c r="E18" s="690" t="s">
        <v>591</v>
      </c>
      <c r="F18" s="695">
        <v>1639622.09</v>
      </c>
      <c r="G18" s="817">
        <f t="shared" si="7"/>
        <v>561705.44999999995</v>
      </c>
      <c r="H18" s="825">
        <f t="shared" si="0"/>
        <v>706363.28</v>
      </c>
      <c r="I18" s="817">
        <f>F18+561705.45</f>
        <v>2201327.54</v>
      </c>
      <c r="J18" s="692">
        <v>2345985.37</v>
      </c>
      <c r="K18" s="945" t="s">
        <v>254</v>
      </c>
      <c r="L18" s="811"/>
      <c r="M18" s="946"/>
      <c r="N18" s="821"/>
      <c r="O18" s="867"/>
      <c r="P18" s="813"/>
      <c r="Q18" s="824"/>
      <c r="R18" s="813">
        <v>101025.8</v>
      </c>
      <c r="S18" s="824">
        <v>101025.8</v>
      </c>
      <c r="T18" s="829">
        <f t="shared" si="8"/>
        <v>2302353.34</v>
      </c>
      <c r="U18" s="692">
        <f t="shared" si="8"/>
        <v>2447011.17</v>
      </c>
      <c r="V18" s="1016"/>
      <c r="W18" s="871"/>
      <c r="X18" s="696"/>
      <c r="Y18" s="698"/>
      <c r="Z18" s="1013">
        <f t="shared" ref="Z18:Z20" si="12">IF((T18*Y18)&lt;V18,(T18*Y18),V18)</f>
        <v>0</v>
      </c>
      <c r="AA18" s="697">
        <v>0</v>
      </c>
      <c r="AB18" s="1009">
        <f t="shared" si="2"/>
        <v>0</v>
      </c>
      <c r="AC18" s="700">
        <v>0</v>
      </c>
      <c r="AD18" s="694">
        <f t="shared" si="9"/>
        <v>2302353.34</v>
      </c>
      <c r="AE18" s="838">
        <f t="shared" si="3"/>
        <v>2447011.17</v>
      </c>
      <c r="AG18" s="701">
        <f t="shared" si="4"/>
        <v>-144657.83000000007</v>
      </c>
      <c r="AM18" s="680">
        <f t="shared" si="5"/>
        <v>-144657.83000000007</v>
      </c>
    </row>
    <row r="19" spans="1:39" ht="24" customHeight="1">
      <c r="A19" s="837">
        <f t="shared" si="6"/>
        <v>11</v>
      </c>
      <c r="B19" s="689" t="s">
        <v>614</v>
      </c>
      <c r="C19" s="689" t="s">
        <v>615</v>
      </c>
      <c r="D19" s="780">
        <v>1954843</v>
      </c>
      <c r="E19" s="690" t="s">
        <v>591</v>
      </c>
      <c r="F19" s="695">
        <v>840251.01449999982</v>
      </c>
      <c r="G19" s="817">
        <f>I19-F19</f>
        <v>111776.92999999993</v>
      </c>
      <c r="H19" s="825">
        <f t="shared" si="0"/>
        <v>174638.02550000022</v>
      </c>
      <c r="I19" s="817">
        <f>F19+111776.93</f>
        <v>952027.94449999975</v>
      </c>
      <c r="J19" s="692">
        <v>1014889.04</v>
      </c>
      <c r="K19" s="945" t="s">
        <v>254</v>
      </c>
      <c r="L19" s="811"/>
      <c r="M19" s="946"/>
      <c r="N19" s="821"/>
      <c r="O19" s="867"/>
      <c r="P19" s="813"/>
      <c r="Q19" s="824"/>
      <c r="R19" s="813">
        <f>1641608.63+119314.8</f>
        <v>1760923.43</v>
      </c>
      <c r="S19" s="824">
        <f>R19</f>
        <v>1760923.43</v>
      </c>
      <c r="T19" s="829">
        <f t="shared" si="8"/>
        <v>2712951.3744999999</v>
      </c>
      <c r="U19" s="692">
        <f t="shared" si="8"/>
        <v>2775812.4699999997</v>
      </c>
      <c r="V19" s="1016"/>
      <c r="W19" s="871"/>
      <c r="X19" s="696"/>
      <c r="Y19" s="698"/>
      <c r="Z19" s="1013">
        <f t="shared" si="12"/>
        <v>0</v>
      </c>
      <c r="AA19" s="697">
        <v>0</v>
      </c>
      <c r="AB19" s="1009">
        <f t="shared" si="2"/>
        <v>0</v>
      </c>
      <c r="AC19" s="700">
        <v>0</v>
      </c>
      <c r="AD19" s="694">
        <f t="shared" si="9"/>
        <v>2712951.3744999999</v>
      </c>
      <c r="AE19" s="838">
        <f t="shared" si="3"/>
        <v>2775812.4699999997</v>
      </c>
      <c r="AG19" s="701">
        <f t="shared" si="4"/>
        <v>-62861.095499999821</v>
      </c>
      <c r="AM19" s="680">
        <f t="shared" si="5"/>
        <v>-62861.095499999821</v>
      </c>
    </row>
    <row r="20" spans="1:39" ht="24" customHeight="1">
      <c r="A20" s="837">
        <f t="shared" si="6"/>
        <v>12</v>
      </c>
      <c r="B20" s="689" t="s">
        <v>616</v>
      </c>
      <c r="C20" s="689" t="s">
        <v>617</v>
      </c>
      <c r="D20" s="780">
        <v>999150</v>
      </c>
      <c r="E20" s="690" t="s">
        <v>591</v>
      </c>
      <c r="F20" s="695">
        <v>0</v>
      </c>
      <c r="G20" s="817">
        <f t="shared" si="7"/>
        <v>0</v>
      </c>
      <c r="H20" s="825">
        <f t="shared" si="0"/>
        <v>0</v>
      </c>
      <c r="I20" s="817">
        <v>0</v>
      </c>
      <c r="J20" s="692">
        <v>0</v>
      </c>
      <c r="K20" s="945" t="s">
        <v>618</v>
      </c>
      <c r="L20" s="811"/>
      <c r="M20" s="946"/>
      <c r="N20" s="821"/>
      <c r="O20" s="867"/>
      <c r="P20" s="813"/>
      <c r="Q20" s="824"/>
      <c r="R20" s="813"/>
      <c r="S20" s="824"/>
      <c r="T20" s="829">
        <f t="shared" si="8"/>
        <v>0</v>
      </c>
      <c r="U20" s="692">
        <f t="shared" si="8"/>
        <v>0</v>
      </c>
      <c r="V20" s="1016">
        <v>199830</v>
      </c>
      <c r="W20" s="871">
        <v>199830</v>
      </c>
      <c r="X20" s="696"/>
      <c r="Y20" s="698"/>
      <c r="Z20" s="1013">
        <f t="shared" si="12"/>
        <v>0</v>
      </c>
      <c r="AA20" s="697">
        <v>0</v>
      </c>
      <c r="AB20" s="1009">
        <f t="shared" si="2"/>
        <v>199830</v>
      </c>
      <c r="AC20" s="700">
        <v>199830</v>
      </c>
      <c r="AD20" s="694">
        <f t="shared" si="9"/>
        <v>199830</v>
      </c>
      <c r="AE20" s="838">
        <f t="shared" si="3"/>
        <v>199830</v>
      </c>
      <c r="AG20" s="701">
        <f t="shared" si="4"/>
        <v>0</v>
      </c>
      <c r="AM20" s="680">
        <f t="shared" si="5"/>
        <v>0</v>
      </c>
    </row>
    <row r="21" spans="1:39" ht="24" customHeight="1">
      <c r="A21" s="837">
        <f t="shared" si="6"/>
        <v>13</v>
      </c>
      <c r="B21" s="689" t="s">
        <v>619</v>
      </c>
      <c r="C21" s="689" t="s">
        <v>620</v>
      </c>
      <c r="D21" s="780">
        <v>1262387</v>
      </c>
      <c r="E21" s="690" t="s">
        <v>591</v>
      </c>
      <c r="F21" s="708">
        <v>383554.76793906442</v>
      </c>
      <c r="G21" s="817">
        <f t="shared" si="7"/>
        <v>29623</v>
      </c>
      <c r="H21" s="825">
        <f t="shared" si="0"/>
        <v>220296.84206093557</v>
      </c>
      <c r="I21" s="817">
        <f>F21+29623</f>
        <v>413177.76793906442</v>
      </c>
      <c r="J21" s="692">
        <v>603851.61</v>
      </c>
      <c r="K21" s="945" t="s">
        <v>254</v>
      </c>
      <c r="L21" s="811"/>
      <c r="M21" s="946"/>
      <c r="N21" s="821"/>
      <c r="O21" s="867"/>
      <c r="P21" s="813"/>
      <c r="Q21" s="824"/>
      <c r="R21" s="813">
        <v>394</v>
      </c>
      <c r="S21" s="824">
        <v>394</v>
      </c>
      <c r="T21" s="829">
        <f t="shared" si="8"/>
        <v>413571.76793906442</v>
      </c>
      <c r="U21" s="692">
        <f t="shared" si="8"/>
        <v>604245.61</v>
      </c>
      <c r="V21" s="1016">
        <v>252477.40000000002</v>
      </c>
      <c r="W21" s="871">
        <v>252477.40000000002</v>
      </c>
      <c r="X21" s="696"/>
      <c r="Y21" s="698">
        <v>0.2</v>
      </c>
      <c r="Z21" s="1013">
        <f>IF((T21*Y21)&lt;V21,(T21*Y21),V21)</f>
        <v>82714.35358781289</v>
      </c>
      <c r="AA21" s="697">
        <v>120849.11</v>
      </c>
      <c r="AB21" s="1009">
        <f t="shared" si="2"/>
        <v>169763.04641218713</v>
      </c>
      <c r="AC21" s="700">
        <f>W21-AA21</f>
        <v>131628.29000000004</v>
      </c>
      <c r="AD21" s="694">
        <f t="shared" si="9"/>
        <v>583334.81435125158</v>
      </c>
      <c r="AE21" s="838">
        <f t="shared" si="3"/>
        <v>735873.9</v>
      </c>
      <c r="AG21" s="701">
        <f t="shared" si="4"/>
        <v>-152539.08564874844</v>
      </c>
      <c r="AM21" s="680">
        <f t="shared" si="5"/>
        <v>-190673.84206093557</v>
      </c>
    </row>
    <row r="22" spans="1:39" ht="24" customHeight="1">
      <c r="A22" s="837">
        <f t="shared" si="6"/>
        <v>14</v>
      </c>
      <c r="B22" s="689" t="s">
        <v>621</v>
      </c>
      <c r="C22" s="689" t="s">
        <v>622</v>
      </c>
      <c r="D22" s="780">
        <v>712173.7</v>
      </c>
      <c r="E22" s="690" t="s">
        <v>591</v>
      </c>
      <c r="F22" s="695">
        <v>0</v>
      </c>
      <c r="G22" s="817">
        <f t="shared" si="7"/>
        <v>0</v>
      </c>
      <c r="H22" s="825">
        <f t="shared" si="0"/>
        <v>0</v>
      </c>
      <c r="I22" s="817">
        <v>0</v>
      </c>
      <c r="J22" s="692">
        <v>0</v>
      </c>
      <c r="K22" s="945" t="s">
        <v>254</v>
      </c>
      <c r="L22" s="811"/>
      <c r="M22" s="946"/>
      <c r="N22" s="821">
        <f>313858+68042.4</f>
        <v>381900.4</v>
      </c>
      <c r="O22" s="867">
        <v>381900.4</v>
      </c>
      <c r="P22" s="813"/>
      <c r="Q22" s="824"/>
      <c r="R22" s="813"/>
      <c r="S22" s="824"/>
      <c r="T22" s="829">
        <f t="shared" si="8"/>
        <v>381900.4</v>
      </c>
      <c r="U22" s="692">
        <f t="shared" si="8"/>
        <v>381900.4</v>
      </c>
      <c r="V22" s="1016">
        <v>282376.94</v>
      </c>
      <c r="W22" s="871">
        <v>282376.94</v>
      </c>
      <c r="X22" s="696"/>
      <c r="Y22" s="698"/>
      <c r="Z22" s="1013">
        <f t="shared" ref="Z22:Z28" si="13">IF((T22*Y22)&lt;V22,(T22*Y22),V22)</f>
        <v>0</v>
      </c>
      <c r="AA22" s="697">
        <v>0</v>
      </c>
      <c r="AB22" s="1009">
        <f t="shared" si="2"/>
        <v>282376.94</v>
      </c>
      <c r="AC22" s="700">
        <v>282376.94</v>
      </c>
      <c r="AD22" s="694">
        <f t="shared" si="9"/>
        <v>664277.34000000008</v>
      </c>
      <c r="AE22" s="838">
        <f t="shared" si="3"/>
        <v>664277.34000000008</v>
      </c>
      <c r="AG22" s="701">
        <f t="shared" si="4"/>
        <v>0</v>
      </c>
      <c r="AM22" s="680">
        <f t="shared" si="5"/>
        <v>0</v>
      </c>
    </row>
    <row r="23" spans="1:39" ht="24" customHeight="1">
      <c r="A23" s="837">
        <f t="shared" si="6"/>
        <v>15</v>
      </c>
      <c r="B23" s="689" t="s">
        <v>623</v>
      </c>
      <c r="C23" s="689" t="s">
        <v>624</v>
      </c>
      <c r="D23" s="780">
        <v>839675.05</v>
      </c>
      <c r="E23" s="690" t="s">
        <v>591</v>
      </c>
      <c r="F23" s="708">
        <v>23097.25</v>
      </c>
      <c r="G23" s="817">
        <f t="shared" si="7"/>
        <v>509683.82142857136</v>
      </c>
      <c r="H23" s="825">
        <f t="shared" si="0"/>
        <v>594224.46</v>
      </c>
      <c r="I23" s="817">
        <v>532781.07142857136</v>
      </c>
      <c r="J23" s="692">
        <f>617321.71-Q23</f>
        <v>617321.71</v>
      </c>
      <c r="K23" s="945" t="s">
        <v>254</v>
      </c>
      <c r="L23" s="811"/>
      <c r="M23" s="946"/>
      <c r="N23" s="821"/>
      <c r="O23" s="867"/>
      <c r="P23" s="1024">
        <v>23097.25</v>
      </c>
      <c r="Q23" s="824"/>
      <c r="R23" s="813"/>
      <c r="S23" s="824"/>
      <c r="T23" s="829">
        <f>+I23+L23+N23+R23+P23</f>
        <v>555878.32142857136</v>
      </c>
      <c r="U23" s="692">
        <f>+J23+M23+O23+S23+Q23</f>
        <v>617321.71</v>
      </c>
      <c r="V23" s="1017"/>
      <c r="W23" s="871"/>
      <c r="X23" s="696"/>
      <c r="Y23" s="698"/>
      <c r="Z23" s="1013">
        <f t="shared" si="13"/>
        <v>0</v>
      </c>
      <c r="AA23" s="697">
        <v>0</v>
      </c>
      <c r="AB23" s="1009">
        <f t="shared" si="2"/>
        <v>0</v>
      </c>
      <c r="AC23" s="700">
        <v>0</v>
      </c>
      <c r="AD23" s="694">
        <f t="shared" si="9"/>
        <v>555878.32142857136</v>
      </c>
      <c r="AE23" s="838">
        <f>AC23+U23</f>
        <v>617321.71</v>
      </c>
      <c r="AG23" s="701">
        <f t="shared" si="4"/>
        <v>-61443.388571428601</v>
      </c>
      <c r="AM23" s="680">
        <f t="shared" si="5"/>
        <v>-61443.388571428601</v>
      </c>
    </row>
    <row r="24" spans="1:39" ht="24" customHeight="1">
      <c r="A24" s="837">
        <f t="shared" si="6"/>
        <v>16</v>
      </c>
      <c r="B24" s="689" t="s">
        <v>625</v>
      </c>
      <c r="C24" s="689" t="s">
        <v>626</v>
      </c>
      <c r="D24" s="780">
        <v>4155655</v>
      </c>
      <c r="E24" s="690" t="s">
        <v>591</v>
      </c>
      <c r="F24" s="695">
        <v>769033</v>
      </c>
      <c r="G24" s="817">
        <f t="shared" si="7"/>
        <v>223170</v>
      </c>
      <c r="H24" s="825">
        <f t="shared" si="0"/>
        <v>451488</v>
      </c>
      <c r="I24" s="817">
        <f>F24+223170</f>
        <v>992203</v>
      </c>
      <c r="J24" s="692">
        <v>1220521</v>
      </c>
      <c r="K24" s="945" t="s">
        <v>627</v>
      </c>
      <c r="L24" s="811">
        <v>0</v>
      </c>
      <c r="M24" s="946"/>
      <c r="N24" s="821"/>
      <c r="O24" s="867"/>
      <c r="P24" s="813"/>
      <c r="Q24" s="824"/>
      <c r="R24" s="813">
        <v>65711.899999999994</v>
      </c>
      <c r="S24" s="824">
        <f>R24</f>
        <v>65711.899999999994</v>
      </c>
      <c r="T24" s="829">
        <f t="shared" si="8"/>
        <v>1057914.8999999999</v>
      </c>
      <c r="U24" s="692">
        <f t="shared" si="8"/>
        <v>1286232.8999999999</v>
      </c>
      <c r="V24" s="1016"/>
      <c r="W24" s="871"/>
      <c r="X24" s="696"/>
      <c r="Y24" s="698"/>
      <c r="Z24" s="1013">
        <f t="shared" si="13"/>
        <v>0</v>
      </c>
      <c r="AA24" s="697">
        <v>0</v>
      </c>
      <c r="AB24" s="1009">
        <f t="shared" si="2"/>
        <v>0</v>
      </c>
      <c r="AC24" s="700">
        <v>0</v>
      </c>
      <c r="AD24" s="694">
        <f t="shared" si="9"/>
        <v>1057914.8999999999</v>
      </c>
      <c r="AE24" s="838">
        <f t="shared" si="3"/>
        <v>1286232.8999999999</v>
      </c>
      <c r="AG24" s="701">
        <f t="shared" si="4"/>
        <v>-228318</v>
      </c>
      <c r="AM24" s="680">
        <f t="shared" si="5"/>
        <v>-228318</v>
      </c>
    </row>
    <row r="25" spans="1:39" ht="24" customHeight="1">
      <c r="A25" s="837">
        <f t="shared" si="6"/>
        <v>17</v>
      </c>
      <c r="B25" s="689" t="s">
        <v>628</v>
      </c>
      <c r="C25" s="689" t="s">
        <v>629</v>
      </c>
      <c r="D25" s="780">
        <v>10273402</v>
      </c>
      <c r="E25" s="690" t="s">
        <v>591</v>
      </c>
      <c r="F25" s="695">
        <v>2005979.849576768</v>
      </c>
      <c r="G25" s="817">
        <f t="shared" si="7"/>
        <v>696905.44792160345</v>
      </c>
      <c r="H25" s="825">
        <f t="shared" si="0"/>
        <v>1437910.2604232323</v>
      </c>
      <c r="I25" s="817">
        <v>2702885.2974983715</v>
      </c>
      <c r="J25" s="692">
        <f>33333.31+1725056.37+1685500.43</f>
        <v>3443890.1100000003</v>
      </c>
      <c r="K25" s="945" t="s">
        <v>630</v>
      </c>
      <c r="L25" s="811">
        <v>-847423</v>
      </c>
      <c r="M25" s="946">
        <v>-759403.75</v>
      </c>
      <c r="N25" s="821"/>
      <c r="O25" s="867"/>
      <c r="P25" s="813">
        <v>2894971.0239755088</v>
      </c>
      <c r="Q25" s="824">
        <v>3278137.54</v>
      </c>
      <c r="R25" s="813">
        <v>276277.2799999998</v>
      </c>
      <c r="S25" s="824">
        <v>317466.94</v>
      </c>
      <c r="T25" s="829">
        <f t="shared" si="8"/>
        <v>5026710.60147388</v>
      </c>
      <c r="U25" s="692">
        <f t="shared" si="8"/>
        <v>6280090.8399999999</v>
      </c>
      <c r="V25" s="1016"/>
      <c r="W25" s="871"/>
      <c r="X25" s="696"/>
      <c r="Y25" s="698"/>
      <c r="Z25" s="1013">
        <f t="shared" si="13"/>
        <v>0</v>
      </c>
      <c r="AA25" s="697">
        <v>0</v>
      </c>
      <c r="AB25" s="1009">
        <f t="shared" si="2"/>
        <v>0</v>
      </c>
      <c r="AC25" s="700">
        <v>0</v>
      </c>
      <c r="AD25" s="694">
        <f t="shared" si="9"/>
        <v>5026710.60147388</v>
      </c>
      <c r="AE25" s="838">
        <f t="shared" si="3"/>
        <v>6280090.8399999999</v>
      </c>
      <c r="AG25" s="701">
        <f t="shared" si="4"/>
        <v>-1253380.2385261199</v>
      </c>
      <c r="AM25" s="680">
        <f t="shared" si="5"/>
        <v>-1253380.2385261199</v>
      </c>
    </row>
    <row r="26" spans="1:39" ht="24" customHeight="1">
      <c r="A26" s="837">
        <f t="shared" si="6"/>
        <v>18</v>
      </c>
      <c r="B26" s="689" t="s">
        <v>631</v>
      </c>
      <c r="C26" s="689" t="s">
        <v>632</v>
      </c>
      <c r="D26" s="780">
        <v>628861</v>
      </c>
      <c r="E26" s="690" t="s">
        <v>591</v>
      </c>
      <c r="F26" s="695">
        <v>0</v>
      </c>
      <c r="G26" s="817">
        <f t="shared" si="7"/>
        <v>0</v>
      </c>
      <c r="H26" s="825">
        <f t="shared" si="0"/>
        <v>0</v>
      </c>
      <c r="I26" s="817"/>
      <c r="J26" s="692"/>
      <c r="K26" s="945" t="s">
        <v>168</v>
      </c>
      <c r="L26" s="811"/>
      <c r="M26" s="946"/>
      <c r="N26" s="821"/>
      <c r="O26" s="867"/>
      <c r="P26" s="813"/>
      <c r="Q26" s="824"/>
      <c r="R26" s="813"/>
      <c r="S26" s="824"/>
      <c r="T26" s="829">
        <f t="shared" si="8"/>
        <v>0</v>
      </c>
      <c r="U26" s="692">
        <f t="shared" si="8"/>
        <v>0</v>
      </c>
      <c r="V26" s="1016"/>
      <c r="W26" s="871"/>
      <c r="X26" s="696"/>
      <c r="Y26" s="698"/>
      <c r="Z26" s="1013">
        <f t="shared" si="13"/>
        <v>0</v>
      </c>
      <c r="AA26" s="697">
        <v>0</v>
      </c>
      <c r="AB26" s="1009">
        <f t="shared" si="2"/>
        <v>0</v>
      </c>
      <c r="AC26" s="700">
        <v>0</v>
      </c>
      <c r="AD26" s="694">
        <f>AB26+T26</f>
        <v>0</v>
      </c>
      <c r="AE26" s="838">
        <f t="shared" si="3"/>
        <v>0</v>
      </c>
      <c r="AG26" s="701">
        <f t="shared" si="4"/>
        <v>0</v>
      </c>
      <c r="AM26" s="680">
        <f t="shared" si="5"/>
        <v>0</v>
      </c>
    </row>
    <row r="27" spans="1:39" ht="24" customHeight="1">
      <c r="A27" s="837">
        <f t="shared" si="6"/>
        <v>19</v>
      </c>
      <c r="B27" s="689" t="s">
        <v>633</v>
      </c>
      <c r="C27" s="689" t="s">
        <v>634</v>
      </c>
      <c r="D27" s="780">
        <v>287122</v>
      </c>
      <c r="E27" s="690" t="s">
        <v>591</v>
      </c>
      <c r="F27" s="695">
        <v>140609.4</v>
      </c>
      <c r="G27" s="817">
        <f t="shared" si="7"/>
        <v>0</v>
      </c>
      <c r="H27" s="825">
        <f t="shared" si="0"/>
        <v>22652.200000000012</v>
      </c>
      <c r="I27" s="817">
        <f>F27</f>
        <v>140609.4</v>
      </c>
      <c r="J27" s="692">
        <v>163261.6</v>
      </c>
      <c r="K27" s="945" t="s">
        <v>168</v>
      </c>
      <c r="L27" s="811"/>
      <c r="M27" s="946"/>
      <c r="N27" s="821"/>
      <c r="O27" s="867"/>
      <c r="P27" s="813"/>
      <c r="Q27" s="824"/>
      <c r="R27" s="813"/>
      <c r="S27" s="824"/>
      <c r="T27" s="829">
        <f t="shared" si="8"/>
        <v>140609.4</v>
      </c>
      <c r="U27" s="692">
        <f t="shared" si="8"/>
        <v>163261.6</v>
      </c>
      <c r="V27" s="1016"/>
      <c r="W27" s="871"/>
      <c r="X27" s="696"/>
      <c r="Y27" s="698"/>
      <c r="Z27" s="1013">
        <f t="shared" si="13"/>
        <v>0</v>
      </c>
      <c r="AA27" s="697">
        <v>0</v>
      </c>
      <c r="AB27" s="1009">
        <f t="shared" si="2"/>
        <v>0</v>
      </c>
      <c r="AC27" s="700">
        <v>0</v>
      </c>
      <c r="AD27" s="694">
        <f>AB27+T27</f>
        <v>140609.4</v>
      </c>
      <c r="AE27" s="838">
        <f t="shared" si="3"/>
        <v>163261.6</v>
      </c>
      <c r="AG27" s="701">
        <f t="shared" si="4"/>
        <v>-22652.200000000012</v>
      </c>
      <c r="AM27" s="680">
        <f t="shared" si="5"/>
        <v>-22652.200000000012</v>
      </c>
    </row>
    <row r="28" spans="1:39" ht="24" customHeight="1">
      <c r="A28" s="837">
        <f t="shared" si="6"/>
        <v>20</v>
      </c>
      <c r="B28" s="689" t="s">
        <v>635</v>
      </c>
      <c r="C28" s="689" t="s">
        <v>636</v>
      </c>
      <c r="D28" s="780">
        <v>356512.42</v>
      </c>
      <c r="E28" s="690" t="s">
        <v>591</v>
      </c>
      <c r="F28" s="695">
        <v>0</v>
      </c>
      <c r="G28" s="817">
        <f t="shared" si="7"/>
        <v>0</v>
      </c>
      <c r="H28" s="825">
        <f t="shared" si="0"/>
        <v>0</v>
      </c>
      <c r="I28" s="817"/>
      <c r="J28" s="692"/>
      <c r="K28" s="945" t="s">
        <v>254</v>
      </c>
      <c r="L28" s="811"/>
      <c r="M28" s="946"/>
      <c r="N28" s="821"/>
      <c r="O28" s="867"/>
      <c r="P28" s="813"/>
      <c r="Q28" s="824"/>
      <c r="R28" s="813"/>
      <c r="S28" s="824"/>
      <c r="T28" s="829">
        <f t="shared" si="8"/>
        <v>0</v>
      </c>
      <c r="U28" s="692">
        <f t="shared" si="8"/>
        <v>0</v>
      </c>
      <c r="V28" s="1016"/>
      <c r="W28" s="871"/>
      <c r="X28" s="696"/>
      <c r="Y28" s="698"/>
      <c r="Z28" s="1013">
        <f t="shared" si="13"/>
        <v>0</v>
      </c>
      <c r="AA28" s="697">
        <v>0</v>
      </c>
      <c r="AB28" s="1009">
        <f t="shared" si="2"/>
        <v>0</v>
      </c>
      <c r="AC28" s="700">
        <v>0</v>
      </c>
      <c r="AD28" s="694">
        <f t="shared" si="9"/>
        <v>0</v>
      </c>
      <c r="AE28" s="838">
        <f t="shared" si="3"/>
        <v>0</v>
      </c>
      <c r="AG28" s="701">
        <f t="shared" si="4"/>
        <v>0</v>
      </c>
      <c r="AM28" s="680">
        <f t="shared" si="5"/>
        <v>0</v>
      </c>
    </row>
    <row r="29" spans="1:39" ht="24" customHeight="1">
      <c r="A29" s="837">
        <f t="shared" si="6"/>
        <v>21</v>
      </c>
      <c r="B29" s="689" t="s">
        <v>637</v>
      </c>
      <c r="C29" s="689" t="s">
        <v>638</v>
      </c>
      <c r="D29" s="780">
        <v>22617386</v>
      </c>
      <c r="E29" s="690" t="s">
        <v>591</v>
      </c>
      <c r="F29" s="695">
        <v>962551.45</v>
      </c>
      <c r="G29" s="817">
        <f t="shared" si="7"/>
        <v>195525.44881668664</v>
      </c>
      <c r="H29" s="825">
        <f t="shared" si="0"/>
        <v>502638.52999999956</v>
      </c>
      <c r="I29" s="817">
        <v>1158076.8988166866</v>
      </c>
      <c r="J29" s="692">
        <f>5695629.18-AC29</f>
        <v>1465189.9799999995</v>
      </c>
      <c r="K29" s="945" t="s">
        <v>254</v>
      </c>
      <c r="L29" s="811"/>
      <c r="M29" s="946"/>
      <c r="N29" s="821"/>
      <c r="O29" s="867"/>
      <c r="P29" s="813"/>
      <c r="Q29" s="824"/>
      <c r="R29" s="813"/>
      <c r="S29" s="824"/>
      <c r="T29" s="829">
        <f t="shared" si="8"/>
        <v>1158076.8988166866</v>
      </c>
      <c r="U29" s="692">
        <f t="shared" si="8"/>
        <v>1465189.9799999995</v>
      </c>
      <c r="V29" s="1016">
        <f>D29*20%</f>
        <v>4523477.2</v>
      </c>
      <c r="W29" s="871">
        <v>4523477.2</v>
      </c>
      <c r="X29" s="696">
        <v>0.2</v>
      </c>
      <c r="Y29" s="698">
        <v>0.2</v>
      </c>
      <c r="Z29" s="1013">
        <f>IF((T29*Y29)&lt;V29,(T29*Y29),V29)</f>
        <v>231615.37976333732</v>
      </c>
      <c r="AA29" s="697">
        <v>293038</v>
      </c>
      <c r="AB29" s="1009">
        <f>V29-Z29</f>
        <v>4291861.8202366624</v>
      </c>
      <c r="AC29" s="700">
        <f>W29-AA29</f>
        <v>4230439.2</v>
      </c>
      <c r="AD29" s="694">
        <f t="shared" si="9"/>
        <v>5449938.7190533485</v>
      </c>
      <c r="AE29" s="838">
        <f t="shared" si="3"/>
        <v>5695629.1799999997</v>
      </c>
      <c r="AG29" s="701">
        <f t="shared" si="4"/>
        <v>-245690.46094665118</v>
      </c>
      <c r="AM29" s="680">
        <f t="shared" si="5"/>
        <v>-307113.08118331293</v>
      </c>
    </row>
    <row r="30" spans="1:39" ht="24" customHeight="1">
      <c r="A30" s="837"/>
      <c r="B30" s="689"/>
      <c r="C30" s="689"/>
      <c r="D30" s="780"/>
      <c r="E30" s="690"/>
      <c r="F30" s="695"/>
      <c r="G30" s="817"/>
      <c r="H30" s="825"/>
      <c r="I30" s="817"/>
      <c r="J30" s="692"/>
      <c r="K30" s="945"/>
      <c r="L30" s="810"/>
      <c r="M30" s="988"/>
      <c r="N30" s="821"/>
      <c r="O30" s="867"/>
      <c r="P30" s="813"/>
      <c r="Q30" s="824"/>
      <c r="R30" s="813"/>
      <c r="S30" s="824"/>
      <c r="T30" s="829">
        <f t="shared" ref="T30:T38" si="14">R30+L30+I30+N30</f>
        <v>0</v>
      </c>
      <c r="U30" s="692">
        <f t="shared" ref="U30:U83" si="15">+J30+M30+O30+S30+Q30</f>
        <v>0</v>
      </c>
      <c r="V30" s="1016"/>
      <c r="W30" s="871"/>
      <c r="X30" s="696"/>
      <c r="Y30" s="698"/>
      <c r="Z30" s="1013"/>
      <c r="AA30" s="697"/>
      <c r="AB30" s="1009">
        <f t="shared" si="2"/>
        <v>0</v>
      </c>
      <c r="AC30" s="700">
        <v>0</v>
      </c>
      <c r="AD30" s="694"/>
      <c r="AE30" s="838">
        <f t="shared" si="3"/>
        <v>0</v>
      </c>
      <c r="AG30" s="701">
        <f t="shared" si="4"/>
        <v>0</v>
      </c>
      <c r="AM30" s="680">
        <f t="shared" si="5"/>
        <v>0</v>
      </c>
    </row>
    <row r="31" spans="1:39" ht="24" customHeight="1">
      <c r="A31" s="837"/>
      <c r="B31" s="688" t="s">
        <v>639</v>
      </c>
      <c r="C31" s="689"/>
      <c r="D31" s="780"/>
      <c r="E31" s="690"/>
      <c r="F31" s="695"/>
      <c r="G31" s="817"/>
      <c r="H31" s="825"/>
      <c r="I31" s="817"/>
      <c r="J31" s="692"/>
      <c r="K31" s="945"/>
      <c r="L31" s="810"/>
      <c r="M31" s="988"/>
      <c r="N31" s="821"/>
      <c r="O31" s="867"/>
      <c r="P31" s="813"/>
      <c r="Q31" s="824"/>
      <c r="R31" s="813"/>
      <c r="S31" s="824"/>
      <c r="T31" s="829">
        <f t="shared" si="14"/>
        <v>0</v>
      </c>
      <c r="U31" s="692">
        <f t="shared" si="15"/>
        <v>0</v>
      </c>
      <c r="V31" s="1016"/>
      <c r="W31" s="871"/>
      <c r="X31" s="696"/>
      <c r="Y31" s="698"/>
      <c r="Z31" s="1013"/>
      <c r="AA31" s="697"/>
      <c r="AB31" s="1009">
        <f t="shared" si="2"/>
        <v>0</v>
      </c>
      <c r="AC31" s="700">
        <v>0</v>
      </c>
      <c r="AD31" s="694"/>
      <c r="AE31" s="838">
        <f t="shared" si="3"/>
        <v>0</v>
      </c>
      <c r="AG31" s="701">
        <f t="shared" si="4"/>
        <v>0</v>
      </c>
      <c r="AM31" s="680">
        <f t="shared" si="5"/>
        <v>0</v>
      </c>
    </row>
    <row r="32" spans="1:39" ht="24" customHeight="1">
      <c r="A32" s="837">
        <f>+A29+1</f>
        <v>22</v>
      </c>
      <c r="B32" s="689" t="s">
        <v>640</v>
      </c>
      <c r="C32" s="689"/>
      <c r="D32" s="780"/>
      <c r="E32" s="690" t="s">
        <v>591</v>
      </c>
      <c r="F32" s="695"/>
      <c r="G32" s="817"/>
      <c r="H32" s="825"/>
      <c r="I32" s="817"/>
      <c r="J32" s="692"/>
      <c r="K32" s="945"/>
      <c r="L32" s="810"/>
      <c r="M32" s="988"/>
      <c r="N32" s="821"/>
      <c r="O32" s="867"/>
      <c r="P32" s="813"/>
      <c r="Q32" s="824"/>
      <c r="R32" s="813"/>
      <c r="S32" s="824"/>
      <c r="T32" s="829">
        <f t="shared" si="14"/>
        <v>0</v>
      </c>
      <c r="U32" s="692">
        <f t="shared" si="15"/>
        <v>0</v>
      </c>
      <c r="V32" s="1016">
        <v>256680</v>
      </c>
      <c r="W32" s="871">
        <v>256680</v>
      </c>
      <c r="X32" s="696"/>
      <c r="Y32" s="698"/>
      <c r="Z32" s="1013">
        <v>0</v>
      </c>
      <c r="AA32" s="697"/>
      <c r="AB32" s="1009">
        <f t="shared" si="2"/>
        <v>256680</v>
      </c>
      <c r="AC32" s="700">
        <v>256680</v>
      </c>
      <c r="AD32" s="694"/>
      <c r="AE32" s="838"/>
      <c r="AG32" s="701">
        <f t="shared" si="4"/>
        <v>0</v>
      </c>
      <c r="AM32" s="680">
        <f t="shared" si="5"/>
        <v>0</v>
      </c>
    </row>
    <row r="33" spans="1:39" ht="24" customHeight="1">
      <c r="A33" s="837">
        <f>+A32+1</f>
        <v>23</v>
      </c>
      <c r="B33" s="689" t="s">
        <v>549</v>
      </c>
      <c r="C33" s="689"/>
      <c r="D33" s="780"/>
      <c r="E33" s="690" t="s">
        <v>591</v>
      </c>
      <c r="F33" s="695"/>
      <c r="G33" s="817"/>
      <c r="H33" s="825"/>
      <c r="I33" s="817"/>
      <c r="J33" s="692"/>
      <c r="K33" s="945"/>
      <c r="L33" s="810"/>
      <c r="M33" s="988"/>
      <c r="N33" s="821"/>
      <c r="O33" s="867"/>
      <c r="P33" s="813"/>
      <c r="Q33" s="824"/>
      <c r="R33" s="813"/>
      <c r="S33" s="824"/>
      <c r="T33" s="829">
        <f t="shared" si="14"/>
        <v>0</v>
      </c>
      <c r="U33" s="692">
        <f t="shared" si="15"/>
        <v>0</v>
      </c>
      <c r="V33" s="1016">
        <f>316572.5+83382.4</f>
        <v>399954.9</v>
      </c>
      <c r="W33" s="871">
        <v>399954.9</v>
      </c>
      <c r="X33" s="696"/>
      <c r="Y33" s="698"/>
      <c r="Z33" s="1013">
        <v>52073.099000000002</v>
      </c>
      <c r="AA33" s="697"/>
      <c r="AB33" s="1009">
        <f t="shared" si="2"/>
        <v>347881.80100000004</v>
      </c>
      <c r="AC33" s="700">
        <v>399954.9</v>
      </c>
      <c r="AD33" s="694"/>
      <c r="AE33" s="838"/>
      <c r="AG33" s="701">
        <f t="shared" si="4"/>
        <v>0</v>
      </c>
      <c r="AI33" s="676">
        <v>124208.64</v>
      </c>
      <c r="AM33" s="680">
        <f t="shared" si="5"/>
        <v>0</v>
      </c>
    </row>
    <row r="34" spans="1:39" ht="24" customHeight="1">
      <c r="A34" s="944"/>
      <c r="B34" s="689"/>
      <c r="C34" s="689"/>
      <c r="D34" s="780"/>
      <c r="E34" s="690"/>
      <c r="F34" s="695"/>
      <c r="G34" s="817"/>
      <c r="H34" s="825"/>
      <c r="I34" s="817"/>
      <c r="J34" s="692"/>
      <c r="K34" s="945"/>
      <c r="L34" s="810"/>
      <c r="M34" s="988"/>
      <c r="N34" s="821"/>
      <c r="O34" s="867"/>
      <c r="P34" s="813"/>
      <c r="Q34" s="824"/>
      <c r="R34" s="813"/>
      <c r="S34" s="824"/>
      <c r="T34" s="829"/>
      <c r="U34" s="692"/>
      <c r="V34" s="1016"/>
      <c r="W34" s="871"/>
      <c r="X34" s="696"/>
      <c r="Y34" s="698"/>
      <c r="Z34" s="1013">
        <v>0</v>
      </c>
      <c r="AA34" s="697"/>
      <c r="AB34" s="1009"/>
      <c r="AC34" s="700"/>
      <c r="AD34" s="694"/>
      <c r="AE34" s="838"/>
      <c r="AG34" s="701"/>
    </row>
    <row r="35" spans="1:39" ht="24" customHeight="1">
      <c r="A35" s="837">
        <f>+A33+1</f>
        <v>24</v>
      </c>
      <c r="B35" s="689" t="s">
        <v>641</v>
      </c>
      <c r="C35" s="689" t="s">
        <v>102</v>
      </c>
      <c r="D35" s="780"/>
      <c r="E35" s="690" t="s">
        <v>591</v>
      </c>
      <c r="F35" s="695"/>
      <c r="G35" s="817"/>
      <c r="H35" s="825"/>
      <c r="I35" s="817"/>
      <c r="J35" s="692"/>
      <c r="K35" s="945"/>
      <c r="L35" s="810"/>
      <c r="M35" s="988"/>
      <c r="N35" s="821"/>
      <c r="O35" s="867"/>
      <c r="P35" s="813"/>
      <c r="Q35" s="824"/>
      <c r="R35" s="813"/>
      <c r="S35" s="824"/>
      <c r="T35" s="829">
        <f t="shared" si="14"/>
        <v>0</v>
      </c>
      <c r="U35" s="692">
        <f t="shared" si="15"/>
        <v>0</v>
      </c>
      <c r="V35" s="1018">
        <v>278780.88</v>
      </c>
      <c r="W35" s="872">
        <v>278780.88</v>
      </c>
      <c r="X35" s="696"/>
      <c r="Y35" s="698"/>
      <c r="Z35" s="1013">
        <v>127621.2</v>
      </c>
      <c r="AA35" s="697">
        <v>124208.64</v>
      </c>
      <c r="AB35" s="1009">
        <f t="shared" si="2"/>
        <v>151159.67999999999</v>
      </c>
      <c r="AC35" s="700">
        <v>154572.24</v>
      </c>
      <c r="AD35" s="694"/>
      <c r="AE35" s="838"/>
      <c r="AG35" s="701">
        <f t="shared" si="4"/>
        <v>0</v>
      </c>
      <c r="AI35" s="676">
        <v>85750</v>
      </c>
      <c r="AM35" s="680">
        <f t="shared" si="5"/>
        <v>0</v>
      </c>
    </row>
    <row r="36" spans="1:39" ht="24" customHeight="1">
      <c r="A36" s="837">
        <f>+A35+1</f>
        <v>25</v>
      </c>
      <c r="B36" s="689" t="s">
        <v>642</v>
      </c>
      <c r="C36" s="689"/>
      <c r="D36" s="780"/>
      <c r="E36" s="690" t="s">
        <v>591</v>
      </c>
      <c r="F36" s="695"/>
      <c r="G36" s="817"/>
      <c r="H36" s="825"/>
      <c r="I36" s="817"/>
      <c r="J36" s="692"/>
      <c r="K36" s="945"/>
      <c r="L36" s="810"/>
      <c r="M36" s="988"/>
      <c r="N36" s="821"/>
      <c r="O36" s="867"/>
      <c r="P36" s="813"/>
      <c r="Q36" s="824"/>
      <c r="R36" s="813"/>
      <c r="S36" s="824"/>
      <c r="T36" s="829">
        <f t="shared" si="14"/>
        <v>0</v>
      </c>
      <c r="U36" s="692">
        <f t="shared" si="15"/>
        <v>0</v>
      </c>
      <c r="V36" s="1018">
        <v>122500</v>
      </c>
      <c r="W36" s="872">
        <v>122500</v>
      </c>
      <c r="X36" s="696"/>
      <c r="Y36" s="698"/>
      <c r="Z36" s="1013">
        <v>85750</v>
      </c>
      <c r="AA36" s="697">
        <v>85750</v>
      </c>
      <c r="AB36" s="1009">
        <f t="shared" si="2"/>
        <v>36750</v>
      </c>
      <c r="AC36" s="700">
        <v>36750</v>
      </c>
      <c r="AD36" s="694"/>
      <c r="AE36" s="838"/>
      <c r="AG36" s="701">
        <f t="shared" si="4"/>
        <v>0</v>
      </c>
      <c r="AI36" s="676">
        <v>332660.46000000002</v>
      </c>
      <c r="AM36" s="680">
        <f t="shared" si="5"/>
        <v>0</v>
      </c>
    </row>
    <row r="37" spans="1:39" ht="24" customHeight="1">
      <c r="A37" s="837">
        <f>+A36+1</f>
        <v>26</v>
      </c>
      <c r="B37" s="689" t="s">
        <v>643</v>
      </c>
      <c r="C37" s="689"/>
      <c r="D37" s="780"/>
      <c r="E37" s="690" t="s">
        <v>591</v>
      </c>
      <c r="F37" s="695"/>
      <c r="G37" s="817"/>
      <c r="H37" s="825"/>
      <c r="I37" s="817"/>
      <c r="J37" s="692"/>
      <c r="K37" s="945"/>
      <c r="L37" s="810"/>
      <c r="M37" s="988"/>
      <c r="N37" s="816"/>
      <c r="O37" s="867"/>
      <c r="P37" s="813"/>
      <c r="Q37" s="824"/>
      <c r="R37" s="813"/>
      <c r="S37" s="824"/>
      <c r="T37" s="829">
        <f t="shared" si="14"/>
        <v>0</v>
      </c>
      <c r="U37" s="692">
        <f t="shared" si="15"/>
        <v>0</v>
      </c>
      <c r="V37" s="1018">
        <v>1031744.7</v>
      </c>
      <c r="W37" s="872">
        <v>1031744.7</v>
      </c>
      <c r="X37" s="696"/>
      <c r="Y37" s="698"/>
      <c r="Z37" s="1013">
        <v>419919.185</v>
      </c>
      <c r="AA37" s="697">
        <v>332660.46000000002</v>
      </c>
      <c r="AB37" s="1009">
        <f t="shared" si="2"/>
        <v>611825.5149999999</v>
      </c>
      <c r="AC37" s="700">
        <v>699084.24</v>
      </c>
      <c r="AD37" s="694"/>
      <c r="AE37" s="838"/>
      <c r="AG37" s="701">
        <f t="shared" si="4"/>
        <v>0</v>
      </c>
      <c r="AI37" s="676">
        <f>SUM(AI33:AI36)</f>
        <v>542619.10000000009</v>
      </c>
      <c r="AM37" s="680">
        <f t="shared" si="5"/>
        <v>0</v>
      </c>
    </row>
    <row r="38" spans="1:39" ht="24" customHeight="1">
      <c r="A38" s="837">
        <f>+A37+1</f>
        <v>27</v>
      </c>
      <c r="B38" s="689" t="s">
        <v>644</v>
      </c>
      <c r="C38" s="689"/>
      <c r="D38" s="780"/>
      <c r="E38" s="690" t="s">
        <v>591</v>
      </c>
      <c r="F38" s="695"/>
      <c r="G38" s="817"/>
      <c r="H38" s="825"/>
      <c r="I38" s="817"/>
      <c r="J38" s="692"/>
      <c r="K38" s="945"/>
      <c r="L38" s="810"/>
      <c r="M38" s="988"/>
      <c r="N38" s="816"/>
      <c r="O38" s="867"/>
      <c r="P38" s="813"/>
      <c r="Q38" s="824"/>
      <c r="R38" s="813"/>
      <c r="S38" s="824"/>
      <c r="T38" s="829">
        <f t="shared" si="14"/>
        <v>0</v>
      </c>
      <c r="U38" s="692">
        <f t="shared" si="15"/>
        <v>0</v>
      </c>
      <c r="V38" s="1016">
        <v>62500</v>
      </c>
      <c r="W38" s="871">
        <v>62500</v>
      </c>
      <c r="X38" s="696"/>
      <c r="Y38" s="698"/>
      <c r="Z38" s="1013">
        <v>62500</v>
      </c>
      <c r="AA38" s="697"/>
      <c r="AB38" s="1009">
        <f>V38-Z38</f>
        <v>0</v>
      </c>
      <c r="AC38" s="700">
        <v>62500</v>
      </c>
      <c r="AD38" s="694"/>
      <c r="AE38" s="838"/>
      <c r="AG38" s="701">
        <f t="shared" si="4"/>
        <v>0</v>
      </c>
      <c r="AM38" s="680">
        <f t="shared" si="5"/>
        <v>0</v>
      </c>
    </row>
    <row r="39" spans="1:39" ht="24" customHeight="1">
      <c r="A39" s="837"/>
      <c r="B39" s="689"/>
      <c r="C39" s="689"/>
      <c r="D39" s="780"/>
      <c r="E39" s="690"/>
      <c r="F39" s="695"/>
      <c r="G39" s="817"/>
      <c r="H39" s="825"/>
      <c r="I39" s="817"/>
      <c r="J39" s="692"/>
      <c r="K39" s="945"/>
      <c r="L39" s="810"/>
      <c r="M39" s="988"/>
      <c r="N39" s="816"/>
      <c r="O39" s="867"/>
      <c r="P39" s="813"/>
      <c r="Q39" s="824"/>
      <c r="R39" s="813"/>
      <c r="S39" s="824"/>
      <c r="T39" s="829"/>
      <c r="U39" s="692">
        <f t="shared" si="15"/>
        <v>0</v>
      </c>
      <c r="V39" s="1016"/>
      <c r="W39" s="871"/>
      <c r="X39" s="696"/>
      <c r="Y39" s="698"/>
      <c r="Z39" s="1013"/>
      <c r="AA39" s="697"/>
      <c r="AB39" s="1009"/>
      <c r="AC39" s="700"/>
      <c r="AD39" s="694"/>
      <c r="AE39" s="838">
        <f t="shared" si="3"/>
        <v>0</v>
      </c>
      <c r="AG39" s="701">
        <f t="shared" si="4"/>
        <v>0</v>
      </c>
      <c r="AM39" s="680">
        <f t="shared" si="5"/>
        <v>0</v>
      </c>
    </row>
    <row r="40" spans="1:39" ht="24" customHeight="1">
      <c r="A40" s="839"/>
      <c r="B40" s="703" t="s">
        <v>645</v>
      </c>
      <c r="C40" s="688"/>
      <c r="D40" s="780"/>
      <c r="E40" s="690"/>
      <c r="F40" s="708"/>
      <c r="G40" s="817"/>
      <c r="H40" s="826"/>
      <c r="I40" s="817"/>
      <c r="J40" s="692"/>
      <c r="K40" s="989"/>
      <c r="L40" s="810"/>
      <c r="M40" s="988"/>
      <c r="N40" s="816"/>
      <c r="O40" s="867"/>
      <c r="P40" s="813"/>
      <c r="Q40" s="824"/>
      <c r="R40" s="813"/>
      <c r="S40" s="824"/>
      <c r="T40" s="829">
        <f>R40+L40+I40+N40+P40</f>
        <v>0</v>
      </c>
      <c r="U40" s="692">
        <f t="shared" si="15"/>
        <v>0</v>
      </c>
      <c r="V40" s="1009"/>
      <c r="W40" s="691"/>
      <c r="X40" s="696"/>
      <c r="Y40" s="698"/>
      <c r="Z40" s="1013"/>
      <c r="AA40" s="697"/>
      <c r="AB40" s="1009">
        <f t="shared" si="2"/>
        <v>0</v>
      </c>
      <c r="AC40" s="700">
        <v>0</v>
      </c>
      <c r="AD40" s="694">
        <f t="shared" ref="AD40:AD83" si="16">AB40+T40</f>
        <v>0</v>
      </c>
      <c r="AE40" s="838">
        <f t="shared" si="3"/>
        <v>0</v>
      </c>
      <c r="AG40" s="701">
        <f t="shared" si="4"/>
        <v>0</v>
      </c>
      <c r="AM40" s="680">
        <f t="shared" si="5"/>
        <v>0</v>
      </c>
    </row>
    <row r="41" spans="1:39" ht="24" customHeight="1">
      <c r="A41" s="837">
        <f>+A38+1</f>
        <v>28</v>
      </c>
      <c r="B41" s="689" t="s">
        <v>646</v>
      </c>
      <c r="C41" s="689" t="s">
        <v>647</v>
      </c>
      <c r="D41" s="780">
        <v>396000</v>
      </c>
      <c r="E41" s="690" t="s">
        <v>648</v>
      </c>
      <c r="F41" s="708">
        <v>306300</v>
      </c>
      <c r="G41" s="817">
        <f t="shared" ref="G41:G66" si="17">I41-F41</f>
        <v>41700</v>
      </c>
      <c r="H41" s="826">
        <f t="shared" ref="H41:H67" si="18">J41-F41</f>
        <v>42300</v>
      </c>
      <c r="I41" s="817">
        <v>348000</v>
      </c>
      <c r="J41" s="692">
        <v>348600</v>
      </c>
      <c r="K41" s="989" t="s">
        <v>159</v>
      </c>
      <c r="L41" s="812"/>
      <c r="M41" s="963"/>
      <c r="N41" s="819"/>
      <c r="O41" s="867"/>
      <c r="P41" s="814"/>
      <c r="Q41" s="826"/>
      <c r="R41" s="814">
        <v>387847.04</v>
      </c>
      <c r="S41" s="826">
        <v>387847.04</v>
      </c>
      <c r="T41" s="829">
        <f t="shared" ref="T41:T83" si="19">R41+L41+I41+N41+P41</f>
        <v>735847.04</v>
      </c>
      <c r="U41" s="692">
        <f t="shared" si="15"/>
        <v>736447.04</v>
      </c>
      <c r="V41" s="1019"/>
      <c r="W41" s="873"/>
      <c r="X41" s="696"/>
      <c r="Y41" s="698"/>
      <c r="Z41" s="1013">
        <f t="shared" ref="Z41:Z44" si="20">IF((T41*Y41)&lt;V41,(T41*Y41),V41)</f>
        <v>0</v>
      </c>
      <c r="AA41" s="697">
        <v>0</v>
      </c>
      <c r="AB41" s="1009">
        <f t="shared" si="2"/>
        <v>0</v>
      </c>
      <c r="AC41" s="700">
        <v>0</v>
      </c>
      <c r="AD41" s="694">
        <f>AB41+T41</f>
        <v>735847.04</v>
      </c>
      <c r="AE41" s="838">
        <f t="shared" si="3"/>
        <v>736447.04</v>
      </c>
      <c r="AG41" s="701">
        <f t="shared" si="4"/>
        <v>-600</v>
      </c>
      <c r="AM41" s="680">
        <f t="shared" si="5"/>
        <v>-600</v>
      </c>
    </row>
    <row r="42" spans="1:39" ht="24" customHeight="1">
      <c r="A42" s="837">
        <f>+A41+1</f>
        <v>29</v>
      </c>
      <c r="B42" s="689" t="s">
        <v>614</v>
      </c>
      <c r="C42" s="689" t="s">
        <v>649</v>
      </c>
      <c r="D42" s="693">
        <v>26960</v>
      </c>
      <c r="E42" s="690" t="s">
        <v>650</v>
      </c>
      <c r="F42" s="708">
        <v>34460</v>
      </c>
      <c r="G42" s="817">
        <f>I42-F42</f>
        <v>0</v>
      </c>
      <c r="H42" s="826">
        <f>J42-F42</f>
        <v>11238.099999999999</v>
      </c>
      <c r="I42" s="817">
        <v>34460</v>
      </c>
      <c r="J42" s="692">
        <v>45698.1</v>
      </c>
      <c r="K42" s="989" t="s">
        <v>159</v>
      </c>
      <c r="L42" s="812"/>
      <c r="M42" s="963"/>
      <c r="N42" s="819"/>
      <c r="O42" s="868"/>
      <c r="P42" s="814"/>
      <c r="Q42" s="826"/>
      <c r="R42" s="814">
        <v>10988</v>
      </c>
      <c r="S42" s="826"/>
      <c r="T42" s="829">
        <f t="shared" si="19"/>
        <v>45448</v>
      </c>
      <c r="U42" s="692">
        <f t="shared" si="15"/>
        <v>45698.1</v>
      </c>
      <c r="V42" s="1019"/>
      <c r="W42" s="873"/>
      <c r="X42" s="696"/>
      <c r="Y42" s="698"/>
      <c r="Z42" s="1013">
        <f t="shared" si="20"/>
        <v>0</v>
      </c>
      <c r="AA42" s="697">
        <v>0</v>
      </c>
      <c r="AB42" s="1009">
        <f t="shared" si="2"/>
        <v>0</v>
      </c>
      <c r="AC42" s="700">
        <v>0</v>
      </c>
      <c r="AD42" s="694">
        <f>AB42+T42</f>
        <v>45448</v>
      </c>
      <c r="AE42" s="838">
        <f t="shared" si="3"/>
        <v>45698.1</v>
      </c>
      <c r="AG42" s="701">
        <f t="shared" si="4"/>
        <v>-250.09999999999854</v>
      </c>
      <c r="AM42" s="680">
        <f t="shared" si="5"/>
        <v>-250.09999999999854</v>
      </c>
    </row>
    <row r="43" spans="1:39" ht="24" customHeight="1">
      <c r="A43" s="837">
        <f t="shared" ref="A43:A78" si="21">+A42+1</f>
        <v>30</v>
      </c>
      <c r="B43" s="689" t="s">
        <v>651</v>
      </c>
      <c r="C43" s="689" t="s">
        <v>652</v>
      </c>
      <c r="D43" s="693">
        <v>157030</v>
      </c>
      <c r="E43" s="690" t="s">
        <v>653</v>
      </c>
      <c r="F43" s="695">
        <v>2217615.6387781715</v>
      </c>
      <c r="G43" s="817">
        <f t="shared" si="17"/>
        <v>279001.48122182861</v>
      </c>
      <c r="H43" s="826">
        <f t="shared" si="18"/>
        <v>348021.48122182861</v>
      </c>
      <c r="I43" s="817">
        <v>2496617.12</v>
      </c>
      <c r="J43" s="692">
        <v>2565637.1200000001</v>
      </c>
      <c r="K43" s="989" t="s">
        <v>159</v>
      </c>
      <c r="L43" s="812"/>
      <c r="M43" s="963"/>
      <c r="N43" s="819"/>
      <c r="O43" s="868"/>
      <c r="P43" s="814"/>
      <c r="Q43" s="826"/>
      <c r="R43" s="814"/>
      <c r="S43" s="826"/>
      <c r="T43" s="829">
        <f t="shared" si="19"/>
        <v>2496617.12</v>
      </c>
      <c r="U43" s="692">
        <f t="shared" si="15"/>
        <v>2565637.1200000001</v>
      </c>
      <c r="V43" s="1009">
        <v>0</v>
      </c>
      <c r="W43" s="871">
        <v>0</v>
      </c>
      <c r="X43" s="696"/>
      <c r="Y43" s="698"/>
      <c r="Z43" s="1013">
        <f t="shared" si="20"/>
        <v>0</v>
      </c>
      <c r="AA43" s="697">
        <v>0</v>
      </c>
      <c r="AB43" s="1009">
        <f t="shared" si="2"/>
        <v>0</v>
      </c>
      <c r="AC43" s="700">
        <v>0</v>
      </c>
      <c r="AD43" s="694">
        <f>AB43+T43</f>
        <v>2496617.12</v>
      </c>
      <c r="AE43" s="838">
        <f t="shared" si="3"/>
        <v>2565637.1200000001</v>
      </c>
      <c r="AG43" s="701">
        <f t="shared" si="4"/>
        <v>-69020</v>
      </c>
      <c r="AM43" s="680">
        <f t="shared" si="5"/>
        <v>-69020</v>
      </c>
    </row>
    <row r="44" spans="1:39" ht="24" customHeight="1">
      <c r="A44" s="837">
        <f t="shared" si="21"/>
        <v>31</v>
      </c>
      <c r="B44" s="689" t="s">
        <v>654</v>
      </c>
      <c r="C44" s="689" t="s">
        <v>655</v>
      </c>
      <c r="D44" s="693">
        <v>570509.80000000005</v>
      </c>
      <c r="E44" s="690" t="s">
        <v>656</v>
      </c>
      <c r="F44" s="695">
        <v>263347.14746886434</v>
      </c>
      <c r="G44" s="817">
        <f t="shared" si="17"/>
        <v>35689.902531135653</v>
      </c>
      <c r="H44" s="826">
        <f t="shared" si="18"/>
        <v>49242.312531135685</v>
      </c>
      <c r="I44" s="817">
        <v>299037.05</v>
      </c>
      <c r="J44" s="692">
        <v>312589.46000000002</v>
      </c>
      <c r="K44" s="945" t="s">
        <v>168</v>
      </c>
      <c r="L44" s="812"/>
      <c r="M44" s="963"/>
      <c r="N44" s="819"/>
      <c r="O44" s="868"/>
      <c r="P44" s="814"/>
      <c r="Q44" s="826"/>
      <c r="R44" s="814"/>
      <c r="S44" s="826"/>
      <c r="T44" s="829">
        <f t="shared" si="19"/>
        <v>299037.05</v>
      </c>
      <c r="U44" s="692">
        <f t="shared" si="15"/>
        <v>312589.46000000002</v>
      </c>
      <c r="V44" s="1009">
        <v>0</v>
      </c>
      <c r="W44" s="871">
        <v>0</v>
      </c>
      <c r="X44" s="696"/>
      <c r="Y44" s="698"/>
      <c r="Z44" s="1013">
        <f t="shared" si="20"/>
        <v>0</v>
      </c>
      <c r="AA44" s="697">
        <v>0</v>
      </c>
      <c r="AB44" s="1009">
        <f t="shared" si="2"/>
        <v>0</v>
      </c>
      <c r="AC44" s="700">
        <v>0</v>
      </c>
      <c r="AD44" s="694">
        <f>AB44+T44</f>
        <v>299037.05</v>
      </c>
      <c r="AE44" s="838">
        <f t="shared" si="3"/>
        <v>312589.46000000002</v>
      </c>
      <c r="AG44" s="701">
        <f t="shared" si="4"/>
        <v>-13552.410000000033</v>
      </c>
      <c r="AM44" s="680">
        <f t="shared" si="5"/>
        <v>-13552.410000000033</v>
      </c>
    </row>
    <row r="45" spans="1:39" ht="24" customHeight="1">
      <c r="A45" s="837">
        <f t="shared" si="21"/>
        <v>32</v>
      </c>
      <c r="B45" s="689" t="s">
        <v>657</v>
      </c>
      <c r="C45" s="689" t="s">
        <v>658</v>
      </c>
      <c r="D45" s="693">
        <v>514481.6</v>
      </c>
      <c r="E45" s="690" t="s">
        <v>659</v>
      </c>
      <c r="F45" s="695">
        <v>244297.85279999999</v>
      </c>
      <c r="G45" s="817">
        <f t="shared" si="17"/>
        <v>6063.2271999999939</v>
      </c>
      <c r="H45" s="826">
        <f t="shared" si="18"/>
        <v>12929.137199999997</v>
      </c>
      <c r="I45" s="817">
        <f>250361.08</f>
        <v>250361.08</v>
      </c>
      <c r="J45" s="692">
        <f>257226.99</f>
        <v>257226.99</v>
      </c>
      <c r="K45" s="945" t="s">
        <v>168</v>
      </c>
      <c r="L45" s="812"/>
      <c r="M45" s="963"/>
      <c r="N45" s="819"/>
      <c r="O45" s="868"/>
      <c r="P45" s="814"/>
      <c r="Q45" s="826"/>
      <c r="R45" s="814"/>
      <c r="S45" s="826"/>
      <c r="T45" s="829">
        <f t="shared" si="19"/>
        <v>250361.08</v>
      </c>
      <c r="U45" s="692">
        <f t="shared" si="15"/>
        <v>257226.99</v>
      </c>
      <c r="V45" s="1009">
        <v>25000</v>
      </c>
      <c r="W45" s="871">
        <v>25000</v>
      </c>
      <c r="X45" s="696"/>
      <c r="Y45" s="698"/>
      <c r="Z45" s="1013">
        <v>25000</v>
      </c>
      <c r="AA45" s="697">
        <v>25000</v>
      </c>
      <c r="AB45" s="1009">
        <f t="shared" si="2"/>
        <v>0</v>
      </c>
      <c r="AC45" s="700">
        <v>0</v>
      </c>
      <c r="AD45" s="694">
        <f>AB45+T45</f>
        <v>250361.08</v>
      </c>
      <c r="AE45" s="838">
        <f t="shared" si="3"/>
        <v>257226.99</v>
      </c>
      <c r="AG45" s="701">
        <f t="shared" si="4"/>
        <v>-6865.9100000000035</v>
      </c>
      <c r="AM45" s="680">
        <f t="shared" si="5"/>
        <v>-6865.9100000000035</v>
      </c>
    </row>
    <row r="46" spans="1:39" ht="24" customHeight="1">
      <c r="A46" s="837">
        <f t="shared" si="21"/>
        <v>33</v>
      </c>
      <c r="B46" s="689" t="s">
        <v>660</v>
      </c>
      <c r="C46" s="689" t="s">
        <v>661</v>
      </c>
      <c r="D46" s="693">
        <v>353975.01</v>
      </c>
      <c r="E46" s="690" t="s">
        <v>662</v>
      </c>
      <c r="F46" s="695"/>
      <c r="G46" s="817">
        <f t="shared" si="17"/>
        <v>0</v>
      </c>
      <c r="H46" s="826">
        <f t="shared" si="18"/>
        <v>0</v>
      </c>
      <c r="I46" s="817"/>
      <c r="J46" s="692"/>
      <c r="K46" s="945" t="s">
        <v>168</v>
      </c>
      <c r="L46" s="812"/>
      <c r="M46" s="963"/>
      <c r="N46" s="819"/>
      <c r="O46" s="868"/>
      <c r="P46" s="814"/>
      <c r="Q46" s="826"/>
      <c r="R46" s="814"/>
      <c r="S46" s="826"/>
      <c r="T46" s="829">
        <f t="shared" si="19"/>
        <v>0</v>
      </c>
      <c r="U46" s="692">
        <f t="shared" si="15"/>
        <v>0</v>
      </c>
      <c r="V46" s="1016">
        <v>176987.51</v>
      </c>
      <c r="W46" s="871">
        <v>176987.51</v>
      </c>
      <c r="X46" s="696"/>
      <c r="Y46" s="698"/>
      <c r="Z46" s="1013">
        <f t="shared" ref="Z46:Z49" si="22">IF((T46*Y46)&lt;V46,(T46*Y46),V46)</f>
        <v>0</v>
      </c>
      <c r="AA46" s="697">
        <v>0</v>
      </c>
      <c r="AB46" s="1009">
        <f t="shared" si="2"/>
        <v>176987.51</v>
      </c>
      <c r="AC46" s="700">
        <v>176987.51</v>
      </c>
      <c r="AD46" s="694">
        <f t="shared" si="16"/>
        <v>176987.51</v>
      </c>
      <c r="AE46" s="838">
        <f t="shared" si="3"/>
        <v>176987.51</v>
      </c>
      <c r="AG46" s="701">
        <f t="shared" si="4"/>
        <v>0</v>
      </c>
      <c r="AM46" s="680">
        <f t="shared" si="5"/>
        <v>0</v>
      </c>
    </row>
    <row r="47" spans="1:39" ht="24" customHeight="1">
      <c r="A47" s="837">
        <f t="shared" si="21"/>
        <v>34</v>
      </c>
      <c r="B47" s="689" t="s">
        <v>663</v>
      </c>
      <c r="C47" s="689" t="s">
        <v>664</v>
      </c>
      <c r="D47" s="693">
        <v>54387.15</v>
      </c>
      <c r="E47" s="690" t="s">
        <v>665</v>
      </c>
      <c r="F47" s="695">
        <v>327505.93400000001</v>
      </c>
      <c r="G47" s="817">
        <f t="shared" si="17"/>
        <v>73620.995999999985</v>
      </c>
      <c r="H47" s="826">
        <f t="shared" si="18"/>
        <v>74032.065999999992</v>
      </c>
      <c r="I47" s="817">
        <v>401126.93</v>
      </c>
      <c r="J47" s="692">
        <v>401538</v>
      </c>
      <c r="K47" s="989" t="s">
        <v>159</v>
      </c>
      <c r="L47" s="812"/>
      <c r="M47" s="963"/>
      <c r="N47" s="819"/>
      <c r="O47" s="868"/>
      <c r="P47" s="814"/>
      <c r="Q47" s="826"/>
      <c r="R47" s="814"/>
      <c r="S47" s="826"/>
      <c r="T47" s="829">
        <f t="shared" si="19"/>
        <v>401126.93</v>
      </c>
      <c r="U47" s="692">
        <f t="shared" si="15"/>
        <v>401538</v>
      </c>
      <c r="V47" s="1016"/>
      <c r="W47" s="871"/>
      <c r="X47" s="696"/>
      <c r="Y47" s="698"/>
      <c r="Z47" s="1013">
        <f t="shared" si="22"/>
        <v>0</v>
      </c>
      <c r="AA47" s="697">
        <v>0</v>
      </c>
      <c r="AB47" s="1009">
        <f t="shared" si="2"/>
        <v>0</v>
      </c>
      <c r="AC47" s="700">
        <v>0</v>
      </c>
      <c r="AD47" s="694">
        <f t="shared" si="16"/>
        <v>401126.93</v>
      </c>
      <c r="AE47" s="838">
        <f t="shared" si="3"/>
        <v>401538</v>
      </c>
      <c r="AG47" s="701">
        <f t="shared" si="4"/>
        <v>-411.07000000000698</v>
      </c>
      <c r="AM47" s="680">
        <f t="shared" si="5"/>
        <v>-411.07000000000698</v>
      </c>
    </row>
    <row r="48" spans="1:39" ht="24" customHeight="1">
      <c r="A48" s="837">
        <f t="shared" si="21"/>
        <v>35</v>
      </c>
      <c r="B48" s="689" t="s">
        <v>666</v>
      </c>
      <c r="C48" s="689" t="s">
        <v>667</v>
      </c>
      <c r="D48" s="693">
        <v>35410</v>
      </c>
      <c r="E48" s="690" t="s">
        <v>668</v>
      </c>
      <c r="F48" s="695">
        <v>398708.45</v>
      </c>
      <c r="G48" s="817">
        <f t="shared" si="17"/>
        <v>55405</v>
      </c>
      <c r="H48" s="826">
        <f t="shared" si="18"/>
        <v>60483.005000000005</v>
      </c>
      <c r="I48" s="817">
        <v>454113.45</v>
      </c>
      <c r="J48" s="692">
        <v>459191.45500000002</v>
      </c>
      <c r="K48" s="945" t="s">
        <v>168</v>
      </c>
      <c r="L48" s="812"/>
      <c r="M48" s="963"/>
      <c r="N48" s="819"/>
      <c r="O48" s="868"/>
      <c r="P48" s="814"/>
      <c r="Q48" s="826"/>
      <c r="R48" s="814"/>
      <c r="S48" s="826"/>
      <c r="T48" s="829">
        <f t="shared" si="19"/>
        <v>454113.45</v>
      </c>
      <c r="U48" s="692">
        <f t="shared" si="15"/>
        <v>459191.45500000002</v>
      </c>
      <c r="V48" s="1016"/>
      <c r="W48" s="871"/>
      <c r="X48" s="696"/>
      <c r="Y48" s="698"/>
      <c r="Z48" s="1013">
        <f t="shared" si="22"/>
        <v>0</v>
      </c>
      <c r="AA48" s="697">
        <v>0</v>
      </c>
      <c r="AB48" s="1009">
        <f t="shared" si="2"/>
        <v>0</v>
      </c>
      <c r="AC48" s="700">
        <v>0</v>
      </c>
      <c r="AD48" s="694">
        <f t="shared" si="16"/>
        <v>454113.45</v>
      </c>
      <c r="AE48" s="838">
        <f t="shared" si="3"/>
        <v>459191.45500000002</v>
      </c>
      <c r="AG48" s="701">
        <f t="shared" si="4"/>
        <v>-5078.0050000000047</v>
      </c>
      <c r="AM48" s="680">
        <f t="shared" si="5"/>
        <v>-5078.0050000000047</v>
      </c>
    </row>
    <row r="49" spans="1:39" ht="24" customHeight="1">
      <c r="A49" s="837">
        <f t="shared" si="21"/>
        <v>36</v>
      </c>
      <c r="B49" s="689" t="s">
        <v>669</v>
      </c>
      <c r="C49" s="689" t="s">
        <v>670</v>
      </c>
      <c r="D49" s="693">
        <v>441760</v>
      </c>
      <c r="E49" s="690" t="s">
        <v>671</v>
      </c>
      <c r="F49" s="695">
        <v>120749.01603850001</v>
      </c>
      <c r="G49" s="817">
        <f t="shared" si="17"/>
        <v>46903.383961499989</v>
      </c>
      <c r="H49" s="826">
        <f t="shared" si="18"/>
        <v>47409.783961499983</v>
      </c>
      <c r="I49" s="817">
        <v>167652.4</v>
      </c>
      <c r="J49" s="692">
        <v>168158.8</v>
      </c>
      <c r="K49" s="945" t="s">
        <v>159</v>
      </c>
      <c r="L49" s="812"/>
      <c r="M49" s="963"/>
      <c r="N49" s="819"/>
      <c r="O49" s="868"/>
      <c r="P49" s="814"/>
      <c r="Q49" s="826"/>
      <c r="R49" s="814"/>
      <c r="S49" s="826"/>
      <c r="T49" s="829">
        <f t="shared" si="19"/>
        <v>167652.4</v>
      </c>
      <c r="U49" s="692">
        <f t="shared" si="15"/>
        <v>168158.8</v>
      </c>
      <c r="V49" s="1016"/>
      <c r="W49" s="871"/>
      <c r="X49" s="696"/>
      <c r="Y49" s="698"/>
      <c r="Z49" s="1013">
        <f t="shared" si="22"/>
        <v>0</v>
      </c>
      <c r="AA49" s="697">
        <v>0</v>
      </c>
      <c r="AB49" s="1009">
        <f t="shared" si="2"/>
        <v>0</v>
      </c>
      <c r="AC49" s="700">
        <v>0</v>
      </c>
      <c r="AD49" s="694">
        <f t="shared" si="16"/>
        <v>167652.4</v>
      </c>
      <c r="AE49" s="838">
        <f t="shared" si="3"/>
        <v>168158.8</v>
      </c>
      <c r="AG49" s="701">
        <f t="shared" si="4"/>
        <v>-506.39999999999418</v>
      </c>
      <c r="AM49" s="680">
        <f t="shared" si="5"/>
        <v>-506.39999999999418</v>
      </c>
    </row>
    <row r="50" spans="1:39" ht="24" customHeight="1">
      <c r="A50" s="837">
        <f t="shared" si="21"/>
        <v>37</v>
      </c>
      <c r="B50" s="689" t="s">
        <v>672</v>
      </c>
      <c r="C50" s="689" t="s">
        <v>673</v>
      </c>
      <c r="D50" s="693">
        <v>1331893</v>
      </c>
      <c r="E50" s="690" t="s">
        <v>674</v>
      </c>
      <c r="F50" s="695">
        <v>1507019.0399999998</v>
      </c>
      <c r="G50" s="817">
        <f t="shared" si="17"/>
        <v>283215.54000000004</v>
      </c>
      <c r="H50" s="826">
        <f t="shared" si="18"/>
        <v>292139.84000000008</v>
      </c>
      <c r="I50" s="817">
        <f>F50+303465.54-20250</f>
        <v>1790234.5799999998</v>
      </c>
      <c r="J50" s="692">
        <v>1799158.88</v>
      </c>
      <c r="K50" s="945" t="s">
        <v>168</v>
      </c>
      <c r="L50" s="812"/>
      <c r="M50" s="963"/>
      <c r="N50" s="819"/>
      <c r="O50" s="868"/>
      <c r="P50" s="814"/>
      <c r="Q50" s="826"/>
      <c r="R50" s="814">
        <f>158085.2+20250</f>
        <v>178335.2</v>
      </c>
      <c r="S50" s="826">
        <v>179740</v>
      </c>
      <c r="T50" s="829">
        <f t="shared" si="19"/>
        <v>1968569.7799999998</v>
      </c>
      <c r="U50" s="692">
        <f t="shared" si="15"/>
        <v>1978898.88</v>
      </c>
      <c r="V50" s="1016">
        <v>66594.649999999994</v>
      </c>
      <c r="W50" s="871">
        <v>66594.649999999994</v>
      </c>
      <c r="X50" s="696">
        <v>0.05</v>
      </c>
      <c r="Y50" s="698">
        <v>0.05</v>
      </c>
      <c r="Z50" s="1013">
        <f>IF((T50*Y50)&lt;V50,(T50*Y50),V50)</f>
        <v>66594.649999999994</v>
      </c>
      <c r="AA50" s="697">
        <v>66594.649999999994</v>
      </c>
      <c r="AB50" s="1009">
        <f t="shared" si="2"/>
        <v>0</v>
      </c>
      <c r="AC50" s="700">
        <v>0</v>
      </c>
      <c r="AD50" s="694">
        <f>AB50+T50</f>
        <v>1968569.7799999998</v>
      </c>
      <c r="AE50" s="838">
        <f t="shared" si="3"/>
        <v>1978898.88</v>
      </c>
      <c r="AG50" s="701">
        <f t="shared" si="4"/>
        <v>-10329.100000000093</v>
      </c>
      <c r="AM50" s="680">
        <f t="shared" si="5"/>
        <v>-10329.100000000093</v>
      </c>
    </row>
    <row r="51" spans="1:39" ht="24" customHeight="1">
      <c r="A51" s="837">
        <f t="shared" si="21"/>
        <v>38</v>
      </c>
      <c r="B51" s="689" t="s">
        <v>675</v>
      </c>
      <c r="C51" s="689" t="s">
        <v>676</v>
      </c>
      <c r="D51" s="693">
        <v>685405</v>
      </c>
      <c r="E51" s="690" t="s">
        <v>677</v>
      </c>
      <c r="F51" s="695">
        <v>82852.5</v>
      </c>
      <c r="G51" s="817">
        <f t="shared" si="17"/>
        <v>50674.252380952385</v>
      </c>
      <c r="H51" s="826">
        <f t="shared" si="18"/>
        <v>56888.19</v>
      </c>
      <c r="I51" s="817">
        <f>((130492.69/1.05)+9248)</f>
        <v>133526.75238095238</v>
      </c>
      <c r="J51" s="692">
        <f>130492.69+9248</f>
        <v>139740.69</v>
      </c>
      <c r="K51" s="945" t="s">
        <v>168</v>
      </c>
      <c r="L51" s="812"/>
      <c r="M51" s="963"/>
      <c r="N51" s="819"/>
      <c r="O51" s="868"/>
      <c r="P51" s="814"/>
      <c r="Q51" s="826"/>
      <c r="R51" s="814"/>
      <c r="S51" s="826"/>
      <c r="T51" s="829">
        <f t="shared" si="19"/>
        <v>133526.75238095238</v>
      </c>
      <c r="U51" s="692">
        <f t="shared" si="15"/>
        <v>139740.69</v>
      </c>
      <c r="V51" s="1016">
        <v>60640</v>
      </c>
      <c r="W51" s="871">
        <v>60640</v>
      </c>
      <c r="X51" s="696">
        <v>0.2</v>
      </c>
      <c r="Y51" s="698"/>
      <c r="Z51" s="1013">
        <f t="shared" ref="Z51" si="23">IF((T51*Y51)&lt;V51,(T51*Y51),V51)</f>
        <v>0</v>
      </c>
      <c r="AA51" s="697">
        <v>0</v>
      </c>
      <c r="AB51" s="1009">
        <f t="shared" si="2"/>
        <v>60640</v>
      </c>
      <c r="AC51" s="700">
        <v>60640</v>
      </c>
      <c r="AD51" s="694">
        <f>AB51+T51</f>
        <v>194166.75238095238</v>
      </c>
      <c r="AE51" s="838">
        <f t="shared" si="3"/>
        <v>200380.69</v>
      </c>
      <c r="AG51" s="701">
        <f t="shared" si="4"/>
        <v>-6213.9376190476178</v>
      </c>
      <c r="AM51" s="680">
        <f t="shared" si="5"/>
        <v>-6213.9376190476178</v>
      </c>
    </row>
    <row r="52" spans="1:39" ht="24" customHeight="1">
      <c r="A52" s="837">
        <f t="shared" si="21"/>
        <v>39</v>
      </c>
      <c r="B52" s="689" t="s">
        <v>678</v>
      </c>
      <c r="C52" s="689" t="s">
        <v>679</v>
      </c>
      <c r="D52" s="693">
        <v>961039</v>
      </c>
      <c r="E52" s="690" t="s">
        <v>680</v>
      </c>
      <c r="F52" s="695">
        <v>329479</v>
      </c>
      <c r="G52" s="819">
        <f t="shared" si="17"/>
        <v>296363.40999999992</v>
      </c>
      <c r="H52" s="826">
        <f t="shared" si="18"/>
        <v>325546</v>
      </c>
      <c r="I52" s="1025">
        <v>625842.40999999992</v>
      </c>
      <c r="J52" s="692">
        <v>655025</v>
      </c>
      <c r="K52" s="945" t="s">
        <v>168</v>
      </c>
      <c r="L52" s="812"/>
      <c r="M52" s="963"/>
      <c r="N52" s="819"/>
      <c r="O52" s="868"/>
      <c r="P52" s="814"/>
      <c r="Q52" s="826"/>
      <c r="R52" s="814">
        <v>26074.560000000001</v>
      </c>
      <c r="S52" s="826">
        <v>26074.560000000001</v>
      </c>
      <c r="T52" s="829">
        <f t="shared" si="19"/>
        <v>651916.97</v>
      </c>
      <c r="U52" s="692">
        <f t="shared" si="15"/>
        <v>681099.56</v>
      </c>
      <c r="V52" s="1016">
        <v>96103.900000000009</v>
      </c>
      <c r="W52" s="871">
        <v>96103.900000000009</v>
      </c>
      <c r="X52" s="696">
        <v>0.1</v>
      </c>
      <c r="Y52" s="698">
        <v>0.12</v>
      </c>
      <c r="Z52" s="1013">
        <f>IF((T52*Y52)&lt;V52,(T52*Y52),V52)</f>
        <v>78230.036399999997</v>
      </c>
      <c r="AA52" s="697">
        <v>81731.94720000001</v>
      </c>
      <c r="AB52" s="1009">
        <f>V52-Z52</f>
        <v>17873.863600000012</v>
      </c>
      <c r="AC52" s="700">
        <v>14371.952799999999</v>
      </c>
      <c r="AD52" s="694">
        <f t="shared" si="16"/>
        <v>669790.83360000001</v>
      </c>
      <c r="AE52" s="838">
        <f t="shared" si="3"/>
        <v>695471.51280000003</v>
      </c>
      <c r="AG52" s="701">
        <f t="shared" si="4"/>
        <v>-25680.679200000013</v>
      </c>
      <c r="AM52" s="680">
        <f t="shared" si="5"/>
        <v>-29182.590000000084</v>
      </c>
    </row>
    <row r="53" spans="1:39" ht="24" customHeight="1">
      <c r="A53" s="837">
        <f t="shared" si="21"/>
        <v>40</v>
      </c>
      <c r="B53" s="699" t="s">
        <v>681</v>
      </c>
      <c r="C53" s="689" t="s">
        <v>682</v>
      </c>
      <c r="D53" s="704">
        <v>645526.09</v>
      </c>
      <c r="E53" s="705" t="s">
        <v>683</v>
      </c>
      <c r="F53" s="831">
        <v>376545.99979999999</v>
      </c>
      <c r="G53" s="819">
        <f t="shared" si="17"/>
        <v>2350.8402000000351</v>
      </c>
      <c r="H53" s="826">
        <f t="shared" si="18"/>
        <v>9855.7702000000281</v>
      </c>
      <c r="I53" s="817">
        <v>378896.84</v>
      </c>
      <c r="J53" s="692">
        <v>386401.77</v>
      </c>
      <c r="K53" s="945" t="s">
        <v>168</v>
      </c>
      <c r="L53" s="812"/>
      <c r="M53" s="963"/>
      <c r="N53" s="819"/>
      <c r="O53" s="868"/>
      <c r="P53" s="814"/>
      <c r="Q53" s="826"/>
      <c r="R53" s="814"/>
      <c r="S53" s="826"/>
      <c r="T53" s="829">
        <f t="shared" si="19"/>
        <v>378896.84</v>
      </c>
      <c r="U53" s="692">
        <f t="shared" si="15"/>
        <v>386401.77</v>
      </c>
      <c r="V53" s="1016"/>
      <c r="W53" s="871"/>
      <c r="X53" s="696"/>
      <c r="Y53" s="698"/>
      <c r="Z53" s="1013">
        <f t="shared" ref="Z53:Z60" si="24">IF((T53*Y53)&lt;V53,(T53*Y53),V53)</f>
        <v>0</v>
      </c>
      <c r="AA53" s="697">
        <v>0</v>
      </c>
      <c r="AB53" s="1009">
        <f t="shared" si="2"/>
        <v>0</v>
      </c>
      <c r="AC53" s="700">
        <v>0</v>
      </c>
      <c r="AD53" s="694">
        <f t="shared" si="16"/>
        <v>378896.84</v>
      </c>
      <c r="AE53" s="838">
        <f t="shared" si="3"/>
        <v>386401.77</v>
      </c>
      <c r="AG53" s="701">
        <f t="shared" si="4"/>
        <v>-7504.929999999993</v>
      </c>
      <c r="AM53" s="680">
        <f t="shared" si="5"/>
        <v>-7504.929999999993</v>
      </c>
    </row>
    <row r="54" spans="1:39" ht="24" customHeight="1">
      <c r="A54" s="837">
        <f t="shared" si="21"/>
        <v>41</v>
      </c>
      <c r="B54" s="689" t="s">
        <v>684</v>
      </c>
      <c r="C54" s="706" t="s">
        <v>685</v>
      </c>
      <c r="D54" s="693">
        <v>313333</v>
      </c>
      <c r="E54" s="690" t="s">
        <v>686</v>
      </c>
      <c r="F54" s="695">
        <v>118320</v>
      </c>
      <c r="G54" s="819">
        <f t="shared" si="17"/>
        <v>0</v>
      </c>
      <c r="H54" s="826">
        <f t="shared" si="18"/>
        <v>0</v>
      </c>
      <c r="I54" s="817">
        <v>118320</v>
      </c>
      <c r="J54" s="692">
        <v>118320</v>
      </c>
      <c r="K54" s="945" t="s">
        <v>168</v>
      </c>
      <c r="L54" s="812"/>
      <c r="M54" s="963"/>
      <c r="N54" s="819"/>
      <c r="O54" s="868"/>
      <c r="P54" s="814"/>
      <c r="Q54" s="826"/>
      <c r="R54" s="814"/>
      <c r="S54" s="826"/>
      <c r="T54" s="829">
        <f t="shared" si="19"/>
        <v>118320</v>
      </c>
      <c r="U54" s="692">
        <f t="shared" si="15"/>
        <v>118320</v>
      </c>
      <c r="V54" s="1016"/>
      <c r="W54" s="871"/>
      <c r="X54" s="696"/>
      <c r="Y54" s="698"/>
      <c r="Z54" s="1013">
        <f t="shared" si="24"/>
        <v>0</v>
      </c>
      <c r="AA54" s="697">
        <v>0</v>
      </c>
      <c r="AB54" s="1009">
        <f t="shared" si="2"/>
        <v>0</v>
      </c>
      <c r="AC54" s="700">
        <v>0</v>
      </c>
      <c r="AD54" s="694">
        <f t="shared" si="16"/>
        <v>118320</v>
      </c>
      <c r="AE54" s="838">
        <f t="shared" si="3"/>
        <v>118320</v>
      </c>
      <c r="AG54" s="701">
        <f t="shared" si="4"/>
        <v>0</v>
      </c>
      <c r="AM54" s="680">
        <f t="shared" si="5"/>
        <v>0</v>
      </c>
    </row>
    <row r="55" spans="1:39" ht="24" customHeight="1">
      <c r="A55" s="837">
        <f t="shared" si="21"/>
        <v>42</v>
      </c>
      <c r="B55" s="689" t="s">
        <v>687</v>
      </c>
      <c r="C55" s="706" t="s">
        <v>688</v>
      </c>
      <c r="D55" s="693">
        <v>88900</v>
      </c>
      <c r="E55" s="690" t="s">
        <v>689</v>
      </c>
      <c r="F55" s="695">
        <v>88900</v>
      </c>
      <c r="G55" s="819">
        <f t="shared" si="17"/>
        <v>0</v>
      </c>
      <c r="H55" s="826">
        <f t="shared" si="18"/>
        <v>0</v>
      </c>
      <c r="I55" s="817">
        <v>88900</v>
      </c>
      <c r="J55" s="692">
        <v>88900</v>
      </c>
      <c r="K55" s="945" t="s">
        <v>168</v>
      </c>
      <c r="L55" s="812"/>
      <c r="M55" s="963"/>
      <c r="N55" s="819"/>
      <c r="O55" s="868"/>
      <c r="P55" s="814"/>
      <c r="Q55" s="826"/>
      <c r="R55" s="814"/>
      <c r="S55" s="826"/>
      <c r="T55" s="829">
        <f t="shared" si="19"/>
        <v>88900</v>
      </c>
      <c r="U55" s="692">
        <f t="shared" si="15"/>
        <v>88900</v>
      </c>
      <c r="V55" s="1016"/>
      <c r="W55" s="871"/>
      <c r="X55" s="696"/>
      <c r="Y55" s="698"/>
      <c r="Z55" s="1013">
        <f t="shared" si="24"/>
        <v>0</v>
      </c>
      <c r="AA55" s="697">
        <v>0</v>
      </c>
      <c r="AB55" s="1009">
        <f t="shared" si="2"/>
        <v>0</v>
      </c>
      <c r="AC55" s="700">
        <v>0</v>
      </c>
      <c r="AD55" s="694">
        <f t="shared" si="16"/>
        <v>88900</v>
      </c>
      <c r="AE55" s="838">
        <f t="shared" si="3"/>
        <v>88900</v>
      </c>
      <c r="AG55" s="701">
        <f t="shared" si="4"/>
        <v>0</v>
      </c>
      <c r="AM55" s="680">
        <f t="shared" si="5"/>
        <v>0</v>
      </c>
    </row>
    <row r="56" spans="1:39" ht="24" customHeight="1">
      <c r="A56" s="837">
        <f t="shared" si="21"/>
        <v>43</v>
      </c>
      <c r="B56" s="689" t="s">
        <v>690</v>
      </c>
      <c r="C56" s="706" t="s">
        <v>691</v>
      </c>
      <c r="D56" s="693">
        <v>47795</v>
      </c>
      <c r="E56" s="690" t="s">
        <v>692</v>
      </c>
      <c r="F56" s="695">
        <v>237860.85</v>
      </c>
      <c r="G56" s="819">
        <f t="shared" si="17"/>
        <v>247596.44999999998</v>
      </c>
      <c r="H56" s="826">
        <f t="shared" si="18"/>
        <v>247596.44999999998</v>
      </c>
      <c r="I56" s="817">
        <v>485457.3</v>
      </c>
      <c r="J56" s="692">
        <v>485457.3</v>
      </c>
      <c r="K56" s="945" t="s">
        <v>168</v>
      </c>
      <c r="L56" s="812"/>
      <c r="M56" s="963"/>
      <c r="N56" s="819"/>
      <c r="O56" s="868"/>
      <c r="P56" s="814"/>
      <c r="Q56" s="826"/>
      <c r="R56" s="814"/>
      <c r="S56" s="826"/>
      <c r="T56" s="829">
        <f t="shared" si="19"/>
        <v>485457.3</v>
      </c>
      <c r="U56" s="692">
        <f t="shared" si="15"/>
        <v>485457.3</v>
      </c>
      <c r="V56" s="1016"/>
      <c r="W56" s="871"/>
      <c r="X56" s="696"/>
      <c r="Y56" s="698"/>
      <c r="Z56" s="1013">
        <f t="shared" si="24"/>
        <v>0</v>
      </c>
      <c r="AA56" s="697">
        <v>0</v>
      </c>
      <c r="AB56" s="1009">
        <f t="shared" si="2"/>
        <v>0</v>
      </c>
      <c r="AC56" s="700">
        <v>0</v>
      </c>
      <c r="AD56" s="694">
        <f t="shared" si="16"/>
        <v>485457.3</v>
      </c>
      <c r="AE56" s="838">
        <f t="shared" si="3"/>
        <v>485457.3</v>
      </c>
      <c r="AG56" s="701">
        <f t="shared" si="4"/>
        <v>0</v>
      </c>
      <c r="AM56" s="680">
        <f t="shared" si="5"/>
        <v>0</v>
      </c>
    </row>
    <row r="57" spans="1:39" ht="24" customHeight="1">
      <c r="A57" s="837">
        <f t="shared" si="21"/>
        <v>44</v>
      </c>
      <c r="B57" s="689" t="s">
        <v>693</v>
      </c>
      <c r="C57" s="706" t="s">
        <v>694</v>
      </c>
      <c r="D57" s="693">
        <v>110965</v>
      </c>
      <c r="E57" s="690" t="s">
        <v>695</v>
      </c>
      <c r="F57" s="695">
        <v>77965</v>
      </c>
      <c r="G57" s="819">
        <f t="shared" si="17"/>
        <v>0</v>
      </c>
      <c r="H57" s="826">
        <f t="shared" si="18"/>
        <v>0</v>
      </c>
      <c r="I57" s="817">
        <v>77965</v>
      </c>
      <c r="J57" s="692">
        <v>77965</v>
      </c>
      <c r="K57" s="945" t="s">
        <v>168</v>
      </c>
      <c r="L57" s="812"/>
      <c r="M57" s="963"/>
      <c r="N57" s="819"/>
      <c r="O57" s="868"/>
      <c r="P57" s="814"/>
      <c r="Q57" s="826"/>
      <c r="R57" s="814"/>
      <c r="S57" s="826"/>
      <c r="T57" s="829">
        <f t="shared" si="19"/>
        <v>77965</v>
      </c>
      <c r="U57" s="692">
        <f t="shared" si="15"/>
        <v>77965</v>
      </c>
      <c r="V57" s="1016">
        <v>33290</v>
      </c>
      <c r="W57" s="871">
        <v>33290</v>
      </c>
      <c r="X57" s="696">
        <f>V57/D57</f>
        <v>0.30000450592529176</v>
      </c>
      <c r="Y57" s="698" t="s">
        <v>591</v>
      </c>
      <c r="Z57" s="1013">
        <v>33290</v>
      </c>
      <c r="AA57" s="697">
        <v>33290</v>
      </c>
      <c r="AB57" s="1009">
        <f>V57-Z57</f>
        <v>0</v>
      </c>
      <c r="AC57" s="700">
        <v>0</v>
      </c>
      <c r="AD57" s="694">
        <f t="shared" si="16"/>
        <v>77965</v>
      </c>
      <c r="AE57" s="838">
        <f t="shared" si="3"/>
        <v>77965</v>
      </c>
      <c r="AG57" s="701">
        <f t="shared" si="4"/>
        <v>0</v>
      </c>
      <c r="AM57" s="680">
        <f t="shared" si="5"/>
        <v>0</v>
      </c>
    </row>
    <row r="58" spans="1:39" ht="24" customHeight="1">
      <c r="A58" s="837">
        <f t="shared" si="21"/>
        <v>45</v>
      </c>
      <c r="B58" s="689" t="s">
        <v>696</v>
      </c>
      <c r="C58" s="706" t="s">
        <v>697</v>
      </c>
      <c r="D58" s="693">
        <v>225683</v>
      </c>
      <c r="E58" s="690" t="s">
        <v>698</v>
      </c>
      <c r="F58" s="695"/>
      <c r="G58" s="819">
        <f t="shared" si="17"/>
        <v>0</v>
      </c>
      <c r="H58" s="826">
        <f t="shared" si="18"/>
        <v>0</v>
      </c>
      <c r="I58" s="817"/>
      <c r="J58" s="692"/>
      <c r="K58" s="945" t="s">
        <v>592</v>
      </c>
      <c r="L58" s="812"/>
      <c r="M58" s="963"/>
      <c r="N58" s="819"/>
      <c r="O58" s="868"/>
      <c r="P58" s="814"/>
      <c r="Q58" s="826"/>
      <c r="R58" s="814"/>
      <c r="S58" s="826"/>
      <c r="T58" s="829">
        <f t="shared" si="19"/>
        <v>0</v>
      </c>
      <c r="U58" s="692">
        <f t="shared" si="15"/>
        <v>0</v>
      </c>
      <c r="V58" s="1009">
        <v>45136.600000000006</v>
      </c>
      <c r="W58" s="871">
        <v>45136.600000000006</v>
      </c>
      <c r="X58" s="696">
        <f>V58/D58</f>
        <v>0.20000000000000004</v>
      </c>
      <c r="Y58" s="698"/>
      <c r="Z58" s="1013">
        <f t="shared" si="24"/>
        <v>0</v>
      </c>
      <c r="AA58" s="697">
        <v>0</v>
      </c>
      <c r="AB58" s="1009">
        <f t="shared" si="2"/>
        <v>45136.600000000006</v>
      </c>
      <c r="AC58" s="700">
        <v>45136.600000000006</v>
      </c>
      <c r="AD58" s="694">
        <f t="shared" si="16"/>
        <v>45136.600000000006</v>
      </c>
      <c r="AE58" s="838">
        <f t="shared" si="3"/>
        <v>45136.600000000006</v>
      </c>
      <c r="AG58" s="701">
        <f t="shared" si="4"/>
        <v>0</v>
      </c>
      <c r="AM58" s="680">
        <f t="shared" si="5"/>
        <v>0</v>
      </c>
    </row>
    <row r="59" spans="1:39" ht="24" customHeight="1">
      <c r="A59" s="837">
        <f t="shared" si="21"/>
        <v>46</v>
      </c>
      <c r="B59" s="689" t="s">
        <v>699</v>
      </c>
      <c r="C59" s="706" t="s">
        <v>676</v>
      </c>
      <c r="D59" s="693">
        <v>154496.04999999999</v>
      </c>
      <c r="E59" s="690" t="s">
        <v>700</v>
      </c>
      <c r="F59" s="695"/>
      <c r="G59" s="819">
        <f t="shared" si="17"/>
        <v>22602.85</v>
      </c>
      <c r="H59" s="826">
        <f t="shared" si="18"/>
        <v>22602.85</v>
      </c>
      <c r="I59" s="817">
        <v>22602.85</v>
      </c>
      <c r="J59" s="692">
        <v>22602.85</v>
      </c>
      <c r="K59" s="945" t="s">
        <v>168</v>
      </c>
      <c r="L59" s="812"/>
      <c r="M59" s="963"/>
      <c r="N59" s="819"/>
      <c r="O59" s="868"/>
      <c r="P59" s="814"/>
      <c r="Q59" s="826"/>
      <c r="R59" s="814"/>
      <c r="S59" s="826"/>
      <c r="T59" s="829">
        <f t="shared" si="19"/>
        <v>22602.85</v>
      </c>
      <c r="U59" s="692">
        <f t="shared" si="15"/>
        <v>22602.85</v>
      </c>
      <c r="V59" s="1016">
        <v>24449.21</v>
      </c>
      <c r="W59" s="871">
        <v>24449.21</v>
      </c>
      <c r="X59" s="696">
        <f>V59/D59</f>
        <v>0.15825135982440974</v>
      </c>
      <c r="Y59" s="698">
        <v>0.2</v>
      </c>
      <c r="Z59" s="1013">
        <f t="shared" si="24"/>
        <v>4520.57</v>
      </c>
      <c r="AA59" s="697">
        <v>4520.57</v>
      </c>
      <c r="AB59" s="1009">
        <f t="shared" si="2"/>
        <v>19928.64</v>
      </c>
      <c r="AC59" s="700">
        <v>19928.64</v>
      </c>
      <c r="AD59" s="694">
        <f t="shared" si="16"/>
        <v>42531.49</v>
      </c>
      <c r="AE59" s="838">
        <f t="shared" si="3"/>
        <v>42531.49</v>
      </c>
      <c r="AG59" s="701">
        <f t="shared" si="4"/>
        <v>0</v>
      </c>
      <c r="AM59" s="680">
        <f t="shared" si="5"/>
        <v>0</v>
      </c>
    </row>
    <row r="60" spans="1:39" ht="24" customHeight="1">
      <c r="A60" s="837">
        <f t="shared" si="21"/>
        <v>47</v>
      </c>
      <c r="B60" s="689" t="s">
        <v>701</v>
      </c>
      <c r="C60" s="706" t="s">
        <v>702</v>
      </c>
      <c r="D60" s="693">
        <v>474794.1</v>
      </c>
      <c r="E60" s="690" t="s">
        <v>703</v>
      </c>
      <c r="F60" s="695"/>
      <c r="G60" s="819">
        <f t="shared" si="17"/>
        <v>0</v>
      </c>
      <c r="H60" s="826">
        <f t="shared" si="18"/>
        <v>0</v>
      </c>
      <c r="I60" s="817"/>
      <c r="J60" s="692"/>
      <c r="K60" s="945" t="s">
        <v>168</v>
      </c>
      <c r="L60" s="812"/>
      <c r="M60" s="963"/>
      <c r="N60" s="819"/>
      <c r="O60" s="868"/>
      <c r="P60" s="814"/>
      <c r="Q60" s="826"/>
      <c r="R60" s="814"/>
      <c r="S60" s="826"/>
      <c r="T60" s="829">
        <f t="shared" si="19"/>
        <v>0</v>
      </c>
      <c r="U60" s="692">
        <f t="shared" si="15"/>
        <v>0</v>
      </c>
      <c r="V60" s="1016">
        <f>D60*50%+36798</f>
        <v>274195.05</v>
      </c>
      <c r="W60" s="871">
        <v>274195.05</v>
      </c>
      <c r="X60" s="696">
        <v>0.5</v>
      </c>
      <c r="Y60" s="698"/>
      <c r="Z60" s="1013">
        <f t="shared" si="24"/>
        <v>0</v>
      </c>
      <c r="AA60" s="697">
        <v>0</v>
      </c>
      <c r="AB60" s="1009">
        <f t="shared" si="2"/>
        <v>274195.05</v>
      </c>
      <c r="AC60" s="700">
        <v>274195.05</v>
      </c>
      <c r="AD60" s="694">
        <f t="shared" si="16"/>
        <v>274195.05</v>
      </c>
      <c r="AE60" s="838">
        <f t="shared" si="3"/>
        <v>274195.05</v>
      </c>
      <c r="AG60" s="701">
        <f t="shared" si="4"/>
        <v>0</v>
      </c>
      <c r="AM60" s="680">
        <f t="shared" si="5"/>
        <v>0</v>
      </c>
    </row>
    <row r="61" spans="1:39" ht="24" customHeight="1">
      <c r="A61" s="837">
        <f t="shared" si="21"/>
        <v>48</v>
      </c>
      <c r="B61" s="689" t="s">
        <v>704</v>
      </c>
      <c r="C61" s="706" t="s">
        <v>649</v>
      </c>
      <c r="D61" s="693">
        <v>918183.61</v>
      </c>
      <c r="E61" s="690" t="s">
        <v>705</v>
      </c>
      <c r="F61" s="695">
        <v>534726.625</v>
      </c>
      <c r="G61" s="819">
        <f t="shared" si="17"/>
        <v>171403.22000000009</v>
      </c>
      <c r="H61" s="826">
        <f t="shared" si="18"/>
        <v>206951.17500000005</v>
      </c>
      <c r="I61" s="817">
        <f>F61+127639.92+43763.3</f>
        <v>706129.84500000009</v>
      </c>
      <c r="J61" s="692">
        <v>741677.8</v>
      </c>
      <c r="K61" s="945" t="s">
        <v>254</v>
      </c>
      <c r="L61" s="812"/>
      <c r="M61" s="963"/>
      <c r="N61" s="819"/>
      <c r="O61" s="868"/>
      <c r="P61" s="814"/>
      <c r="Q61" s="826"/>
      <c r="R61" s="814"/>
      <c r="S61" s="826"/>
      <c r="T61" s="829">
        <f t="shared" si="19"/>
        <v>706129.84500000009</v>
      </c>
      <c r="U61" s="692">
        <f t="shared" si="15"/>
        <v>741677.8</v>
      </c>
      <c r="V61" s="1016">
        <v>75000</v>
      </c>
      <c r="W61" s="871">
        <v>75000</v>
      </c>
      <c r="X61" s="696"/>
      <c r="Y61" s="698">
        <v>0.1</v>
      </c>
      <c r="Z61" s="1013">
        <f>IF((T61*Y61)&lt;V61,(T61*Y61),V61)</f>
        <v>70612.984500000006</v>
      </c>
      <c r="AA61" s="697">
        <v>75000</v>
      </c>
      <c r="AB61" s="1009">
        <f t="shared" si="2"/>
        <v>4387.0154999999941</v>
      </c>
      <c r="AC61" s="700">
        <f>W61-AA61</f>
        <v>0</v>
      </c>
      <c r="AD61" s="694">
        <f t="shared" si="16"/>
        <v>710516.86050000007</v>
      </c>
      <c r="AE61" s="838">
        <f t="shared" si="3"/>
        <v>741677.8</v>
      </c>
      <c r="AG61" s="701">
        <f t="shared" si="4"/>
        <v>-31160.939499999979</v>
      </c>
      <c r="AH61" s="676" t="s">
        <v>706</v>
      </c>
      <c r="AK61" s="707" t="s">
        <v>707</v>
      </c>
      <c r="AM61" s="680">
        <f t="shared" si="5"/>
        <v>-35547.954999999958</v>
      </c>
    </row>
    <row r="62" spans="1:39" ht="24" customHeight="1">
      <c r="A62" s="837">
        <f t="shared" si="21"/>
        <v>49</v>
      </c>
      <c r="B62" s="689" t="s">
        <v>708</v>
      </c>
      <c r="C62" s="706" t="s">
        <v>709</v>
      </c>
      <c r="D62" s="693">
        <v>265036</v>
      </c>
      <c r="E62" s="690" t="s">
        <v>710</v>
      </c>
      <c r="F62" s="695">
        <v>188189.03</v>
      </c>
      <c r="G62" s="819">
        <f t="shared" si="17"/>
        <v>218786.88999999998</v>
      </c>
      <c r="H62" s="826">
        <f t="shared" si="18"/>
        <v>221964.38999999998</v>
      </c>
      <c r="I62" s="817">
        <v>406975.92</v>
      </c>
      <c r="J62" s="692">
        <f>406975.92+3177.5</f>
        <v>410153.42</v>
      </c>
      <c r="K62" s="945" t="s">
        <v>159</v>
      </c>
      <c r="L62" s="812"/>
      <c r="M62" s="963"/>
      <c r="N62" s="819"/>
      <c r="O62" s="868"/>
      <c r="P62" s="814"/>
      <c r="Q62" s="826"/>
      <c r="R62" s="814">
        <v>617916.64</v>
      </c>
      <c r="S62" s="826">
        <v>617916.64</v>
      </c>
      <c r="T62" s="829">
        <f t="shared" si="19"/>
        <v>1024892.56</v>
      </c>
      <c r="U62" s="692">
        <f t="shared" si="15"/>
        <v>1028070.06</v>
      </c>
      <c r="V62" s="1016"/>
      <c r="W62" s="871"/>
      <c r="X62" s="696"/>
      <c r="Y62" s="698"/>
      <c r="Z62" s="1013">
        <f t="shared" ref="Z62:Z65" si="25">IF((T62*Y62)&lt;V62,(T62*Y62),V62)</f>
        <v>0</v>
      </c>
      <c r="AA62" s="697">
        <v>0</v>
      </c>
      <c r="AB62" s="1009">
        <f t="shared" si="2"/>
        <v>0</v>
      </c>
      <c r="AC62" s="700">
        <v>0</v>
      </c>
      <c r="AD62" s="694">
        <f t="shared" si="16"/>
        <v>1024892.56</v>
      </c>
      <c r="AE62" s="838">
        <f t="shared" si="3"/>
        <v>1028070.06</v>
      </c>
      <c r="AG62" s="701">
        <f t="shared" si="4"/>
        <v>-3177.5</v>
      </c>
      <c r="AH62" s="701"/>
      <c r="AM62" s="680">
        <f t="shared" si="5"/>
        <v>-3177.5</v>
      </c>
    </row>
    <row r="63" spans="1:39" ht="24" customHeight="1">
      <c r="A63" s="837">
        <f t="shared" si="21"/>
        <v>50</v>
      </c>
      <c r="B63" s="689" t="s">
        <v>711</v>
      </c>
      <c r="C63" s="706" t="s">
        <v>712</v>
      </c>
      <c r="D63" s="693">
        <v>1264100.1399999999</v>
      </c>
      <c r="E63" s="690" t="s">
        <v>713</v>
      </c>
      <c r="F63" s="695">
        <v>105000</v>
      </c>
      <c r="G63" s="819">
        <f t="shared" si="17"/>
        <v>165000</v>
      </c>
      <c r="H63" s="826">
        <f t="shared" si="18"/>
        <v>165000</v>
      </c>
      <c r="I63" s="817">
        <v>270000</v>
      </c>
      <c r="J63" s="692">
        <v>270000</v>
      </c>
      <c r="K63" s="945" t="s">
        <v>168</v>
      </c>
      <c r="L63" s="812"/>
      <c r="M63" s="963"/>
      <c r="N63" s="819"/>
      <c r="O63" s="868"/>
      <c r="P63" s="814"/>
      <c r="Q63" s="826"/>
      <c r="R63" s="814"/>
      <c r="S63" s="826"/>
      <c r="T63" s="829">
        <f t="shared" si="19"/>
        <v>270000</v>
      </c>
      <c r="U63" s="692">
        <f t="shared" si="15"/>
        <v>270000</v>
      </c>
      <c r="V63" s="1016">
        <f>100000+33278.25</f>
        <v>133278.25</v>
      </c>
      <c r="W63" s="871">
        <v>133278.25</v>
      </c>
      <c r="X63" s="696">
        <f>V63/D63</f>
        <v>0.10543330056114068</v>
      </c>
      <c r="Y63" s="698">
        <v>0.1</v>
      </c>
      <c r="Z63" s="1013">
        <f>IF((T63*Y63)&lt;V63,(T63*Y63),V63)</f>
        <v>27000</v>
      </c>
      <c r="AA63" s="697">
        <v>27000</v>
      </c>
      <c r="AB63" s="1009">
        <f t="shared" si="2"/>
        <v>106278.25</v>
      </c>
      <c r="AC63" s="700">
        <v>106278.25</v>
      </c>
      <c r="AD63" s="694">
        <f t="shared" si="16"/>
        <v>376278.25</v>
      </c>
      <c r="AE63" s="838">
        <f t="shared" si="3"/>
        <v>376278.25</v>
      </c>
      <c r="AG63" s="701">
        <f t="shared" si="4"/>
        <v>0</v>
      </c>
      <c r="AH63" s="707" t="s">
        <v>714</v>
      </c>
      <c r="AK63" s="707" t="s">
        <v>707</v>
      </c>
      <c r="AM63" s="680">
        <f t="shared" si="5"/>
        <v>0</v>
      </c>
    </row>
    <row r="64" spans="1:39" ht="24" customHeight="1">
      <c r="A64" s="944">
        <f t="shared" si="21"/>
        <v>51</v>
      </c>
      <c r="B64" s="689" t="s">
        <v>715</v>
      </c>
      <c r="C64" s="706" t="s">
        <v>716</v>
      </c>
      <c r="D64" s="693">
        <v>33685</v>
      </c>
      <c r="E64" s="690" t="s">
        <v>717</v>
      </c>
      <c r="F64" s="695"/>
      <c r="G64" s="819">
        <f t="shared" si="17"/>
        <v>0</v>
      </c>
      <c r="H64" s="826">
        <f t="shared" si="18"/>
        <v>0</v>
      </c>
      <c r="I64" s="817"/>
      <c r="J64" s="692"/>
      <c r="K64" s="945" t="s">
        <v>254</v>
      </c>
      <c r="L64" s="812"/>
      <c r="M64" s="963"/>
      <c r="N64" s="819"/>
      <c r="O64" s="868"/>
      <c r="P64" s="814"/>
      <c r="Q64" s="826"/>
      <c r="R64" s="814"/>
      <c r="S64" s="826"/>
      <c r="T64" s="829">
        <f t="shared" si="19"/>
        <v>0</v>
      </c>
      <c r="U64" s="692">
        <f t="shared" si="15"/>
        <v>0</v>
      </c>
      <c r="V64" s="1016">
        <v>3368.5</v>
      </c>
      <c r="W64" s="871">
        <v>3368.5</v>
      </c>
      <c r="X64" s="696"/>
      <c r="Y64" s="698"/>
      <c r="Z64" s="1014">
        <f t="shared" si="25"/>
        <v>0</v>
      </c>
      <c r="AA64" s="697">
        <v>0</v>
      </c>
      <c r="AB64" s="1009">
        <f t="shared" si="2"/>
        <v>3368.5</v>
      </c>
      <c r="AC64" s="700">
        <v>3368.5</v>
      </c>
      <c r="AD64" s="694">
        <f t="shared" si="16"/>
        <v>3368.5</v>
      </c>
      <c r="AE64" s="838">
        <f t="shared" si="3"/>
        <v>3368.5</v>
      </c>
      <c r="AG64" s="701">
        <f t="shared" si="4"/>
        <v>0</v>
      </c>
      <c r="AH64" s="707" t="s">
        <v>714</v>
      </c>
      <c r="AK64" s="707" t="s">
        <v>707</v>
      </c>
      <c r="AM64" s="680">
        <f t="shared" si="5"/>
        <v>0</v>
      </c>
    </row>
    <row r="65" spans="1:39" ht="24" customHeight="1">
      <c r="A65" s="837">
        <f t="shared" si="21"/>
        <v>52</v>
      </c>
      <c r="B65" s="689" t="s">
        <v>718</v>
      </c>
      <c r="C65" s="706" t="s">
        <v>719</v>
      </c>
      <c r="D65" s="693">
        <v>128266</v>
      </c>
      <c r="E65" s="690" t="s">
        <v>720</v>
      </c>
      <c r="F65" s="695"/>
      <c r="G65" s="819">
        <f t="shared" si="17"/>
        <v>0</v>
      </c>
      <c r="H65" s="826">
        <f t="shared" si="18"/>
        <v>0</v>
      </c>
      <c r="I65" s="817"/>
      <c r="J65" s="692"/>
      <c r="K65" s="945" t="s">
        <v>254</v>
      </c>
      <c r="L65" s="812"/>
      <c r="M65" s="963"/>
      <c r="N65" s="819"/>
      <c r="O65" s="868"/>
      <c r="P65" s="814"/>
      <c r="Q65" s="826"/>
      <c r="R65" s="814"/>
      <c r="S65" s="826"/>
      <c r="T65" s="829">
        <f t="shared" si="19"/>
        <v>0</v>
      </c>
      <c r="U65" s="692">
        <f t="shared" si="15"/>
        <v>0</v>
      </c>
      <c r="V65" s="1016">
        <v>32066.5</v>
      </c>
      <c r="W65" s="871">
        <v>32066.5</v>
      </c>
      <c r="X65" s="696"/>
      <c r="Y65" s="698"/>
      <c r="Z65" s="1013">
        <f t="shared" si="25"/>
        <v>0</v>
      </c>
      <c r="AA65" s="697">
        <v>0</v>
      </c>
      <c r="AB65" s="1009">
        <f t="shared" si="2"/>
        <v>32066.5</v>
      </c>
      <c r="AC65" s="700">
        <v>32066.5</v>
      </c>
      <c r="AD65" s="694">
        <f t="shared" si="16"/>
        <v>32066.5</v>
      </c>
      <c r="AE65" s="838">
        <f t="shared" si="3"/>
        <v>32066.5</v>
      </c>
      <c r="AG65" s="701">
        <f t="shared" si="4"/>
        <v>0</v>
      </c>
      <c r="AH65" s="707" t="s">
        <v>714</v>
      </c>
      <c r="AK65" s="707" t="s">
        <v>707</v>
      </c>
      <c r="AM65" s="680">
        <f t="shared" si="5"/>
        <v>0</v>
      </c>
    </row>
    <row r="66" spans="1:39" ht="24" customHeight="1">
      <c r="A66" s="837">
        <f t="shared" si="21"/>
        <v>53</v>
      </c>
      <c r="B66" s="689" t="s">
        <v>721</v>
      </c>
      <c r="C66" s="706" t="s">
        <v>722</v>
      </c>
      <c r="D66" s="693">
        <v>73379.600000000006</v>
      </c>
      <c r="E66" s="690" t="s">
        <v>723</v>
      </c>
      <c r="F66" s="695">
        <v>3638.29</v>
      </c>
      <c r="G66" s="819">
        <f t="shared" si="17"/>
        <v>0</v>
      </c>
      <c r="H66" s="826">
        <f t="shared" si="18"/>
        <v>0</v>
      </c>
      <c r="I66" s="817">
        <v>3638.29</v>
      </c>
      <c r="J66" s="692">
        <v>3638.29</v>
      </c>
      <c r="K66" s="945" t="s">
        <v>168</v>
      </c>
      <c r="L66" s="812"/>
      <c r="M66" s="963"/>
      <c r="N66" s="819"/>
      <c r="O66" s="868"/>
      <c r="P66" s="814"/>
      <c r="Q66" s="826"/>
      <c r="R66" s="814"/>
      <c r="S66" s="826"/>
      <c r="T66" s="829">
        <f t="shared" si="19"/>
        <v>3638.29</v>
      </c>
      <c r="U66" s="692">
        <f t="shared" si="15"/>
        <v>3638.29</v>
      </c>
      <c r="V66" s="1016">
        <v>14675.92</v>
      </c>
      <c r="W66" s="871">
        <v>14675.92</v>
      </c>
      <c r="X66" s="696">
        <f>V66/D66</f>
        <v>0.19999999999999998</v>
      </c>
      <c r="Y66" s="698">
        <v>0.2</v>
      </c>
      <c r="Z66" s="1013">
        <f>IF((T66*Y66)&lt;V66,(T66*Y66),V66)</f>
        <v>727.65800000000002</v>
      </c>
      <c r="AA66" s="697">
        <v>727.66</v>
      </c>
      <c r="AB66" s="1009">
        <f t="shared" si="2"/>
        <v>13948.262000000001</v>
      </c>
      <c r="AC66" s="700">
        <f>W66-AA66</f>
        <v>13948.26</v>
      </c>
      <c r="AD66" s="694">
        <f t="shared" si="16"/>
        <v>17586.552</v>
      </c>
      <c r="AE66" s="838">
        <f t="shared" si="3"/>
        <v>17586.55</v>
      </c>
      <c r="AG66" s="701">
        <f t="shared" si="4"/>
        <v>2.0000000004074536E-3</v>
      </c>
      <c r="AH66" s="707" t="s">
        <v>714</v>
      </c>
      <c r="AK66" s="707" t="s">
        <v>707</v>
      </c>
      <c r="AM66" s="680">
        <f t="shared" si="5"/>
        <v>0</v>
      </c>
    </row>
    <row r="67" spans="1:39" ht="24" customHeight="1">
      <c r="A67" s="944">
        <f t="shared" si="21"/>
        <v>54</v>
      </c>
      <c r="B67" s="689" t="s">
        <v>782</v>
      </c>
      <c r="C67" s="706" t="s">
        <v>783</v>
      </c>
      <c r="D67" s="693">
        <v>450000</v>
      </c>
      <c r="E67" s="690" t="s">
        <v>790</v>
      </c>
      <c r="F67" s="1005">
        <v>450000</v>
      </c>
      <c r="G67" s="819">
        <f>I67-F67</f>
        <v>0</v>
      </c>
      <c r="H67" s="826">
        <f t="shared" si="18"/>
        <v>0</v>
      </c>
      <c r="I67" s="817">
        <v>450000</v>
      </c>
      <c r="J67" s="692">
        <v>450000</v>
      </c>
      <c r="K67" s="926" t="s">
        <v>168</v>
      </c>
      <c r="L67" s="812"/>
      <c r="M67" s="963"/>
      <c r="N67" s="819"/>
      <c r="O67" s="868"/>
      <c r="P67" s="814"/>
      <c r="Q67" s="826"/>
      <c r="R67" s="814"/>
      <c r="S67" s="826"/>
      <c r="T67" s="829">
        <f t="shared" si="19"/>
        <v>450000</v>
      </c>
      <c r="U67" s="692">
        <f t="shared" si="15"/>
        <v>450000</v>
      </c>
      <c r="V67" s="1016">
        <v>90000</v>
      </c>
      <c r="W67" s="871">
        <v>90000</v>
      </c>
      <c r="X67" s="696"/>
      <c r="Y67" s="698">
        <v>0.2</v>
      </c>
      <c r="Z67" s="1013">
        <f>IF((T67*Y67)&lt;V67,(T67*Y67),V67)</f>
        <v>90000</v>
      </c>
      <c r="AA67" s="697">
        <v>90000</v>
      </c>
      <c r="AB67" s="1022">
        <f t="shared" si="2"/>
        <v>0</v>
      </c>
      <c r="AC67" s="700">
        <v>0</v>
      </c>
      <c r="AD67" s="694">
        <f t="shared" si="16"/>
        <v>450000</v>
      </c>
      <c r="AE67" s="838">
        <f t="shared" si="3"/>
        <v>450000</v>
      </c>
      <c r="AG67" s="701">
        <f t="shared" si="4"/>
        <v>0</v>
      </c>
      <c r="AH67" s="707"/>
      <c r="AK67" s="707"/>
      <c r="AM67" s="680">
        <f t="shared" si="5"/>
        <v>0</v>
      </c>
    </row>
    <row r="68" spans="1:39" ht="24" customHeight="1">
      <c r="A68" s="837">
        <f t="shared" si="21"/>
        <v>55</v>
      </c>
      <c r="B68" s="689" t="s">
        <v>784</v>
      </c>
      <c r="C68" s="706" t="s">
        <v>785</v>
      </c>
      <c r="D68" s="693">
        <v>221889</v>
      </c>
      <c r="E68" s="690" t="s">
        <v>791</v>
      </c>
      <c r="F68" s="987"/>
      <c r="G68" s="819">
        <f t="shared" ref="G68" si="26">I68-F68</f>
        <v>173913</v>
      </c>
      <c r="H68" s="826">
        <f t="shared" ref="H68" si="27">J68-F68</f>
        <v>173913</v>
      </c>
      <c r="I68" s="817">
        <v>173913</v>
      </c>
      <c r="J68" s="692">
        <v>173913</v>
      </c>
      <c r="K68" s="990" t="s">
        <v>627</v>
      </c>
      <c r="L68" s="812"/>
      <c r="M68" s="963"/>
      <c r="N68" s="819"/>
      <c r="O68" s="868"/>
      <c r="P68" s="814"/>
      <c r="Q68" s="826"/>
      <c r="R68" s="814"/>
      <c r="S68" s="826"/>
      <c r="T68" s="829">
        <f t="shared" si="19"/>
        <v>173913</v>
      </c>
      <c r="U68" s="692">
        <f t="shared" si="15"/>
        <v>173913</v>
      </c>
      <c r="V68" s="1016">
        <v>52173.9</v>
      </c>
      <c r="W68" s="871">
        <v>52173.9</v>
      </c>
      <c r="X68" s="696">
        <f>V68/D68</f>
        <v>0.23513513513513515</v>
      </c>
      <c r="Y68" s="698">
        <v>1</v>
      </c>
      <c r="Z68" s="1013">
        <f>IF((T68*Y68)&lt;V68,(T68*Y68),V68)</f>
        <v>52173.9</v>
      </c>
      <c r="AA68" s="697">
        <v>52173.9</v>
      </c>
      <c r="AB68" s="1009">
        <f t="shared" si="2"/>
        <v>0</v>
      </c>
      <c r="AC68" s="700">
        <f>W68-AA68</f>
        <v>0</v>
      </c>
      <c r="AD68" s="694">
        <f t="shared" si="16"/>
        <v>173913</v>
      </c>
      <c r="AE68" s="838">
        <f t="shared" si="3"/>
        <v>173913</v>
      </c>
      <c r="AG68" s="701">
        <f t="shared" si="4"/>
        <v>0</v>
      </c>
      <c r="AH68" s="707"/>
      <c r="AK68" s="707"/>
      <c r="AM68" s="680">
        <f t="shared" si="5"/>
        <v>0</v>
      </c>
    </row>
    <row r="69" spans="1:39" ht="24" customHeight="1">
      <c r="A69" s="837">
        <f t="shared" si="21"/>
        <v>56</v>
      </c>
      <c r="B69" s="689" t="s">
        <v>786</v>
      </c>
      <c r="C69" s="706" t="s">
        <v>787</v>
      </c>
      <c r="D69" s="693">
        <v>169069</v>
      </c>
      <c r="E69" s="690" t="s">
        <v>792</v>
      </c>
      <c r="F69" s="695"/>
      <c r="G69" s="819"/>
      <c r="H69" s="826"/>
      <c r="I69" s="817"/>
      <c r="J69" s="692"/>
      <c r="K69" s="945" t="s">
        <v>168</v>
      </c>
      <c r="L69" s="812"/>
      <c r="M69" s="963"/>
      <c r="N69" s="819"/>
      <c r="O69" s="868"/>
      <c r="P69" s="814"/>
      <c r="Q69" s="826"/>
      <c r="R69" s="814"/>
      <c r="S69" s="826"/>
      <c r="T69" s="829">
        <f t="shared" si="19"/>
        <v>0</v>
      </c>
      <c r="U69" s="692">
        <f t="shared" si="15"/>
        <v>0</v>
      </c>
      <c r="V69" s="1016">
        <v>50720.55</v>
      </c>
      <c r="W69" s="871">
        <v>50720.55</v>
      </c>
      <c r="X69" s="696"/>
      <c r="Y69" s="698"/>
      <c r="Z69" s="1013">
        <f t="shared" ref="Z69:Z83" si="28">IF((T69*Y69)&lt;V69,(T69*Y69),V69)</f>
        <v>0</v>
      </c>
      <c r="AA69" s="697">
        <v>0</v>
      </c>
      <c r="AB69" s="1009">
        <f t="shared" si="2"/>
        <v>50720.55</v>
      </c>
      <c r="AC69" s="700">
        <v>50720.55</v>
      </c>
      <c r="AD69" s="694">
        <f t="shared" si="16"/>
        <v>50720.55</v>
      </c>
      <c r="AE69" s="838">
        <f t="shared" si="3"/>
        <v>50720.55</v>
      </c>
      <c r="AG69" s="701">
        <f t="shared" si="4"/>
        <v>0</v>
      </c>
      <c r="AH69" s="707"/>
      <c r="AK69" s="707"/>
      <c r="AM69" s="680">
        <f t="shared" si="5"/>
        <v>0</v>
      </c>
    </row>
    <row r="70" spans="1:39" ht="24" customHeight="1">
      <c r="A70" s="837">
        <f t="shared" si="21"/>
        <v>57</v>
      </c>
      <c r="B70" s="689" t="s">
        <v>788</v>
      </c>
      <c r="C70" s="706" t="s">
        <v>789</v>
      </c>
      <c r="D70" s="693">
        <v>75530</v>
      </c>
      <c r="E70" s="690" t="s">
        <v>793</v>
      </c>
      <c r="F70" s="695"/>
      <c r="G70" s="819"/>
      <c r="H70" s="826"/>
      <c r="I70" s="817"/>
      <c r="J70" s="692"/>
      <c r="K70" s="945" t="s">
        <v>168</v>
      </c>
      <c r="L70" s="812"/>
      <c r="M70" s="963"/>
      <c r="N70" s="819"/>
      <c r="O70" s="868"/>
      <c r="P70" s="814"/>
      <c r="Q70" s="826"/>
      <c r="R70" s="814"/>
      <c r="S70" s="826"/>
      <c r="T70" s="829">
        <f t="shared" si="19"/>
        <v>0</v>
      </c>
      <c r="U70" s="692">
        <f t="shared" si="15"/>
        <v>0</v>
      </c>
      <c r="V70" s="1016">
        <v>37765</v>
      </c>
      <c r="W70" s="871">
        <v>37765</v>
      </c>
      <c r="X70" s="696"/>
      <c r="Y70" s="698"/>
      <c r="Z70" s="1013">
        <f t="shared" si="28"/>
        <v>0</v>
      </c>
      <c r="AA70" s="697">
        <v>0</v>
      </c>
      <c r="AB70" s="1009">
        <f t="shared" si="2"/>
        <v>37765</v>
      </c>
      <c r="AC70" s="700">
        <v>37765</v>
      </c>
      <c r="AD70" s="694">
        <f t="shared" si="16"/>
        <v>37765</v>
      </c>
      <c r="AE70" s="838">
        <f t="shared" si="3"/>
        <v>37765</v>
      </c>
      <c r="AG70" s="701">
        <f t="shared" si="4"/>
        <v>0</v>
      </c>
      <c r="AH70" s="707"/>
      <c r="AK70" s="707"/>
      <c r="AM70" s="680">
        <f t="shared" si="5"/>
        <v>0</v>
      </c>
    </row>
    <row r="71" spans="1:39" ht="24" customHeight="1">
      <c r="A71" s="837">
        <f t="shared" si="21"/>
        <v>58</v>
      </c>
      <c r="B71" s="689" t="s">
        <v>774</v>
      </c>
      <c r="C71" s="689" t="s">
        <v>778</v>
      </c>
      <c r="D71" s="780">
        <v>366250</v>
      </c>
      <c r="E71" s="690" t="s">
        <v>794</v>
      </c>
      <c r="F71" s="695"/>
      <c r="G71" s="819"/>
      <c r="H71" s="826"/>
      <c r="I71" s="817"/>
      <c r="J71" s="692"/>
      <c r="K71" s="945" t="s">
        <v>254</v>
      </c>
      <c r="L71" s="812"/>
      <c r="M71" s="963"/>
      <c r="N71" s="819"/>
      <c r="O71" s="868"/>
      <c r="P71" s="814"/>
      <c r="Q71" s="826"/>
      <c r="R71" s="814"/>
      <c r="S71" s="826"/>
      <c r="T71" s="829">
        <f t="shared" si="19"/>
        <v>0</v>
      </c>
      <c r="U71" s="692">
        <f t="shared" si="15"/>
        <v>0</v>
      </c>
      <c r="V71" s="1016">
        <v>109875</v>
      </c>
      <c r="W71" s="871">
        <v>109875</v>
      </c>
      <c r="X71" s="696"/>
      <c r="Y71" s="698"/>
      <c r="Z71" s="1013">
        <f t="shared" si="28"/>
        <v>0</v>
      </c>
      <c r="AA71" s="697">
        <v>0</v>
      </c>
      <c r="AB71" s="1009">
        <f t="shared" si="2"/>
        <v>109875</v>
      </c>
      <c r="AC71" s="700">
        <v>109875</v>
      </c>
      <c r="AD71" s="694">
        <f t="shared" si="16"/>
        <v>109875</v>
      </c>
      <c r="AE71" s="838">
        <f t="shared" si="3"/>
        <v>109875</v>
      </c>
      <c r="AG71" s="701">
        <f t="shared" si="4"/>
        <v>0</v>
      </c>
      <c r="AM71" s="680">
        <f t="shared" si="5"/>
        <v>0</v>
      </c>
    </row>
    <row r="72" spans="1:39" ht="24" customHeight="1">
      <c r="A72" s="837">
        <f t="shared" si="21"/>
        <v>59</v>
      </c>
      <c r="B72" s="689" t="s">
        <v>775</v>
      </c>
      <c r="C72" s="689" t="s">
        <v>779</v>
      </c>
      <c r="D72" s="780">
        <v>2105730</v>
      </c>
      <c r="E72" s="690" t="s">
        <v>795</v>
      </c>
      <c r="F72" s="695"/>
      <c r="G72" s="819">
        <f t="shared" ref="G72" si="29">I72-F72</f>
        <v>320752.09000000003</v>
      </c>
      <c r="H72" s="826">
        <f t="shared" ref="H72" si="30">J72-F72</f>
        <v>320752.09000000003</v>
      </c>
      <c r="I72" s="817">
        <v>320752.09000000003</v>
      </c>
      <c r="J72" s="692">
        <v>320752.09000000003</v>
      </c>
      <c r="K72" s="945" t="s">
        <v>254</v>
      </c>
      <c r="L72" s="812"/>
      <c r="M72" s="963"/>
      <c r="N72" s="819"/>
      <c r="O72" s="868"/>
      <c r="P72" s="814"/>
      <c r="Q72" s="826"/>
      <c r="R72" s="814"/>
      <c r="S72" s="826"/>
      <c r="T72" s="829">
        <f t="shared" si="19"/>
        <v>320752.09000000003</v>
      </c>
      <c r="U72" s="692">
        <f t="shared" si="15"/>
        <v>320752.09000000003</v>
      </c>
      <c r="V72" s="1016">
        <v>421145.97</v>
      </c>
      <c r="W72" s="871">
        <v>421145.97</v>
      </c>
      <c r="X72" s="696">
        <f>V72/D72</f>
        <v>0.19999998575315922</v>
      </c>
      <c r="Y72" s="698">
        <v>0.2</v>
      </c>
      <c r="Z72" s="1013">
        <f t="shared" si="28"/>
        <v>64150.418000000005</v>
      </c>
      <c r="AA72" s="697">
        <v>64150.42</v>
      </c>
      <c r="AB72" s="1009">
        <f t="shared" si="2"/>
        <v>356995.55199999997</v>
      </c>
      <c r="AC72" s="700">
        <f>W72-AA72</f>
        <v>356995.55</v>
      </c>
      <c r="AD72" s="694">
        <f t="shared" si="16"/>
        <v>677747.64199999999</v>
      </c>
      <c r="AE72" s="838">
        <f t="shared" si="3"/>
        <v>677747.64</v>
      </c>
      <c r="AG72" s="701">
        <f t="shared" si="4"/>
        <v>1.9999999785795808E-3</v>
      </c>
      <c r="AM72" s="680">
        <f t="shared" si="5"/>
        <v>0</v>
      </c>
    </row>
    <row r="73" spans="1:39" ht="24" customHeight="1">
      <c r="A73" s="837">
        <f t="shared" si="21"/>
        <v>60</v>
      </c>
      <c r="B73" s="689" t="s">
        <v>776</v>
      </c>
      <c r="C73" s="689" t="s">
        <v>780</v>
      </c>
      <c r="D73" s="780">
        <v>133457</v>
      </c>
      <c r="E73" s="690" t="s">
        <v>796</v>
      </c>
      <c r="F73" s="695"/>
      <c r="G73" s="819"/>
      <c r="H73" s="826"/>
      <c r="I73" s="817"/>
      <c r="J73" s="692"/>
      <c r="K73" s="945" t="s">
        <v>254</v>
      </c>
      <c r="L73" s="812"/>
      <c r="M73" s="963"/>
      <c r="N73" s="819"/>
      <c r="O73" s="868"/>
      <c r="P73" s="814"/>
      <c r="Q73" s="826"/>
      <c r="R73" s="814"/>
      <c r="S73" s="826"/>
      <c r="T73" s="829">
        <f t="shared" si="19"/>
        <v>0</v>
      </c>
      <c r="U73" s="692">
        <f t="shared" si="15"/>
        <v>0</v>
      </c>
      <c r="V73" s="1016">
        <v>53002.5</v>
      </c>
      <c r="W73" s="871">
        <v>53002.5</v>
      </c>
      <c r="X73" s="696"/>
      <c r="Y73" s="698"/>
      <c r="Z73" s="1013">
        <f t="shared" si="28"/>
        <v>0</v>
      </c>
      <c r="AA73" s="697">
        <v>0</v>
      </c>
      <c r="AB73" s="1009">
        <f t="shared" si="2"/>
        <v>53002.5</v>
      </c>
      <c r="AC73" s="700">
        <v>53002.5</v>
      </c>
      <c r="AD73" s="694">
        <f t="shared" si="16"/>
        <v>53002.5</v>
      </c>
      <c r="AE73" s="838">
        <f t="shared" si="3"/>
        <v>53002.5</v>
      </c>
      <c r="AG73" s="701">
        <f t="shared" si="4"/>
        <v>0</v>
      </c>
      <c r="AM73" s="680">
        <f t="shared" si="5"/>
        <v>0</v>
      </c>
    </row>
    <row r="74" spans="1:39" ht="24" customHeight="1">
      <c r="A74" s="837">
        <f t="shared" si="21"/>
        <v>61</v>
      </c>
      <c r="B74" s="689" t="s">
        <v>777</v>
      </c>
      <c r="C74" s="689" t="s">
        <v>781</v>
      </c>
      <c r="D74" s="780">
        <v>279759</v>
      </c>
      <c r="E74" s="690" t="s">
        <v>797</v>
      </c>
      <c r="F74" s="695"/>
      <c r="G74" s="819">
        <f t="shared" ref="G74:G76" si="31">I74-F74</f>
        <v>28243.200000000001</v>
      </c>
      <c r="H74" s="826">
        <f t="shared" ref="H74:H76" si="32">J74-F74</f>
        <v>28243.200000000001</v>
      </c>
      <c r="I74" s="817">
        <v>28243.200000000001</v>
      </c>
      <c r="J74" s="692">
        <v>28243.200000000001</v>
      </c>
      <c r="K74" s="945" t="s">
        <v>254</v>
      </c>
      <c r="L74" s="812"/>
      <c r="M74" s="963"/>
      <c r="N74" s="819"/>
      <c r="O74" s="868"/>
      <c r="P74" s="814"/>
      <c r="Q74" s="826"/>
      <c r="R74" s="814"/>
      <c r="S74" s="826"/>
      <c r="T74" s="829">
        <f t="shared" si="19"/>
        <v>28243.200000000001</v>
      </c>
      <c r="U74" s="692">
        <f t="shared" si="15"/>
        <v>28243.200000000001</v>
      </c>
      <c r="V74" s="1016">
        <v>102424</v>
      </c>
      <c r="W74" s="871">
        <v>102424</v>
      </c>
      <c r="X74" s="696">
        <f>V74/D74</f>
        <v>0.36611512051444278</v>
      </c>
      <c r="Y74" s="698">
        <v>0.2</v>
      </c>
      <c r="Z74" s="1013">
        <f t="shared" si="28"/>
        <v>5648.64</v>
      </c>
      <c r="AA74" s="697">
        <v>5648.64</v>
      </c>
      <c r="AB74" s="1009">
        <f t="shared" si="2"/>
        <v>96775.360000000001</v>
      </c>
      <c r="AC74" s="700">
        <f>W74-AA74</f>
        <v>96775.360000000001</v>
      </c>
      <c r="AD74" s="694">
        <f t="shared" si="16"/>
        <v>125018.56</v>
      </c>
      <c r="AE74" s="838">
        <f t="shared" si="3"/>
        <v>125018.56</v>
      </c>
      <c r="AF74" s="722"/>
      <c r="AG74" s="701">
        <f t="shared" si="4"/>
        <v>0</v>
      </c>
      <c r="AM74" s="680">
        <f t="shared" si="5"/>
        <v>0</v>
      </c>
    </row>
    <row r="75" spans="1:39" ht="24" customHeight="1">
      <c r="A75" s="837">
        <f t="shared" si="21"/>
        <v>62</v>
      </c>
      <c r="B75" s="689" t="s">
        <v>875</v>
      </c>
      <c r="C75" s="689" t="s">
        <v>876</v>
      </c>
      <c r="D75" s="780">
        <v>206250</v>
      </c>
      <c r="E75" s="690" t="s">
        <v>877</v>
      </c>
      <c r="F75" s="695">
        <v>151575.25</v>
      </c>
      <c r="G75" s="819">
        <f t="shared" si="31"/>
        <v>27431.799999999988</v>
      </c>
      <c r="H75" s="826">
        <f t="shared" si="32"/>
        <v>27431.799999999988</v>
      </c>
      <c r="I75" s="817">
        <v>179007.05</v>
      </c>
      <c r="J75" s="692">
        <v>179007.05</v>
      </c>
      <c r="K75" s="945" t="s">
        <v>168</v>
      </c>
      <c r="L75" s="811">
        <f>-18000-1920</f>
        <v>-19920</v>
      </c>
      <c r="M75" s="946">
        <f>-18000-1920</f>
        <v>-19920</v>
      </c>
      <c r="N75" s="819"/>
      <c r="O75" s="868"/>
      <c r="P75" s="814"/>
      <c r="Q75" s="826"/>
      <c r="R75" s="814"/>
      <c r="S75" s="826"/>
      <c r="T75" s="829">
        <f t="shared" si="19"/>
        <v>159087.04999999999</v>
      </c>
      <c r="U75" s="692">
        <f t="shared" si="15"/>
        <v>159087.04999999999</v>
      </c>
      <c r="V75" s="1016"/>
      <c r="W75" s="871"/>
      <c r="X75" s="696"/>
      <c r="Y75" s="698"/>
      <c r="Z75" s="1013">
        <f t="shared" si="28"/>
        <v>0</v>
      </c>
      <c r="AA75" s="697">
        <v>0</v>
      </c>
      <c r="AB75" s="1009">
        <f t="shared" ref="AB75:AB82" si="33">V75-Z75</f>
        <v>0</v>
      </c>
      <c r="AC75" s="700">
        <v>0</v>
      </c>
      <c r="AD75" s="694">
        <f>AB75+T75</f>
        <v>159087.04999999999</v>
      </c>
      <c r="AE75" s="838">
        <f t="shared" ref="AE75:AE83" si="34">AC75+U75</f>
        <v>159087.04999999999</v>
      </c>
      <c r="AG75" s="701"/>
      <c r="AM75" s="680">
        <f t="shared" ref="AM75:AM84" si="35">T75-U75</f>
        <v>0</v>
      </c>
    </row>
    <row r="76" spans="1:39" ht="24" customHeight="1">
      <c r="A76" s="944">
        <f t="shared" si="21"/>
        <v>63</v>
      </c>
      <c r="B76" s="689" t="s">
        <v>928</v>
      </c>
      <c r="C76" s="689" t="s">
        <v>929</v>
      </c>
      <c r="D76" s="780">
        <v>128000</v>
      </c>
      <c r="E76" s="690" t="s">
        <v>930</v>
      </c>
      <c r="F76" s="695"/>
      <c r="G76" s="819">
        <f t="shared" si="31"/>
        <v>0</v>
      </c>
      <c r="H76" s="826">
        <f t="shared" si="32"/>
        <v>0</v>
      </c>
      <c r="I76" s="817">
        <v>0</v>
      </c>
      <c r="J76" s="692">
        <v>0</v>
      </c>
      <c r="K76" s="945" t="s">
        <v>254</v>
      </c>
      <c r="L76" s="812"/>
      <c r="M76" s="963"/>
      <c r="N76" s="819"/>
      <c r="O76" s="868"/>
      <c r="P76" s="814"/>
      <c r="Q76" s="826"/>
      <c r="R76" s="814"/>
      <c r="S76" s="826"/>
      <c r="T76" s="829">
        <f>R76+L76+I76+N76+P76</f>
        <v>0</v>
      </c>
      <c r="U76" s="692">
        <f t="shared" si="15"/>
        <v>0</v>
      </c>
      <c r="V76" s="1016">
        <v>32000</v>
      </c>
      <c r="W76" s="871">
        <v>32000</v>
      </c>
      <c r="X76" s="696">
        <v>0.25</v>
      </c>
      <c r="Y76" s="698"/>
      <c r="Z76" s="1013">
        <f t="shared" si="28"/>
        <v>0</v>
      </c>
      <c r="AA76" s="697">
        <v>0</v>
      </c>
      <c r="AB76" s="1009">
        <f t="shared" ref="AB76" si="36">V76-Z76</f>
        <v>32000</v>
      </c>
      <c r="AC76" s="700">
        <f>W76-AA76</f>
        <v>32000</v>
      </c>
      <c r="AD76" s="694">
        <f>AB76+T76</f>
        <v>32000</v>
      </c>
      <c r="AE76" s="838">
        <f t="shared" si="34"/>
        <v>32000</v>
      </c>
      <c r="AG76" s="701"/>
      <c r="AM76" s="680">
        <f t="shared" si="35"/>
        <v>0</v>
      </c>
    </row>
    <row r="77" spans="1:39" ht="24" customHeight="1">
      <c r="A77" s="944">
        <f t="shared" si="21"/>
        <v>64</v>
      </c>
      <c r="B77" s="689" t="s">
        <v>931</v>
      </c>
      <c r="C77" s="689" t="s">
        <v>932</v>
      </c>
      <c r="D77" s="780">
        <v>1043942</v>
      </c>
      <c r="E77" s="690" t="s">
        <v>933</v>
      </c>
      <c r="F77" s="695"/>
      <c r="G77" s="819"/>
      <c r="H77" s="826"/>
      <c r="I77" s="817">
        <v>0</v>
      </c>
      <c r="J77" s="692">
        <v>0</v>
      </c>
      <c r="K77" s="945"/>
      <c r="L77" s="812"/>
      <c r="M77" s="963"/>
      <c r="N77" s="819"/>
      <c r="O77" s="868"/>
      <c r="P77" s="814"/>
      <c r="Q77" s="826"/>
      <c r="R77" s="814"/>
      <c r="S77" s="826"/>
      <c r="T77" s="829">
        <f t="shared" si="19"/>
        <v>0</v>
      </c>
      <c r="U77" s="692">
        <f t="shared" si="15"/>
        <v>0</v>
      </c>
      <c r="V77" s="1016">
        <v>208788.4</v>
      </c>
      <c r="W77" s="871">
        <v>208788.4</v>
      </c>
      <c r="X77" s="696">
        <v>0.2</v>
      </c>
      <c r="Y77" s="698"/>
      <c r="Z77" s="1013">
        <f t="shared" si="28"/>
        <v>0</v>
      </c>
      <c r="AA77" s="697">
        <v>0</v>
      </c>
      <c r="AB77" s="1009">
        <f t="shared" si="33"/>
        <v>208788.4</v>
      </c>
      <c r="AC77" s="700">
        <f>W77-AA77</f>
        <v>208788.4</v>
      </c>
      <c r="AD77" s="694">
        <f t="shared" ref="AD77:AD78" si="37">AB77+T77</f>
        <v>208788.4</v>
      </c>
      <c r="AE77" s="838">
        <f t="shared" si="34"/>
        <v>208788.4</v>
      </c>
      <c r="AG77" s="701"/>
      <c r="AM77" s="680">
        <f t="shared" si="35"/>
        <v>0</v>
      </c>
    </row>
    <row r="78" spans="1:39" ht="24" customHeight="1">
      <c r="A78" s="944">
        <f t="shared" si="21"/>
        <v>65</v>
      </c>
      <c r="B78" s="689" t="s">
        <v>934</v>
      </c>
      <c r="C78" s="689" t="s">
        <v>935</v>
      </c>
      <c r="D78" s="780">
        <v>533125</v>
      </c>
      <c r="E78" s="690" t="s">
        <v>936</v>
      </c>
      <c r="F78" s="695"/>
      <c r="G78" s="819"/>
      <c r="H78" s="826"/>
      <c r="I78" s="817">
        <v>0</v>
      </c>
      <c r="J78" s="692">
        <v>0</v>
      </c>
      <c r="K78" s="945"/>
      <c r="L78" s="812"/>
      <c r="M78" s="963"/>
      <c r="N78" s="819"/>
      <c r="O78" s="868"/>
      <c r="P78" s="814"/>
      <c r="Q78" s="826"/>
      <c r="R78" s="814"/>
      <c r="S78" s="826"/>
      <c r="T78" s="829"/>
      <c r="U78" s="692"/>
      <c r="V78" s="1016">
        <v>106625</v>
      </c>
      <c r="W78" s="871">
        <v>106625</v>
      </c>
      <c r="X78" s="696">
        <v>0.2</v>
      </c>
      <c r="Y78" s="698"/>
      <c r="Z78" s="1013"/>
      <c r="AA78" s="697"/>
      <c r="AB78" s="1009">
        <f t="shared" si="33"/>
        <v>106625</v>
      </c>
      <c r="AC78" s="700">
        <f>W78-AA78</f>
        <v>106625</v>
      </c>
      <c r="AD78" s="694">
        <f t="shared" si="37"/>
        <v>106625</v>
      </c>
      <c r="AE78" s="838">
        <f t="shared" si="34"/>
        <v>106625</v>
      </c>
      <c r="AG78" s="701">
        <f t="shared" ref="AG78:AG84" si="38">AD78-AE78</f>
        <v>0</v>
      </c>
      <c r="AH78" s="707"/>
      <c r="AK78" s="707"/>
      <c r="AM78" s="680">
        <f t="shared" si="35"/>
        <v>0</v>
      </c>
    </row>
    <row r="79" spans="1:39" ht="24" customHeight="1">
      <c r="A79" s="837"/>
      <c r="B79" s="688" t="s">
        <v>724</v>
      </c>
      <c r="C79" s="689"/>
      <c r="D79" s="693"/>
      <c r="E79" s="690"/>
      <c r="F79" s="695"/>
      <c r="G79" s="819"/>
      <c r="H79" s="826"/>
      <c r="I79" s="817"/>
      <c r="J79" s="692"/>
      <c r="K79" s="989"/>
      <c r="L79" s="812"/>
      <c r="M79" s="963"/>
      <c r="N79" s="819"/>
      <c r="O79" s="868"/>
      <c r="P79" s="814"/>
      <c r="Q79" s="826"/>
      <c r="R79" s="814"/>
      <c r="S79" s="826"/>
      <c r="T79" s="829">
        <f t="shared" si="19"/>
        <v>0</v>
      </c>
      <c r="U79" s="692">
        <f t="shared" si="15"/>
        <v>0</v>
      </c>
      <c r="V79" s="1020"/>
      <c r="W79" s="871"/>
      <c r="X79" s="696"/>
      <c r="Y79" s="698"/>
      <c r="Z79" s="1013">
        <f t="shared" si="28"/>
        <v>0</v>
      </c>
      <c r="AA79" s="697">
        <v>0</v>
      </c>
      <c r="AB79" s="1009">
        <f t="shared" si="33"/>
        <v>0</v>
      </c>
      <c r="AC79" s="700">
        <v>0</v>
      </c>
      <c r="AD79" s="694">
        <f t="shared" si="16"/>
        <v>0</v>
      </c>
      <c r="AE79" s="838">
        <f t="shared" si="34"/>
        <v>0</v>
      </c>
      <c r="AG79" s="701">
        <f t="shared" si="38"/>
        <v>0</v>
      </c>
      <c r="AM79" s="680">
        <f t="shared" si="35"/>
        <v>0</v>
      </c>
    </row>
    <row r="80" spans="1:39" ht="24" customHeight="1">
      <c r="A80" s="837">
        <f>+A78+1</f>
        <v>66</v>
      </c>
      <c r="B80" s="689" t="s">
        <v>725</v>
      </c>
      <c r="C80" s="689" t="s">
        <v>726</v>
      </c>
      <c r="D80" s="780"/>
      <c r="E80" s="690" t="s">
        <v>591</v>
      </c>
      <c r="F80" s="708">
        <v>672765</v>
      </c>
      <c r="G80" s="819">
        <f t="shared" ref="G80:G83" si="39">I80-F80</f>
        <v>157520</v>
      </c>
      <c r="H80" s="826">
        <f t="shared" ref="H80:H83" si="40">J80-F80</f>
        <v>157520</v>
      </c>
      <c r="I80" s="817">
        <v>830285</v>
      </c>
      <c r="J80" s="692">
        <v>830285</v>
      </c>
      <c r="K80" s="945" t="s">
        <v>727</v>
      </c>
      <c r="L80" s="812"/>
      <c r="M80" s="963"/>
      <c r="N80" s="819"/>
      <c r="O80" s="868"/>
      <c r="P80" s="814"/>
      <c r="Q80" s="826"/>
      <c r="R80" s="814"/>
      <c r="S80" s="826"/>
      <c r="T80" s="829">
        <f t="shared" si="19"/>
        <v>830285</v>
      </c>
      <c r="U80" s="692">
        <f t="shared" si="15"/>
        <v>830285</v>
      </c>
      <c r="V80" s="1019"/>
      <c r="W80" s="871"/>
      <c r="X80" s="696"/>
      <c r="Y80" s="698"/>
      <c r="Z80" s="1013">
        <f t="shared" si="28"/>
        <v>0</v>
      </c>
      <c r="AA80" s="697">
        <v>0</v>
      </c>
      <c r="AB80" s="1009">
        <f t="shared" si="33"/>
        <v>0</v>
      </c>
      <c r="AC80" s="700">
        <v>0</v>
      </c>
      <c r="AD80" s="694">
        <f t="shared" si="16"/>
        <v>830285</v>
      </c>
      <c r="AE80" s="838">
        <f t="shared" si="34"/>
        <v>830285</v>
      </c>
      <c r="AG80" s="701">
        <f t="shared" si="38"/>
        <v>0</v>
      </c>
      <c r="AM80" s="680">
        <f t="shared" si="35"/>
        <v>0</v>
      </c>
    </row>
    <row r="81" spans="1:39" ht="24" customHeight="1">
      <c r="A81" s="837">
        <f>+A80+1</f>
        <v>67</v>
      </c>
      <c r="B81" s="689" t="s">
        <v>728</v>
      </c>
      <c r="C81" s="689" t="s">
        <v>729</v>
      </c>
      <c r="D81" s="780">
        <v>252000</v>
      </c>
      <c r="E81" s="690" t="s">
        <v>730</v>
      </c>
      <c r="F81" s="695">
        <v>161000</v>
      </c>
      <c r="G81" s="819">
        <f t="shared" si="39"/>
        <v>21000</v>
      </c>
      <c r="H81" s="826">
        <f t="shared" si="40"/>
        <v>21000</v>
      </c>
      <c r="I81" s="817">
        <v>182000</v>
      </c>
      <c r="J81" s="692">
        <v>182000</v>
      </c>
      <c r="K81" s="989" t="s">
        <v>159</v>
      </c>
      <c r="L81" s="812"/>
      <c r="M81" s="963"/>
      <c r="N81" s="819"/>
      <c r="O81" s="868"/>
      <c r="P81" s="814"/>
      <c r="Q81" s="826"/>
      <c r="R81" s="814"/>
      <c r="S81" s="826"/>
      <c r="T81" s="829">
        <f t="shared" si="19"/>
        <v>182000</v>
      </c>
      <c r="U81" s="692">
        <f t="shared" si="15"/>
        <v>182000</v>
      </c>
      <c r="V81" s="1019"/>
      <c r="W81" s="871"/>
      <c r="X81" s="696"/>
      <c r="Y81" s="698"/>
      <c r="Z81" s="1013">
        <f t="shared" si="28"/>
        <v>0</v>
      </c>
      <c r="AA81" s="697">
        <v>0</v>
      </c>
      <c r="AB81" s="1009">
        <f t="shared" si="33"/>
        <v>0</v>
      </c>
      <c r="AC81" s="700">
        <v>0</v>
      </c>
      <c r="AD81" s="694">
        <f t="shared" si="16"/>
        <v>182000</v>
      </c>
      <c r="AE81" s="838">
        <f t="shared" si="34"/>
        <v>182000</v>
      </c>
      <c r="AG81" s="701">
        <f t="shared" si="38"/>
        <v>0</v>
      </c>
      <c r="AM81" s="680">
        <f t="shared" si="35"/>
        <v>0</v>
      </c>
    </row>
    <row r="82" spans="1:39" ht="24" customHeight="1">
      <c r="A82" s="837">
        <f>+A81+1</f>
        <v>68</v>
      </c>
      <c r="B82" s="689" t="s">
        <v>731</v>
      </c>
      <c r="C82" s="689" t="s">
        <v>732</v>
      </c>
      <c r="D82" s="780">
        <v>162400</v>
      </c>
      <c r="E82" s="690" t="s">
        <v>733</v>
      </c>
      <c r="F82" s="708">
        <v>96587.959999999992</v>
      </c>
      <c r="G82" s="819">
        <f t="shared" si="39"/>
        <v>16800.000000000015</v>
      </c>
      <c r="H82" s="826">
        <f t="shared" si="40"/>
        <v>16800.000000000015</v>
      </c>
      <c r="I82" s="817">
        <v>113387.96</v>
      </c>
      <c r="J82" s="692">
        <v>113387.96</v>
      </c>
      <c r="K82" s="989" t="s">
        <v>159</v>
      </c>
      <c r="L82" s="812"/>
      <c r="M82" s="963"/>
      <c r="N82" s="819"/>
      <c r="O82" s="868"/>
      <c r="P82" s="814"/>
      <c r="Q82" s="826"/>
      <c r="R82" s="814"/>
      <c r="S82" s="826"/>
      <c r="T82" s="829">
        <f t="shared" si="19"/>
        <v>113387.96</v>
      </c>
      <c r="U82" s="692">
        <f t="shared" si="15"/>
        <v>113387.96</v>
      </c>
      <c r="V82" s="1019"/>
      <c r="W82" s="871"/>
      <c r="X82" s="696"/>
      <c r="Y82" s="698"/>
      <c r="Z82" s="1013">
        <f t="shared" si="28"/>
        <v>0</v>
      </c>
      <c r="AA82" s="697">
        <v>0</v>
      </c>
      <c r="AB82" s="1009">
        <f t="shared" si="33"/>
        <v>0</v>
      </c>
      <c r="AC82" s="700">
        <v>0</v>
      </c>
      <c r="AD82" s="694">
        <f t="shared" si="16"/>
        <v>113387.96</v>
      </c>
      <c r="AE82" s="838">
        <f t="shared" si="34"/>
        <v>113387.96</v>
      </c>
      <c r="AG82" s="701">
        <f t="shared" si="38"/>
        <v>0</v>
      </c>
      <c r="AM82" s="680">
        <f t="shared" si="35"/>
        <v>0</v>
      </c>
    </row>
    <row r="83" spans="1:39" ht="24" customHeight="1">
      <c r="A83" s="837">
        <f>+A82+1</f>
        <v>69</v>
      </c>
      <c r="B83" s="689" t="s">
        <v>734</v>
      </c>
      <c r="C83" s="689"/>
      <c r="D83" s="780"/>
      <c r="E83" s="690" t="s">
        <v>591</v>
      </c>
      <c r="F83" s="708">
        <v>6420</v>
      </c>
      <c r="G83" s="819">
        <f t="shared" si="39"/>
        <v>0</v>
      </c>
      <c r="H83" s="825">
        <f t="shared" si="40"/>
        <v>0</v>
      </c>
      <c r="I83" s="817">
        <v>6420</v>
      </c>
      <c r="J83" s="692">
        <v>6420</v>
      </c>
      <c r="K83" s="989" t="s">
        <v>159</v>
      </c>
      <c r="L83" s="812"/>
      <c r="M83" s="963"/>
      <c r="N83" s="819"/>
      <c r="O83" s="868"/>
      <c r="P83" s="814"/>
      <c r="Q83" s="826"/>
      <c r="R83" s="814"/>
      <c r="S83" s="826"/>
      <c r="T83" s="829">
        <f t="shared" si="19"/>
        <v>6420</v>
      </c>
      <c r="U83" s="692">
        <f t="shared" si="15"/>
        <v>6420</v>
      </c>
      <c r="V83" s="1019"/>
      <c r="W83" s="871"/>
      <c r="X83" s="696"/>
      <c r="Y83" s="698"/>
      <c r="Z83" s="1013">
        <f t="shared" si="28"/>
        <v>0</v>
      </c>
      <c r="AA83" s="697">
        <v>0</v>
      </c>
      <c r="AB83" s="1009">
        <f>V83-Z83</f>
        <v>0</v>
      </c>
      <c r="AC83" s="700">
        <v>0</v>
      </c>
      <c r="AD83" s="694">
        <f t="shared" si="16"/>
        <v>6420</v>
      </c>
      <c r="AE83" s="838">
        <f t="shared" si="34"/>
        <v>6420</v>
      </c>
      <c r="AG83" s="701">
        <f t="shared" si="38"/>
        <v>0</v>
      </c>
      <c r="AM83" s="680">
        <f t="shared" si="35"/>
        <v>0</v>
      </c>
    </row>
    <row r="84" spans="1:39" ht="24" customHeight="1">
      <c r="A84" s="840"/>
      <c r="B84" s="709"/>
      <c r="C84" s="709"/>
      <c r="D84" s="780"/>
      <c r="E84" s="690"/>
      <c r="F84" s="708"/>
      <c r="G84" s="818"/>
      <c r="H84" s="832"/>
      <c r="I84" s="817"/>
      <c r="J84" s="692"/>
      <c r="K84" s="863"/>
      <c r="L84" s="812"/>
      <c r="M84" s="963"/>
      <c r="N84" s="819"/>
      <c r="O84" s="868"/>
      <c r="P84" s="814"/>
      <c r="Q84" s="826"/>
      <c r="R84" s="814"/>
      <c r="S84" s="826"/>
      <c r="T84" s="829"/>
      <c r="U84" s="692"/>
      <c r="V84" s="1019"/>
      <c r="W84" s="871"/>
      <c r="X84" s="696"/>
      <c r="Y84" s="698"/>
      <c r="Z84" s="1013"/>
      <c r="AA84" s="697"/>
      <c r="AB84" s="1009"/>
      <c r="AC84" s="700"/>
      <c r="AD84" s="694"/>
      <c r="AE84" s="838"/>
      <c r="AG84" s="701">
        <f t="shared" si="38"/>
        <v>0</v>
      </c>
      <c r="AM84" s="680">
        <f t="shared" si="35"/>
        <v>0</v>
      </c>
    </row>
    <row r="85" spans="1:39" ht="24" customHeight="1" thickBot="1">
      <c r="A85" s="841"/>
      <c r="B85" s="842"/>
      <c r="C85" s="843"/>
      <c r="D85" s="845">
        <f>SUM(D8:D84)</f>
        <v>91508661.319999993</v>
      </c>
      <c r="E85" s="844"/>
      <c r="F85" s="845">
        <f>SUM(F8:F84)</f>
        <v>24444631.545326725</v>
      </c>
      <c r="G85" s="822">
        <f>SUM(G8:G84)</f>
        <v>7342407.6825555172</v>
      </c>
      <c r="H85" s="833">
        <f>SUM(H8:H84)</f>
        <v>10609117.5886834</v>
      </c>
      <c r="I85" s="834">
        <f>SUM(I8:I84)</f>
        <v>31787039.227882236</v>
      </c>
      <c r="J85" s="862">
        <f>SUM(J8:J84)</f>
        <v>35053749.134010136</v>
      </c>
      <c r="K85" s="864"/>
      <c r="L85" s="869">
        <f t="shared" ref="L85:S85" si="41">SUM(L7:L84)</f>
        <v>-1554050.2128783157</v>
      </c>
      <c r="M85" s="820">
        <f t="shared" si="41"/>
        <v>-1797337.29</v>
      </c>
      <c r="N85" s="822">
        <f t="shared" si="41"/>
        <v>2505528.6038508862</v>
      </c>
      <c r="O85" s="870">
        <f t="shared" si="41"/>
        <v>1747374</v>
      </c>
      <c r="P85" s="865">
        <f t="shared" si="41"/>
        <v>4694749.7974862456</v>
      </c>
      <c r="Q85" s="870">
        <f t="shared" si="41"/>
        <v>5961990.8081111265</v>
      </c>
      <c r="R85" s="865">
        <f t="shared" si="41"/>
        <v>6163933.037080124</v>
      </c>
      <c r="S85" s="820">
        <f t="shared" si="41"/>
        <v>6857429.2228787504</v>
      </c>
      <c r="T85" s="830">
        <f>SUM(T8:T84)</f>
        <v>43597200.453421175</v>
      </c>
      <c r="U85" s="874">
        <f>SUM(U8:U84)</f>
        <v>47889166.325000003</v>
      </c>
      <c r="V85" s="1010">
        <f>SUM(V8:V84)</f>
        <v>11638476.020000003</v>
      </c>
      <c r="W85" s="848">
        <f>SUM(W8:W84)</f>
        <v>11493840.020000003</v>
      </c>
      <c r="X85" s="846"/>
      <c r="Y85" s="962"/>
      <c r="Z85" s="1015">
        <f t="shared" ref="Z85:AE85" si="42">SUM(Z8:Z84)</f>
        <v>2579453.140272195</v>
      </c>
      <c r="AA85" s="847">
        <f t="shared" si="42"/>
        <v>2511936.3049499998</v>
      </c>
      <c r="AB85" s="1010">
        <f t="shared" si="42"/>
        <v>9059022.8797278013</v>
      </c>
      <c r="AC85" s="875">
        <f t="shared" si="42"/>
        <v>8981903.7150499988</v>
      </c>
      <c r="AD85" s="849">
        <f t="shared" si="42"/>
        <v>51251926.337148972</v>
      </c>
      <c r="AE85" s="850">
        <f t="shared" si="42"/>
        <v>55261528.660049982</v>
      </c>
      <c r="AG85" s="701">
        <f>SUM(AG8:AG84)</f>
        <v>-4009602.3229010152</v>
      </c>
      <c r="AM85" s="680">
        <f>SUM(AM9:AM84)</f>
        <v>-4291965.8715788182</v>
      </c>
    </row>
    <row r="86" spans="1:39">
      <c r="D86" s="710"/>
      <c r="E86" s="710"/>
      <c r="AG86" s="680"/>
    </row>
    <row r="87" spans="1:39">
      <c r="F87" s="680"/>
      <c r="G87" s="680"/>
      <c r="H87" s="680"/>
      <c r="I87" s="680"/>
      <c r="J87" s="680"/>
      <c r="K87" s="680"/>
      <c r="L87" s="680"/>
      <c r="M87" s="680"/>
      <c r="N87" s="680"/>
      <c r="O87" s="680"/>
      <c r="P87" s="680"/>
      <c r="Q87" s="680"/>
      <c r="R87" s="680"/>
      <c r="S87" s="680"/>
      <c r="T87" s="701"/>
      <c r="U87" s="701"/>
      <c r="V87" s="680"/>
      <c r="W87" s="680"/>
      <c r="Z87" s="680"/>
      <c r="AA87" s="680"/>
      <c r="AB87" s="680"/>
      <c r="AC87" s="680"/>
      <c r="AD87" s="701"/>
      <c r="AE87" s="680"/>
    </row>
    <row r="88" spans="1:39">
      <c r="B88" s="711" t="s">
        <v>735</v>
      </c>
      <c r="C88" s="712" t="s">
        <v>143</v>
      </c>
      <c r="D88" s="712" t="s">
        <v>523</v>
      </c>
      <c r="E88" s="712" t="s">
        <v>142</v>
      </c>
      <c r="K88" s="680"/>
      <c r="N88" s="680"/>
      <c r="O88" s="680"/>
      <c r="P88" s="680"/>
      <c r="Q88" s="680"/>
      <c r="R88" s="680"/>
      <c r="S88" s="680"/>
      <c r="T88" s="680"/>
      <c r="U88" s="680"/>
      <c r="V88" s="680"/>
      <c r="W88" s="680"/>
      <c r="AB88" s="713"/>
      <c r="AC88" s="713"/>
      <c r="AD88" s="680"/>
      <c r="AE88" s="680"/>
      <c r="AG88" s="717"/>
    </row>
    <row r="89" spans="1:39">
      <c r="B89" s="714" t="s">
        <v>159</v>
      </c>
      <c r="C89" s="715">
        <f>D89-E89</f>
        <v>913545.93118332885</v>
      </c>
      <c r="D89" s="993">
        <f>SUMIF($K:$K,B89,$T:$T)</f>
        <v>5173392.0100000007</v>
      </c>
      <c r="E89" s="716">
        <v>4259846.0788166719</v>
      </c>
      <c r="G89" s="717"/>
      <c r="H89" s="717"/>
      <c r="K89" s="680"/>
      <c r="N89" s="680"/>
      <c r="O89" s="680"/>
      <c r="P89" s="680"/>
      <c r="Q89" s="680"/>
      <c r="R89" s="680"/>
      <c r="S89" s="680"/>
      <c r="T89" s="680"/>
      <c r="V89" s="680"/>
      <c r="W89" s="680"/>
      <c r="AD89" s="680"/>
      <c r="AE89" s="680"/>
    </row>
    <row r="90" spans="1:39">
      <c r="B90" s="718" t="s">
        <v>168</v>
      </c>
      <c r="C90" s="719">
        <f>D90-E90</f>
        <v>1218797.8323120866</v>
      </c>
      <c r="D90" s="720">
        <f>SUMIF($K:$K,B90,$T:$T)</f>
        <v>5953001.8123809509</v>
      </c>
      <c r="E90" s="720">
        <v>4734203.9800688643</v>
      </c>
      <c r="K90" s="680"/>
      <c r="N90" s="680"/>
      <c r="O90" s="680"/>
      <c r="P90" s="680"/>
      <c r="Q90" s="680"/>
      <c r="R90" s="680"/>
      <c r="S90" s="680"/>
      <c r="T90" s="680"/>
      <c r="V90" s="680"/>
      <c r="W90" s="680"/>
      <c r="AB90" s="713"/>
      <c r="AC90" s="713"/>
      <c r="AE90" s="701"/>
    </row>
    <row r="91" spans="1:39">
      <c r="B91" s="718" t="s">
        <v>736</v>
      </c>
      <c r="C91" s="719">
        <f>D91-E91</f>
        <v>157520</v>
      </c>
      <c r="D91" s="720">
        <f>I80</f>
        <v>830285</v>
      </c>
      <c r="E91" s="720">
        <v>672765</v>
      </c>
      <c r="K91" s="680"/>
      <c r="N91" s="680"/>
      <c r="O91" s="680"/>
      <c r="P91" s="680"/>
      <c r="Q91" s="680"/>
      <c r="R91" s="680"/>
      <c r="S91" s="680"/>
      <c r="T91" s="680"/>
      <c r="V91" s="680"/>
      <c r="W91" s="680"/>
      <c r="AD91" s="701"/>
      <c r="AG91" s="701"/>
    </row>
    <row r="92" spans="1:39">
      <c r="B92" s="718"/>
      <c r="C92" s="720"/>
      <c r="D92" s="720">
        <f>SUMIF(K:K,B92,I:I)</f>
        <v>0</v>
      </c>
      <c r="E92" s="720">
        <v>0</v>
      </c>
      <c r="G92" s="721"/>
      <c r="K92" s="680"/>
      <c r="L92" s="701"/>
      <c r="N92" s="680"/>
      <c r="O92" s="680"/>
      <c r="P92" s="680"/>
      <c r="Q92" s="680"/>
      <c r="R92" s="680"/>
      <c r="S92" s="680"/>
      <c r="T92" s="680"/>
      <c r="U92" s="713"/>
      <c r="V92" s="680"/>
      <c r="W92" s="680"/>
      <c r="AB92" s="722"/>
      <c r="AC92" s="722"/>
      <c r="AE92" s="701"/>
      <c r="AG92" s="701"/>
    </row>
    <row r="93" spans="1:39">
      <c r="B93" s="718"/>
      <c r="C93" s="720"/>
      <c r="D93" s="720"/>
      <c r="E93" s="720"/>
      <c r="K93" s="680"/>
      <c r="L93" s="680"/>
      <c r="N93" s="680"/>
      <c r="O93" s="680"/>
      <c r="P93" s="680"/>
      <c r="Q93" s="680"/>
      <c r="R93" s="680"/>
      <c r="S93" s="680"/>
      <c r="T93" s="680"/>
      <c r="V93" s="680"/>
      <c r="W93" s="680"/>
    </row>
    <row r="94" spans="1:39">
      <c r="B94" s="723" t="s">
        <v>737</v>
      </c>
      <c r="C94" s="724">
        <f t="shared" ref="C94:C102" si="43">D94-E94</f>
        <v>0</v>
      </c>
      <c r="D94" s="724">
        <f>SUMIF(K:K,B94,I:I)</f>
        <v>0</v>
      </c>
      <c r="E94" s="724">
        <v>0</v>
      </c>
      <c r="K94" s="680"/>
      <c r="N94" s="680"/>
      <c r="O94" s="680"/>
      <c r="P94" s="680"/>
      <c r="Q94" s="680"/>
      <c r="R94" s="680"/>
      <c r="S94" s="680"/>
      <c r="T94" s="680"/>
      <c r="V94" s="680"/>
      <c r="W94" s="680"/>
      <c r="AG94" s="701"/>
    </row>
    <row r="95" spans="1:39">
      <c r="B95" s="725" t="s">
        <v>592</v>
      </c>
      <c r="C95" s="719">
        <f t="shared" si="43"/>
        <v>1751802.8627399988</v>
      </c>
      <c r="D95" s="993">
        <f t="shared" ref="D95:D102" si="44">SUMIF($K:$K,B95,$T:$T)</f>
        <v>8106922.3819670808</v>
      </c>
      <c r="E95" s="720">
        <v>6355119.5192270819</v>
      </c>
      <c r="K95" s="680"/>
      <c r="L95" s="701"/>
      <c r="T95" s="680"/>
      <c r="AD95" s="713"/>
    </row>
    <row r="96" spans="1:39">
      <c r="B96" s="725" t="s">
        <v>611</v>
      </c>
      <c r="C96" s="719">
        <f t="shared" si="43"/>
        <v>337976.11574915599</v>
      </c>
      <c r="D96" s="720">
        <f t="shared" si="44"/>
        <v>1072094.8976025828</v>
      </c>
      <c r="E96" s="720">
        <v>734118.78185342683</v>
      </c>
      <c r="K96" s="680"/>
      <c r="T96" s="680"/>
      <c r="W96" s="701"/>
    </row>
    <row r="97" spans="2:33">
      <c r="B97" s="725" t="s">
        <v>627</v>
      </c>
      <c r="C97" s="719">
        <f t="shared" si="43"/>
        <v>401303.49999999988</v>
      </c>
      <c r="D97" s="720">
        <f t="shared" si="44"/>
        <v>1231827.8999999999</v>
      </c>
      <c r="E97" s="720">
        <v>830524.4</v>
      </c>
      <c r="K97" s="680"/>
      <c r="T97" s="680"/>
      <c r="V97" s="680"/>
      <c r="AG97" s="701"/>
    </row>
    <row r="98" spans="2:33">
      <c r="B98" s="725" t="s">
        <v>630</v>
      </c>
      <c r="C98" s="719">
        <f t="shared" si="43"/>
        <v>1029594.8737653815</v>
      </c>
      <c r="D98" s="720">
        <f t="shared" si="44"/>
        <v>5026710.60147388</v>
      </c>
      <c r="E98" s="720">
        <v>3997115.7277084985</v>
      </c>
      <c r="K98" s="680"/>
      <c r="T98" s="701"/>
      <c r="U98" s="701"/>
      <c r="V98" s="680"/>
    </row>
    <row r="99" spans="2:33">
      <c r="B99" s="725" t="s">
        <v>618</v>
      </c>
      <c r="C99" s="719">
        <f t="shared" si="43"/>
        <v>0</v>
      </c>
      <c r="D99" s="720">
        <f t="shared" si="44"/>
        <v>0</v>
      </c>
      <c r="E99" s="720">
        <v>0</v>
      </c>
      <c r="K99" s="680"/>
      <c r="V99" s="680"/>
    </row>
    <row r="100" spans="2:33">
      <c r="B100" s="726" t="s">
        <v>254</v>
      </c>
      <c r="C100" s="727">
        <f t="shared" si="43"/>
        <v>2613528.8653779272</v>
      </c>
      <c r="D100" s="720">
        <f t="shared" si="44"/>
        <v>14084160.431139007</v>
      </c>
      <c r="E100" s="728">
        <v>11470631.56576108</v>
      </c>
      <c r="K100" s="680"/>
      <c r="T100" s="717"/>
      <c r="U100" s="717"/>
      <c r="V100" s="680"/>
    </row>
    <row r="101" spans="2:33">
      <c r="B101" s="726" t="s">
        <v>595</v>
      </c>
      <c r="C101" s="727">
        <f t="shared" si="43"/>
        <v>178067.45342166186</v>
      </c>
      <c r="D101" s="720">
        <f t="shared" si="44"/>
        <v>1523358.5042276764</v>
      </c>
      <c r="E101" s="728">
        <v>1345291.0508060146</v>
      </c>
      <c r="K101" s="680"/>
      <c r="N101" s="701"/>
      <c r="O101" s="701"/>
      <c r="T101" s="701"/>
      <c r="U101" s="701"/>
      <c r="V101" s="680"/>
    </row>
    <row r="102" spans="2:33">
      <c r="B102" s="729" t="s">
        <v>600</v>
      </c>
      <c r="C102" s="730">
        <f t="shared" si="43"/>
        <v>185460.22334999999</v>
      </c>
      <c r="D102" s="994">
        <f t="shared" si="44"/>
        <v>595446.91463000001</v>
      </c>
      <c r="E102" s="730">
        <v>409986.69128000003</v>
      </c>
      <c r="K102" s="680"/>
      <c r="V102" s="680"/>
    </row>
    <row r="103" spans="2:33">
      <c r="B103" s="731" t="s">
        <v>155</v>
      </c>
      <c r="C103" s="732">
        <f>SUM(C89:C102)</f>
        <v>8787597.6578995399</v>
      </c>
      <c r="D103" s="732">
        <f>SUM(D89:D102)</f>
        <v>43597200.453421183</v>
      </c>
      <c r="E103" s="732">
        <f>SUM(E89:E102)</f>
        <v>34809602.795521639</v>
      </c>
      <c r="K103" s="680"/>
      <c r="V103" s="680"/>
    </row>
    <row r="104" spans="2:33">
      <c r="C104" s="701"/>
      <c r="K104" s="680"/>
      <c r="T104" s="717"/>
      <c r="U104" s="717"/>
      <c r="V104" s="680"/>
    </row>
    <row r="105" spans="2:33">
      <c r="D105" s="733"/>
    </row>
    <row r="107" spans="2:33">
      <c r="C107" s="717">
        <v>10204668.76</v>
      </c>
      <c r="D107" s="733">
        <f>+C103-AG85</f>
        <v>12797199.980800554</v>
      </c>
      <c r="V107" s="701">
        <f>V104-V103</f>
        <v>0</v>
      </c>
    </row>
    <row r="108" spans="2:33">
      <c r="C108" s="701">
        <f>C103-C107</f>
        <v>-1417071.1021004599</v>
      </c>
      <c r="U108" s="713">
        <f>U85-T85</f>
        <v>4291965.8715788275</v>
      </c>
      <c r="AC108" s="713">
        <f>AC85-AB85</f>
        <v>-77119.164677802473</v>
      </c>
    </row>
    <row r="113" spans="2:5">
      <c r="B113" s="711" t="s">
        <v>735</v>
      </c>
      <c r="C113" s="712" t="s">
        <v>143</v>
      </c>
      <c r="D113" s="712" t="s">
        <v>523</v>
      </c>
      <c r="E113" s="712" t="s">
        <v>142</v>
      </c>
    </row>
    <row r="114" spans="2:5">
      <c r="B114" s="714" t="s">
        <v>159</v>
      </c>
      <c r="C114" s="715">
        <f>D114-E114</f>
        <v>987511.00118332822</v>
      </c>
      <c r="D114" s="716">
        <f>SUMIF($K:$K,B114,$U:$U)</f>
        <v>5247357.08</v>
      </c>
      <c r="E114" s="716">
        <v>4259846.0788166719</v>
      </c>
    </row>
    <row r="115" spans="2:5">
      <c r="B115" s="718" t="s">
        <v>168</v>
      </c>
      <c r="C115" s="719">
        <f>D115-E115</f>
        <v>1320176.9149311343</v>
      </c>
      <c r="D115" s="716">
        <f>SUMIF($K:$K,B115,$U:$U)</f>
        <v>6054380.8949999986</v>
      </c>
      <c r="E115" s="720">
        <v>4734203.9800688643</v>
      </c>
    </row>
    <row r="116" spans="2:5">
      <c r="B116" s="718" t="s">
        <v>736</v>
      </c>
      <c r="C116" s="719">
        <f>D116-E116</f>
        <v>157520</v>
      </c>
      <c r="D116" s="720">
        <f>J80</f>
        <v>830285</v>
      </c>
      <c r="E116" s="720">
        <v>672765</v>
      </c>
    </row>
    <row r="117" spans="2:5">
      <c r="B117" s="718"/>
      <c r="C117" s="720"/>
      <c r="D117" s="720">
        <f>SUMIF(K:K,B117,I:I)</f>
        <v>0</v>
      </c>
      <c r="E117" s="720">
        <v>0</v>
      </c>
    </row>
    <row r="118" spans="2:5">
      <c r="B118" s="718"/>
      <c r="C118" s="720"/>
      <c r="D118" s="720"/>
      <c r="E118" s="720"/>
    </row>
    <row r="119" spans="2:5">
      <c r="B119" s="723" t="s">
        <v>737</v>
      </c>
      <c r="C119" s="724">
        <f t="shared" ref="C119:C127" si="45">D119-E119</f>
        <v>0</v>
      </c>
      <c r="D119" s="724">
        <f>SUMIF(K:K,B119,I:I)</f>
        <v>0</v>
      </c>
      <c r="E119" s="724">
        <v>0</v>
      </c>
    </row>
    <row r="120" spans="2:5">
      <c r="B120" s="725" t="s">
        <v>592</v>
      </c>
      <c r="C120" s="719">
        <f t="shared" si="45"/>
        <v>2319997.8107729163</v>
      </c>
      <c r="D120" s="716">
        <f t="shared" ref="D120:D127" si="46">SUMIF($K:$K,B120,$U:$U)</f>
        <v>8675117.3299999982</v>
      </c>
      <c r="E120" s="720">
        <v>6355119.5192270819</v>
      </c>
    </row>
    <row r="121" spans="2:5">
      <c r="B121" s="725" t="s">
        <v>611</v>
      </c>
      <c r="C121" s="719">
        <f t="shared" si="45"/>
        <v>552391.40814657311</v>
      </c>
      <c r="D121" s="716">
        <f t="shared" si="46"/>
        <v>1286510.19</v>
      </c>
      <c r="E121" s="720">
        <v>734118.78185342683</v>
      </c>
    </row>
    <row r="122" spans="2:5">
      <c r="B122" s="725" t="s">
        <v>627</v>
      </c>
      <c r="C122" s="719">
        <f t="shared" si="45"/>
        <v>629621.49999999988</v>
      </c>
      <c r="D122" s="716">
        <f t="shared" si="46"/>
        <v>1460145.9</v>
      </c>
      <c r="E122" s="720">
        <v>830524.4</v>
      </c>
    </row>
    <row r="123" spans="2:5">
      <c r="B123" s="725" t="s">
        <v>630</v>
      </c>
      <c r="C123" s="719">
        <f t="shared" si="45"/>
        <v>2282975.1122915014</v>
      </c>
      <c r="D123" s="716">
        <f t="shared" si="46"/>
        <v>6280090.8399999999</v>
      </c>
      <c r="E123" s="720">
        <v>3997115.7277084985</v>
      </c>
    </row>
    <row r="124" spans="2:5">
      <c r="B124" s="725" t="s">
        <v>618</v>
      </c>
      <c r="C124" s="719">
        <f t="shared" si="45"/>
        <v>0</v>
      </c>
      <c r="D124" s="716">
        <f t="shared" si="46"/>
        <v>0</v>
      </c>
      <c r="E124" s="720">
        <v>0</v>
      </c>
    </row>
    <row r="125" spans="2:5">
      <c r="B125" s="726" t="s">
        <v>254</v>
      </c>
      <c r="C125" s="727">
        <f t="shared" si="45"/>
        <v>4273496.8142389189</v>
      </c>
      <c r="D125" s="716">
        <f t="shared" si="46"/>
        <v>15744128.379999999</v>
      </c>
      <c r="E125" s="728">
        <v>11470631.56576108</v>
      </c>
    </row>
    <row r="126" spans="2:5">
      <c r="B126" s="726" t="s">
        <v>595</v>
      </c>
      <c r="C126" s="727">
        <f t="shared" si="45"/>
        <v>305171.6591939854</v>
      </c>
      <c r="D126" s="716">
        <f t="shared" si="46"/>
        <v>1650462.71</v>
      </c>
      <c r="E126" s="728">
        <v>1345291.0508060146</v>
      </c>
    </row>
    <row r="127" spans="2:5">
      <c r="B127" s="729" t="s">
        <v>600</v>
      </c>
      <c r="C127" s="730">
        <f t="shared" si="45"/>
        <v>250701.30871999997</v>
      </c>
      <c r="D127" s="716">
        <f t="shared" si="46"/>
        <v>660688</v>
      </c>
      <c r="E127" s="730">
        <v>409986.69128000003</v>
      </c>
    </row>
    <row r="128" spans="2:5">
      <c r="B128" s="731" t="s">
        <v>155</v>
      </c>
      <c r="C128" s="732">
        <f>SUM(C114:C127)</f>
        <v>13079563.529478358</v>
      </c>
      <c r="D128" s="732">
        <f>SUM(D114:D127)</f>
        <v>47889166.324999996</v>
      </c>
      <c r="E128" s="732">
        <f>SUM(E114:E127)</f>
        <v>34809602.795521639</v>
      </c>
    </row>
  </sheetData>
  <mergeCells count="20">
    <mergeCell ref="U5:U6"/>
    <mergeCell ref="V5:AB5"/>
    <mergeCell ref="AD5:AD6"/>
    <mergeCell ref="AE5:AE6"/>
    <mergeCell ref="M5:M6"/>
    <mergeCell ref="N5:N6"/>
    <mergeCell ref="O5:O6"/>
    <mergeCell ref="R5:R6"/>
    <mergeCell ref="S5:S6"/>
    <mergeCell ref="T5:T6"/>
    <mergeCell ref="P5:P6"/>
    <mergeCell ref="Q5:Q6"/>
    <mergeCell ref="L5:L6"/>
    <mergeCell ref="A5:A6"/>
    <mergeCell ref="D5:D6"/>
    <mergeCell ref="E5:E6"/>
    <mergeCell ref="K5:K6"/>
    <mergeCell ref="F5:J5"/>
    <mergeCell ref="C5:C6"/>
    <mergeCell ref="B5:B6"/>
  </mergeCells>
  <pageMargins left="0.7" right="0.7" top="0.75" bottom="0.75" header="0.3" footer="0.3"/>
  <pageSetup paperSize="8" scale="46" fitToHeight="0" orientation="landscape" r:id="rId1"/>
  <colBreaks count="1" manualBreakCount="1">
    <brk id="31" max="1048575"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15"/>
  <sheetViews>
    <sheetView view="pageBreakPreview" zoomScaleNormal="100" zoomScaleSheetLayoutView="100" workbookViewId="0">
      <selection activeCell="J20" sqref="J20"/>
    </sheetView>
  </sheetViews>
  <sheetFormatPr defaultColWidth="8.88671875" defaultRowHeight="14.4"/>
  <cols>
    <col min="1" max="1" width="10.109375" style="311" customWidth="1"/>
    <col min="2" max="2" width="39.33203125" style="311" customWidth="1"/>
    <col min="3" max="3" width="13.6640625" style="311" customWidth="1"/>
    <col min="4" max="4" width="15.44140625" style="311" customWidth="1"/>
    <col min="5" max="5" width="19" style="313" customWidth="1"/>
    <col min="6" max="6" width="12.33203125" style="311" customWidth="1"/>
    <col min="7" max="8" width="13.6640625" style="311" customWidth="1"/>
    <col min="9" max="9" width="8.88671875" style="311"/>
    <col min="10" max="10" width="12.109375" style="313" customWidth="1"/>
    <col min="11" max="16384" width="8.88671875" style="311"/>
  </cols>
  <sheetData>
    <row r="1" spans="1:10" ht="17.399999999999999">
      <c r="A1" s="1072" t="s">
        <v>0</v>
      </c>
      <c r="B1" s="1072"/>
      <c r="C1" s="1072"/>
      <c r="D1" s="1072"/>
      <c r="E1" s="1072"/>
    </row>
    <row r="2" spans="1:10" ht="15.6" thickBot="1">
      <c r="A2" s="1073" t="s">
        <v>945</v>
      </c>
      <c r="B2" s="1073"/>
      <c r="C2" s="1073"/>
      <c r="D2" s="1073"/>
      <c r="E2" s="1073"/>
    </row>
    <row r="3" spans="1:10" ht="9" customHeight="1">
      <c r="A3" s="285"/>
      <c r="B3" s="286"/>
      <c r="C3" s="286"/>
      <c r="D3" s="287"/>
      <c r="E3" s="288"/>
    </row>
    <row r="4" spans="1:10">
      <c r="A4" s="314" t="s">
        <v>137</v>
      </c>
      <c r="B4" t="s">
        <v>138</v>
      </c>
      <c r="D4" s="315" t="s">
        <v>3</v>
      </c>
      <c r="E4" s="316">
        <f ca="1">'KCE-PC 11 INT'!G3</f>
        <v>44949</v>
      </c>
    </row>
    <row r="5" spans="1:10">
      <c r="A5" s="314" t="s">
        <v>156</v>
      </c>
      <c r="B5" t="s">
        <v>95</v>
      </c>
      <c r="D5" s="315" t="s">
        <v>5</v>
      </c>
      <c r="E5" s="317" t="str">
        <f>+'Annexure 12-Previous Payments '!C5</f>
        <v>KCE-11</v>
      </c>
    </row>
    <row r="6" spans="1:10">
      <c r="A6" s="314" t="s">
        <v>139</v>
      </c>
      <c r="B6" t="s">
        <v>140</v>
      </c>
      <c r="D6" s="315" t="s">
        <v>8</v>
      </c>
      <c r="E6" s="318" t="s">
        <v>9</v>
      </c>
    </row>
    <row r="7" spans="1:10" ht="15" thickBot="1">
      <c r="A7" s="289"/>
      <c r="B7" s="290"/>
      <c r="C7" s="545"/>
      <c r="D7" s="545"/>
      <c r="E7" s="546"/>
    </row>
    <row r="8" spans="1:10" ht="15" thickBot="1">
      <c r="A8" s="547"/>
      <c r="E8" s="548"/>
    </row>
    <row r="9" spans="1:10">
      <c r="A9" s="549" t="s">
        <v>157</v>
      </c>
      <c r="B9" s="294" t="s">
        <v>810</v>
      </c>
      <c r="C9" s="550" t="s">
        <v>158</v>
      </c>
      <c r="D9" s="550" t="s">
        <v>143</v>
      </c>
      <c r="E9" s="551" t="s">
        <v>144</v>
      </c>
    </row>
    <row r="10" spans="1:10">
      <c r="A10" s="552">
        <v>1</v>
      </c>
      <c r="B10" s="553" t="s">
        <v>848</v>
      </c>
      <c r="C10" s="554">
        <v>1022048.4</v>
      </c>
      <c r="D10" s="554">
        <v>99227.449999999983</v>
      </c>
      <c r="E10" s="555">
        <f>+C10+D10</f>
        <v>1121275.8500000001</v>
      </c>
    </row>
    <row r="11" spans="1:10">
      <c r="A11" s="969">
        <v>2</v>
      </c>
      <c r="B11" s="556" t="s">
        <v>831</v>
      </c>
      <c r="C11" s="360">
        <v>-48681.189047619046</v>
      </c>
      <c r="D11" s="360">
        <f>E11-C11</f>
        <v>0</v>
      </c>
      <c r="E11" s="557">
        <f>-Adjustments!I15</f>
        <v>-48681.189047619046</v>
      </c>
      <c r="G11" s="329"/>
      <c r="J11" s="328"/>
    </row>
    <row r="12" spans="1:10" ht="15" thickBot="1">
      <c r="A12" s="1120" t="s">
        <v>155</v>
      </c>
      <c r="B12" s="1121"/>
      <c r="C12" s="558">
        <f>SUM(C10:C11)</f>
        <v>973367.21095238102</v>
      </c>
      <c r="D12" s="558">
        <f>SUM(D10:D11)</f>
        <v>99227.449999999983</v>
      </c>
      <c r="E12" s="559">
        <f>SUM(E10:E11)</f>
        <v>1072594.6609523811</v>
      </c>
      <c r="F12" s="914"/>
    </row>
    <row r="13" spans="1:10">
      <c r="E13" s="311"/>
      <c r="G13" s="560"/>
    </row>
    <row r="14" spans="1:10">
      <c r="E14" s="914"/>
    </row>
    <row r="15" spans="1:10">
      <c r="F15" s="329"/>
    </row>
  </sheetData>
  <mergeCells count="3">
    <mergeCell ref="A1:E1"/>
    <mergeCell ref="A2:E2"/>
    <mergeCell ref="A12:B12"/>
  </mergeCells>
  <pageMargins left="0.7" right="0.7" top="0.75" bottom="0.75" header="0.3" footer="0.3"/>
  <pageSetup scale="9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11</vt:lpstr>
      <vt:lpstr>KCE-PC 11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 - Dec 22</vt:lpstr>
      <vt:lpstr>Annexure 9-OHP</vt:lpstr>
      <vt:lpstr>Annexure 10-Retention</vt:lpstr>
      <vt:lpstr>Annexure 11-Advance Recovery</vt:lpstr>
      <vt:lpstr>Annexure 12-Previous Payments </vt:lpstr>
      <vt:lpstr>Staff Cost Summary</vt:lpstr>
      <vt:lpstr>Civil Staff Cost Dec 22</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Dec 22'!Print_Area</vt:lpstr>
      <vt:lpstr>'Committed Orders - Dec 22'!Print_Area</vt:lpstr>
      <vt:lpstr>'KCE-PC 11'!Print_Area</vt:lpstr>
      <vt:lpstr>'KCE-PC 11 INT'!Print_Area</vt:lpstr>
      <vt:lpstr>'KMEP -IPC'!Print_Area</vt:lpstr>
      <vt:lpstr>'Staff Cost Summary'!Print_Area</vt:lpstr>
      <vt:lpstr>'Annexure 6-SC Summary '!Print_Titles</vt:lpstr>
      <vt:lpstr>'Civil Staff Cost Dec 22'!Print_Titles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Nayana WJK Weeraman</cp:lastModifiedBy>
  <cp:lastPrinted>2023-01-20T08:11:19Z</cp:lastPrinted>
  <dcterms:created xsi:type="dcterms:W3CDTF">2022-10-21T12:11:49Z</dcterms:created>
  <dcterms:modified xsi:type="dcterms:W3CDTF">2023-01-23T04:52:06Z</dcterms:modified>
</cp:coreProperties>
</file>