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8 Al Reem\2 March\"/>
    </mc:Choice>
  </mc:AlternateContent>
  <xr:revisionPtr revIDLastSave="0" documentId="13_ncr:1_{00AD56DD-8054-46CA-9416-1EB5FF78746A}" xr6:coauthVersionLast="47" xr6:coauthVersionMax="47" xr10:uidLastSave="{00000000-0000-0000-0000-000000000000}"/>
  <bookViews>
    <workbookView xWindow="-110" yWindow="-110" windowWidth="25820" windowHeight="13900" tabRatio="701" activeTab="1" xr2:uid="{00000000-000D-0000-FFFF-FFFF00000000}"/>
  </bookViews>
  <sheets>
    <sheet name="March summary" sheetId="10" r:id="rId1"/>
    <sheet name="Summary" sheetId="3" r:id="rId2"/>
    <sheet name="BILL - FEB 23" sheetId="1" r:id="rId3"/>
    <sheet name="Variation" sheetId="2" r:id="rId4"/>
    <sheet name="Material OffSite" sheetId="5" r:id="rId5"/>
    <sheet name="Variation KCE" sheetId="6" r:id="rId6"/>
    <sheet name="Hardlandscape Variation" sheetId="13" r:id="rId7"/>
    <sheet name="AHK Balance" sheetId="12" r:id="rId8"/>
    <sheet name="VO register" sheetId="9" state="hidden" r:id="rId9"/>
  </sheets>
  <definedNames>
    <definedName name="_xlnm.Print_Area" localSheetId="7">'AHK Balance'!$A$1:$Q$589</definedName>
    <definedName name="_xlnm.Print_Area" localSheetId="2">Table1[#All]</definedName>
    <definedName name="_xlnm.Print_Area" localSheetId="0">'March summary'!$A$5:$E$31</definedName>
    <definedName name="_xlnm.Print_Area" localSheetId="4">Table14[#All]</definedName>
    <definedName name="_xlnm.Print_Area" localSheetId="1">Summary!$A$1:$F$50</definedName>
    <definedName name="_xlnm.Print_Area" localSheetId="3">Variation!$A$1:$M$128</definedName>
    <definedName name="_xlnm.Print_Area" localSheetId="5">'Variation KCE'!$A$1:$M$59</definedName>
    <definedName name="_xlnm.Print_Titles" localSheetId="2">'BILL - FEB 23'!$1:$1</definedName>
    <definedName name="_xlnm.Print_Titles" localSheetId="4">'Material OffSite'!$1:$1</definedName>
    <definedName name="_xlnm.Print_Titles" localSheetId="3">Variation!$1:$1</definedName>
    <definedName name="_xlnm.Print_Titles" localSheetId="5">'Variation KCE'!$2:$3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14" i="12" l="1"/>
  <c r="N413" i="12"/>
  <c r="N404" i="12"/>
  <c r="N403" i="12"/>
  <c r="N400" i="12"/>
  <c r="N399" i="12"/>
  <c r="N398" i="12"/>
  <c r="N392" i="12"/>
  <c r="N385" i="12"/>
  <c r="N372" i="12"/>
  <c r="N179" i="12"/>
  <c r="N176" i="12"/>
  <c r="N174" i="12"/>
  <c r="N151" i="12"/>
  <c r="N144" i="12"/>
  <c r="N142" i="12"/>
  <c r="M67" i="13"/>
  <c r="M66" i="13"/>
  <c r="M63" i="13"/>
  <c r="M61" i="13"/>
  <c r="M60" i="13"/>
  <c r="M57" i="13"/>
  <c r="M55" i="13"/>
  <c r="M54" i="13"/>
  <c r="M53" i="13"/>
  <c r="M52" i="13"/>
  <c r="I150" i="1"/>
  <c r="O8" i="1"/>
  <c r="I66" i="1"/>
  <c r="I65" i="1"/>
  <c r="P8" i="1"/>
  <c r="I58" i="6"/>
  <c r="I57" i="6"/>
  <c r="I5" i="2"/>
  <c r="K59" i="6" l="1"/>
  <c r="Q142" i="12"/>
  <c r="O142" i="12"/>
  <c r="K55" i="6" l="1"/>
  <c r="G55" i="6"/>
  <c r="L56" i="6"/>
  <c r="K56" i="6"/>
  <c r="J56" i="6"/>
  <c r="M56" i="6" s="1"/>
  <c r="G56" i="6"/>
  <c r="L58" i="6"/>
  <c r="K58" i="6"/>
  <c r="J58" i="6"/>
  <c r="M58" i="6" s="1"/>
  <c r="F42" i="3" s="1"/>
  <c r="G58" i="6"/>
  <c r="L57" i="6"/>
  <c r="L55" i="6" s="1"/>
  <c r="K57" i="6"/>
  <c r="J57" i="6"/>
  <c r="M57" i="6" s="1"/>
  <c r="M55" i="6" s="1"/>
  <c r="G57" i="6"/>
  <c r="L5" i="2"/>
  <c r="K5" i="2"/>
  <c r="J5" i="2"/>
  <c r="M5" i="2" s="1"/>
  <c r="C30" i="10" l="1"/>
  <c r="Q3" i="13" l="1"/>
  <c r="Q4" i="13"/>
  <c r="Q5" i="13"/>
  <c r="Q6" i="13"/>
  <c r="Q7" i="13"/>
  <c r="Q8" i="13"/>
  <c r="Q9" i="13"/>
  <c r="Q10" i="13"/>
  <c r="Q11" i="13"/>
  <c r="Q12" i="13"/>
  <c r="Q13" i="13"/>
  <c r="Q14" i="13"/>
  <c r="P14" i="13" s="1"/>
  <c r="Q15" i="13"/>
  <c r="Q16" i="13"/>
  <c r="Q17" i="13"/>
  <c r="Q18" i="13"/>
  <c r="P18" i="13" s="1"/>
  <c r="Q19" i="13"/>
  <c r="Q20" i="13"/>
  <c r="P20" i="13" s="1"/>
  <c r="Q21" i="13"/>
  <c r="Q22" i="13"/>
  <c r="Q23" i="13"/>
  <c r="Q24" i="13"/>
  <c r="Q25" i="13"/>
  <c r="Q26" i="13"/>
  <c r="Q27" i="13"/>
  <c r="Q28" i="13"/>
  <c r="Q29" i="13"/>
  <c r="Q30" i="13"/>
  <c r="Q31" i="13"/>
  <c r="Q32" i="13"/>
  <c r="Q33" i="13"/>
  <c r="Q34" i="13"/>
  <c r="Q35" i="13"/>
  <c r="Q36" i="13"/>
  <c r="Q37" i="13"/>
  <c r="Q38" i="13"/>
  <c r="P38" i="13" s="1"/>
  <c r="Q39" i="13"/>
  <c r="Q40" i="13"/>
  <c r="P40" i="13" s="1"/>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P71" i="13" s="1"/>
  <c r="P4" i="13"/>
  <c r="P32" i="13"/>
  <c r="P41" i="13"/>
  <c r="O3" i="13"/>
  <c r="O4" i="13"/>
  <c r="O5" i="13"/>
  <c r="O6" i="13"/>
  <c r="O7" i="13"/>
  <c r="O72" i="13" s="1"/>
  <c r="O8" i="13"/>
  <c r="P8" i="13" s="1"/>
  <c r="O9" i="13"/>
  <c r="P9" i="13" s="1"/>
  <c r="O10" i="13"/>
  <c r="P10" i="13" s="1"/>
  <c r="O11" i="13"/>
  <c r="P11" i="13" s="1"/>
  <c r="O12" i="13"/>
  <c r="P12" i="13" s="1"/>
  <c r="O13" i="13"/>
  <c r="O14" i="13"/>
  <c r="O15" i="13"/>
  <c r="O16" i="13"/>
  <c r="P16" i="13" s="1"/>
  <c r="O17" i="13"/>
  <c r="O18" i="13"/>
  <c r="O19" i="13"/>
  <c r="P19" i="13" s="1"/>
  <c r="O20" i="13"/>
  <c r="O21" i="13"/>
  <c r="O22" i="13"/>
  <c r="P22" i="13" s="1"/>
  <c r="O23" i="13"/>
  <c r="O24" i="13"/>
  <c r="O25" i="13"/>
  <c r="P25" i="13" s="1"/>
  <c r="O26" i="13"/>
  <c r="P26" i="13" s="1"/>
  <c r="O27" i="13"/>
  <c r="P27" i="13" s="1"/>
  <c r="O28" i="13"/>
  <c r="O29" i="13"/>
  <c r="O30" i="13"/>
  <c r="O31" i="13"/>
  <c r="O32" i="13"/>
  <c r="O33" i="13"/>
  <c r="O34" i="13"/>
  <c r="O35" i="13"/>
  <c r="P35" i="13" s="1"/>
  <c r="O36" i="13"/>
  <c r="O37" i="13"/>
  <c r="O38" i="13"/>
  <c r="O39" i="13"/>
  <c r="O40" i="13"/>
  <c r="O41" i="13"/>
  <c r="O42" i="13"/>
  <c r="O43" i="13"/>
  <c r="P43" i="13" s="1"/>
  <c r="O44" i="13"/>
  <c r="O45" i="13"/>
  <c r="O46" i="13"/>
  <c r="O47" i="13"/>
  <c r="O48" i="13"/>
  <c r="O49" i="13"/>
  <c r="O50" i="13"/>
  <c r="O51" i="13"/>
  <c r="P51" i="13" s="1"/>
  <c r="O52" i="13"/>
  <c r="O53" i="13"/>
  <c r="O54" i="13"/>
  <c r="O55" i="13"/>
  <c r="O56" i="13"/>
  <c r="O57" i="13"/>
  <c r="O58" i="13"/>
  <c r="P58" i="13" s="1"/>
  <c r="O59" i="13"/>
  <c r="P59" i="13" s="1"/>
  <c r="O60" i="13"/>
  <c r="P60" i="13" s="1"/>
  <c r="O61" i="13"/>
  <c r="O62" i="13"/>
  <c r="O63" i="13"/>
  <c r="O64" i="13"/>
  <c r="O65" i="13"/>
  <c r="O66" i="13"/>
  <c r="O67" i="13"/>
  <c r="O68" i="13"/>
  <c r="O69" i="13"/>
  <c r="O70" i="13"/>
  <c r="P70" i="13" s="1"/>
  <c r="O71"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6" i="13"/>
  <c r="M58" i="13"/>
  <c r="M59" i="13"/>
  <c r="M62" i="13"/>
  <c r="M64" i="13"/>
  <c r="M65" i="13"/>
  <c r="M68" i="13"/>
  <c r="M69" i="13"/>
  <c r="M70" i="13"/>
  <c r="M71" i="13"/>
  <c r="K18" i="13"/>
  <c r="K34" i="13"/>
  <c r="J3" i="13"/>
  <c r="K3" i="13" s="1"/>
  <c r="J4" i="13"/>
  <c r="J5" i="13"/>
  <c r="J6" i="13"/>
  <c r="J7" i="13"/>
  <c r="J8" i="13"/>
  <c r="J9" i="13"/>
  <c r="K9" i="13" s="1"/>
  <c r="J10" i="13"/>
  <c r="J11" i="13"/>
  <c r="K11" i="13" s="1"/>
  <c r="J12" i="13"/>
  <c r="J13" i="13"/>
  <c r="K13" i="13" s="1"/>
  <c r="J14" i="13"/>
  <c r="K14" i="13" s="1"/>
  <c r="J15" i="13"/>
  <c r="K15" i="13" s="1"/>
  <c r="J16" i="13"/>
  <c r="J17" i="13"/>
  <c r="K17" i="13" s="1"/>
  <c r="J18" i="13"/>
  <c r="J19" i="13"/>
  <c r="J20" i="13"/>
  <c r="J21" i="13"/>
  <c r="J22" i="13"/>
  <c r="J23" i="13"/>
  <c r="J24" i="13"/>
  <c r="J25" i="13"/>
  <c r="K25" i="13" s="1"/>
  <c r="J26" i="13"/>
  <c r="J27" i="13"/>
  <c r="K27" i="13" s="1"/>
  <c r="J28" i="13"/>
  <c r="J29" i="13"/>
  <c r="K29" i="13" s="1"/>
  <c r="J30" i="13"/>
  <c r="K30" i="13" s="1"/>
  <c r="J31" i="13"/>
  <c r="K31" i="13" s="1"/>
  <c r="J32" i="13"/>
  <c r="J33" i="13"/>
  <c r="K33" i="13" s="1"/>
  <c r="J34" i="13"/>
  <c r="J35" i="13"/>
  <c r="J36" i="13"/>
  <c r="J37" i="13"/>
  <c r="J38" i="13"/>
  <c r="J39" i="13"/>
  <c r="J40" i="13"/>
  <c r="K40" i="13" s="1"/>
  <c r="J41" i="13"/>
  <c r="K41" i="13" s="1"/>
  <c r="J42" i="13"/>
  <c r="J43" i="13"/>
  <c r="K43" i="13" s="1"/>
  <c r="J44" i="13"/>
  <c r="J45" i="13"/>
  <c r="K45" i="13" s="1"/>
  <c r="J46" i="13"/>
  <c r="K46" i="13" s="1"/>
  <c r="J47" i="13"/>
  <c r="K47" i="13" s="1"/>
  <c r="J48" i="13"/>
  <c r="J49" i="13"/>
  <c r="K49" i="13" s="1"/>
  <c r="J50" i="13"/>
  <c r="K50" i="13" s="1"/>
  <c r="J51" i="13"/>
  <c r="J52" i="13"/>
  <c r="J53" i="13"/>
  <c r="J54" i="13"/>
  <c r="J55" i="13"/>
  <c r="J56" i="13"/>
  <c r="K56" i="13" s="1"/>
  <c r="J57" i="13"/>
  <c r="K57" i="13" s="1"/>
  <c r="J58" i="13"/>
  <c r="J59" i="13"/>
  <c r="J60" i="13"/>
  <c r="J61" i="13"/>
  <c r="K61" i="13" s="1"/>
  <c r="J62" i="13"/>
  <c r="K62" i="13" s="1"/>
  <c r="J63" i="13"/>
  <c r="K63" i="13" s="1"/>
  <c r="J64" i="13"/>
  <c r="J65" i="13"/>
  <c r="K65" i="13" s="1"/>
  <c r="J66" i="13"/>
  <c r="K66" i="13" s="1"/>
  <c r="J67" i="13"/>
  <c r="J68" i="13"/>
  <c r="J69" i="13"/>
  <c r="J70" i="13"/>
  <c r="J71" i="13"/>
  <c r="H3" i="13"/>
  <c r="H4" i="13"/>
  <c r="H5" i="13"/>
  <c r="H6" i="13"/>
  <c r="H7" i="13"/>
  <c r="H8" i="13"/>
  <c r="H9" i="13"/>
  <c r="H10" i="13"/>
  <c r="H11" i="13"/>
  <c r="H12" i="13"/>
  <c r="H13" i="13"/>
  <c r="H14" i="13"/>
  <c r="H15" i="13"/>
  <c r="H16" i="13"/>
  <c r="H17" i="13"/>
  <c r="H18" i="13"/>
  <c r="H19" i="13"/>
  <c r="K19" i="13" s="1"/>
  <c r="H20" i="13"/>
  <c r="H21" i="13"/>
  <c r="H22" i="13"/>
  <c r="H23" i="13"/>
  <c r="H24" i="13"/>
  <c r="H25" i="13"/>
  <c r="H26" i="13"/>
  <c r="H27" i="13"/>
  <c r="H28" i="13"/>
  <c r="H29" i="13"/>
  <c r="H30" i="13"/>
  <c r="H31" i="13"/>
  <c r="H32" i="13"/>
  <c r="H33" i="13"/>
  <c r="H34" i="13"/>
  <c r="H35" i="13"/>
  <c r="K35" i="13" s="1"/>
  <c r="H36" i="13"/>
  <c r="H37" i="13"/>
  <c r="H38" i="13"/>
  <c r="H39" i="13"/>
  <c r="H40" i="13"/>
  <c r="H41" i="13"/>
  <c r="H42" i="13"/>
  <c r="H43" i="13"/>
  <c r="H44" i="13"/>
  <c r="H45" i="13"/>
  <c r="H46" i="13"/>
  <c r="H47" i="13"/>
  <c r="H48" i="13"/>
  <c r="H49" i="13"/>
  <c r="H50" i="13"/>
  <c r="H51" i="13"/>
  <c r="K51" i="13" s="1"/>
  <c r="H52" i="13"/>
  <c r="H53" i="13"/>
  <c r="H54" i="13"/>
  <c r="H55" i="13"/>
  <c r="H56" i="13"/>
  <c r="H57" i="13"/>
  <c r="H58" i="13"/>
  <c r="K58" i="13" s="1"/>
  <c r="H59" i="13"/>
  <c r="K59" i="13" s="1"/>
  <c r="H60" i="13"/>
  <c r="H61" i="13"/>
  <c r="H62" i="13"/>
  <c r="H63" i="13"/>
  <c r="H64" i="13"/>
  <c r="H65" i="13"/>
  <c r="H66" i="13"/>
  <c r="H67" i="13"/>
  <c r="H68" i="13"/>
  <c r="H69" i="13"/>
  <c r="H70" i="13"/>
  <c r="H71"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J8" i="12"/>
  <c r="J9" i="12"/>
  <c r="J11" i="12"/>
  <c r="J13" i="12"/>
  <c r="J16" i="12"/>
  <c r="J17" i="12"/>
  <c r="J18" i="12"/>
  <c r="J19" i="12"/>
  <c r="J23" i="12"/>
  <c r="J28" i="12"/>
  <c r="J30" i="12"/>
  <c r="J32" i="12"/>
  <c r="J34" i="12"/>
  <c r="J36" i="12"/>
  <c r="J38" i="12"/>
  <c r="J39" i="12"/>
  <c r="J41" i="12"/>
  <c r="J44" i="12"/>
  <c r="J45" i="12"/>
  <c r="J46" i="12"/>
  <c r="J47" i="12"/>
  <c r="J48" i="12"/>
  <c r="J49" i="12"/>
  <c r="J50" i="12"/>
  <c r="J51" i="12"/>
  <c r="J52" i="12"/>
  <c r="J53" i="12"/>
  <c r="J54" i="12"/>
  <c r="J55" i="12"/>
  <c r="J59" i="12"/>
  <c r="J64" i="12"/>
  <c r="J66" i="12"/>
  <c r="J67" i="12"/>
  <c r="J75" i="12"/>
  <c r="J80" i="12"/>
  <c r="J82" i="12"/>
  <c r="J84" i="12"/>
  <c r="J86" i="12"/>
  <c r="J88" i="12"/>
  <c r="J89" i="12"/>
  <c r="J92" i="12"/>
  <c r="J94" i="12"/>
  <c r="J95" i="12"/>
  <c r="J97" i="12"/>
  <c r="J99" i="12"/>
  <c r="J104" i="12"/>
  <c r="J119" i="12"/>
  <c r="J120" i="12"/>
  <c r="J121" i="12"/>
  <c r="J122" i="12"/>
  <c r="J125" i="12"/>
  <c r="J126" i="12"/>
  <c r="J127" i="12"/>
  <c r="J128" i="12"/>
  <c r="J130" i="12"/>
  <c r="J131" i="12"/>
  <c r="J132" i="12"/>
  <c r="J133" i="12"/>
  <c r="J134" i="12"/>
  <c r="J140" i="12"/>
  <c r="J142" i="12"/>
  <c r="J144" i="12"/>
  <c r="J146" i="12"/>
  <c r="J147" i="12"/>
  <c r="J149" i="12"/>
  <c r="J151" i="12"/>
  <c r="J154" i="12"/>
  <c r="J155" i="12"/>
  <c r="J156" i="12"/>
  <c r="J157" i="12"/>
  <c r="J158" i="12"/>
  <c r="J159" i="12"/>
  <c r="J160" i="12"/>
  <c r="J161" i="12"/>
  <c r="K161" i="12" s="1"/>
  <c r="J162" i="12"/>
  <c r="J163" i="12"/>
  <c r="J167" i="12"/>
  <c r="J172" i="12"/>
  <c r="J174" i="12"/>
  <c r="J176" i="12"/>
  <c r="J177" i="12"/>
  <c r="J179" i="12"/>
  <c r="J181" i="12"/>
  <c r="J184" i="12"/>
  <c r="J185" i="12"/>
  <c r="J186" i="12"/>
  <c r="J187" i="12"/>
  <c r="J188" i="12"/>
  <c r="J189" i="12"/>
  <c r="J190" i="12"/>
  <c r="J191" i="12"/>
  <c r="J192" i="12"/>
  <c r="J193" i="12"/>
  <c r="J204" i="12"/>
  <c r="J209" i="12"/>
  <c r="J210" i="12"/>
  <c r="J211" i="12"/>
  <c r="J212" i="12"/>
  <c r="J217" i="12"/>
  <c r="J218" i="12"/>
  <c r="J220" i="12"/>
  <c r="J221" i="12"/>
  <c r="J222" i="12"/>
  <c r="J223" i="12"/>
  <c r="J224" i="12"/>
  <c r="J226" i="12"/>
  <c r="J227" i="12"/>
  <c r="J232" i="12"/>
  <c r="J234" i="12"/>
  <c r="J236" i="12"/>
  <c r="J237" i="12"/>
  <c r="J239" i="12"/>
  <c r="J247" i="12"/>
  <c r="J248" i="12"/>
  <c r="J249" i="12"/>
  <c r="J251" i="12"/>
  <c r="J252" i="12"/>
  <c r="J253" i="12"/>
  <c r="J254" i="12"/>
  <c r="J255" i="12"/>
  <c r="J256" i="12"/>
  <c r="J263" i="12"/>
  <c r="J265" i="12"/>
  <c r="J268" i="12"/>
  <c r="J269" i="12"/>
  <c r="J271" i="12"/>
  <c r="J273" i="12"/>
  <c r="J275" i="12"/>
  <c r="J276" i="12"/>
  <c r="J277" i="12"/>
  <c r="J278" i="12"/>
  <c r="J281" i="12"/>
  <c r="J283" i="12"/>
  <c r="J284" i="12"/>
  <c r="J286" i="12"/>
  <c r="J287" i="12"/>
  <c r="J288" i="12"/>
  <c r="J289" i="12"/>
  <c r="K289" i="12" s="1"/>
  <c r="J291" i="12"/>
  <c r="J295" i="12"/>
  <c r="J296" i="12"/>
  <c r="J300" i="12"/>
  <c r="J301" i="12"/>
  <c r="J304" i="12"/>
  <c r="J305" i="12"/>
  <c r="J306" i="12"/>
  <c r="J307" i="12"/>
  <c r="J313" i="12"/>
  <c r="J314" i="12"/>
  <c r="J316" i="12"/>
  <c r="J317" i="12"/>
  <c r="J319" i="12"/>
  <c r="J320" i="12"/>
  <c r="J323" i="12"/>
  <c r="J324" i="12"/>
  <c r="J328" i="12"/>
  <c r="J329" i="12"/>
  <c r="J334" i="12"/>
  <c r="J335" i="12"/>
  <c r="J337" i="12"/>
  <c r="J338" i="12"/>
  <c r="J342" i="12"/>
  <c r="J343" i="12"/>
  <c r="J348" i="12"/>
  <c r="J349" i="12"/>
  <c r="J350" i="12"/>
  <c r="J353" i="12"/>
  <c r="J356" i="12"/>
  <c r="J357" i="12"/>
  <c r="J360" i="12"/>
  <c r="J361" i="12"/>
  <c r="J365" i="12"/>
  <c r="J372" i="12"/>
  <c r="J374" i="12"/>
  <c r="J376" i="12"/>
  <c r="J378" i="12"/>
  <c r="J379" i="12"/>
  <c r="J381" i="12"/>
  <c r="J382" i="12"/>
  <c r="J385" i="12"/>
  <c r="J386" i="12"/>
  <c r="J388" i="12"/>
  <c r="J389" i="12"/>
  <c r="J392" i="12"/>
  <c r="J393" i="12"/>
  <c r="J394" i="12"/>
  <c r="J395" i="12"/>
  <c r="J398" i="12"/>
  <c r="J399" i="12"/>
  <c r="J400" i="12"/>
  <c r="J401" i="12"/>
  <c r="J402" i="12"/>
  <c r="J403" i="12"/>
  <c r="J404" i="12"/>
  <c r="J405" i="12"/>
  <c r="J406" i="12"/>
  <c r="J407" i="12"/>
  <c r="J408" i="12"/>
  <c r="J409" i="12"/>
  <c r="J410" i="12"/>
  <c r="J411" i="12"/>
  <c r="J412" i="12"/>
  <c r="J413" i="12"/>
  <c r="J414" i="12"/>
  <c r="J415" i="12"/>
  <c r="J416" i="12"/>
  <c r="J418" i="12"/>
  <c r="J419" i="12"/>
  <c r="J420" i="12"/>
  <c r="J422" i="12"/>
  <c r="J423" i="12"/>
  <c r="J425" i="12"/>
  <c r="J427" i="12"/>
  <c r="J429" i="12"/>
  <c r="J432" i="12"/>
  <c r="J433" i="12"/>
  <c r="K433" i="12" s="1"/>
  <c r="J470" i="12"/>
  <c r="J473" i="12"/>
  <c r="J528" i="12"/>
  <c r="J530" i="12"/>
  <c r="J535" i="12"/>
  <c r="J536" i="12"/>
  <c r="J537" i="12"/>
  <c r="J540" i="12"/>
  <c r="J541" i="12"/>
  <c r="J543" i="12"/>
  <c r="J547" i="12"/>
  <c r="J549" i="12"/>
  <c r="J550" i="12"/>
  <c r="J553" i="12"/>
  <c r="J554" i="12"/>
  <c r="J556" i="12"/>
  <c r="J557" i="12"/>
  <c r="J558" i="12"/>
  <c r="J559" i="12"/>
  <c r="J560" i="12"/>
  <c r="J561" i="12"/>
  <c r="J562" i="12"/>
  <c r="J566" i="12"/>
  <c r="J567" i="12"/>
  <c r="J570" i="12"/>
  <c r="J573" i="12"/>
  <c r="J574" i="12"/>
  <c r="J577" i="12"/>
  <c r="J579" i="12"/>
  <c r="J580" i="12"/>
  <c r="J582" i="12"/>
  <c r="J583" i="12"/>
  <c r="J584" i="12"/>
  <c r="J585" i="12"/>
  <c r="J586" i="12"/>
  <c r="J587" i="12"/>
  <c r="J588" i="12"/>
  <c r="H8" i="12"/>
  <c r="H9" i="12"/>
  <c r="H11" i="12"/>
  <c r="H13" i="12"/>
  <c r="H16" i="12"/>
  <c r="H17" i="12"/>
  <c r="H18" i="12"/>
  <c r="H19" i="12"/>
  <c r="H23" i="12"/>
  <c r="H28" i="12"/>
  <c r="H30" i="12"/>
  <c r="H32" i="12"/>
  <c r="H34" i="12"/>
  <c r="H36" i="12"/>
  <c r="H38" i="12"/>
  <c r="H39" i="12"/>
  <c r="H41" i="12"/>
  <c r="H44" i="12"/>
  <c r="H45" i="12"/>
  <c r="H46" i="12"/>
  <c r="H47" i="12"/>
  <c r="H48" i="12"/>
  <c r="H49" i="12"/>
  <c r="H50" i="12"/>
  <c r="H51" i="12"/>
  <c r="H52" i="12"/>
  <c r="H53" i="12"/>
  <c r="H54" i="12"/>
  <c r="H55" i="12"/>
  <c r="H59" i="12"/>
  <c r="H64" i="12"/>
  <c r="H66" i="12"/>
  <c r="H67" i="12"/>
  <c r="H75" i="12"/>
  <c r="H80" i="12"/>
  <c r="H82" i="12"/>
  <c r="H84" i="12"/>
  <c r="H86" i="12"/>
  <c r="H88" i="12"/>
  <c r="H89" i="12"/>
  <c r="H92" i="12"/>
  <c r="H94" i="12"/>
  <c r="H95" i="12"/>
  <c r="H97" i="12"/>
  <c r="H99" i="12"/>
  <c r="H104" i="12"/>
  <c r="H119" i="12"/>
  <c r="H120" i="12"/>
  <c r="H121" i="12"/>
  <c r="H122" i="12"/>
  <c r="H125" i="12"/>
  <c r="H126" i="12"/>
  <c r="H127" i="12"/>
  <c r="H128" i="12"/>
  <c r="H130" i="12"/>
  <c r="H131" i="12"/>
  <c r="H132" i="12"/>
  <c r="H133" i="12"/>
  <c r="H134" i="12"/>
  <c r="H140" i="12"/>
  <c r="H142" i="12"/>
  <c r="H144" i="12"/>
  <c r="H146" i="12"/>
  <c r="H147" i="12"/>
  <c r="H149" i="12"/>
  <c r="H151" i="12"/>
  <c r="H154" i="12"/>
  <c r="H155" i="12"/>
  <c r="H156" i="12"/>
  <c r="H157" i="12"/>
  <c r="H158" i="12"/>
  <c r="H159" i="12"/>
  <c r="H160" i="12"/>
  <c r="H161" i="12"/>
  <c r="H162" i="12"/>
  <c r="H163" i="12"/>
  <c r="H167" i="12"/>
  <c r="H172" i="12"/>
  <c r="H174" i="12"/>
  <c r="H176" i="12"/>
  <c r="H177" i="12"/>
  <c r="H179" i="12"/>
  <c r="H181" i="12"/>
  <c r="H184" i="12"/>
  <c r="H185" i="12"/>
  <c r="H186" i="12"/>
  <c r="H187" i="12"/>
  <c r="H188" i="12"/>
  <c r="H189" i="12"/>
  <c r="H190" i="12"/>
  <c r="H191" i="12"/>
  <c r="H192" i="12"/>
  <c r="H193" i="12"/>
  <c r="H204" i="12"/>
  <c r="H209" i="12"/>
  <c r="H210" i="12"/>
  <c r="H211" i="12"/>
  <c r="H212" i="12"/>
  <c r="H217" i="12"/>
  <c r="H218" i="12"/>
  <c r="H220" i="12"/>
  <c r="H221" i="12"/>
  <c r="H222" i="12"/>
  <c r="H223" i="12"/>
  <c r="H224" i="12"/>
  <c r="H226" i="12"/>
  <c r="H227" i="12"/>
  <c r="H232" i="12"/>
  <c r="H234" i="12"/>
  <c r="H236" i="12"/>
  <c r="H237" i="12"/>
  <c r="H239" i="12"/>
  <c r="H247" i="12"/>
  <c r="H248" i="12"/>
  <c r="H249" i="12"/>
  <c r="H251" i="12"/>
  <c r="H252" i="12"/>
  <c r="H253" i="12"/>
  <c r="H254" i="12"/>
  <c r="H255" i="12"/>
  <c r="H256" i="12"/>
  <c r="H263" i="12"/>
  <c r="H265" i="12"/>
  <c r="H268" i="12"/>
  <c r="H269" i="12"/>
  <c r="H271" i="12"/>
  <c r="H273" i="12"/>
  <c r="H275" i="12"/>
  <c r="H276" i="12"/>
  <c r="H277" i="12"/>
  <c r="H278" i="12"/>
  <c r="H281" i="12"/>
  <c r="H283" i="12"/>
  <c r="H284" i="12"/>
  <c r="H286" i="12"/>
  <c r="H287" i="12"/>
  <c r="H288" i="12"/>
  <c r="H289" i="12"/>
  <c r="H291" i="12"/>
  <c r="H295" i="12"/>
  <c r="H296" i="12"/>
  <c r="H300" i="12"/>
  <c r="H301" i="12"/>
  <c r="H304" i="12"/>
  <c r="H305" i="12"/>
  <c r="H306" i="12"/>
  <c r="H307" i="12"/>
  <c r="H313" i="12"/>
  <c r="H314" i="12"/>
  <c r="H316" i="12"/>
  <c r="H317" i="12"/>
  <c r="H319" i="12"/>
  <c r="H320" i="12"/>
  <c r="H323" i="12"/>
  <c r="H324" i="12"/>
  <c r="H328" i="12"/>
  <c r="H329" i="12"/>
  <c r="H334" i="12"/>
  <c r="H335" i="12"/>
  <c r="H337" i="12"/>
  <c r="H338" i="12"/>
  <c r="H342" i="12"/>
  <c r="H343" i="12"/>
  <c r="H348" i="12"/>
  <c r="H349" i="12"/>
  <c r="H350" i="12"/>
  <c r="H353" i="12"/>
  <c r="H356" i="12"/>
  <c r="H357" i="12"/>
  <c r="H360" i="12"/>
  <c r="H361" i="12"/>
  <c r="H365" i="12"/>
  <c r="H372" i="12"/>
  <c r="H374" i="12"/>
  <c r="H376" i="12"/>
  <c r="H378" i="12"/>
  <c r="H379" i="12"/>
  <c r="H381" i="12"/>
  <c r="H382" i="12"/>
  <c r="H385" i="12"/>
  <c r="H386" i="12"/>
  <c r="H388" i="12"/>
  <c r="H389" i="12"/>
  <c r="H392" i="12"/>
  <c r="H393" i="12"/>
  <c r="H394" i="12"/>
  <c r="H395" i="12"/>
  <c r="H398" i="12"/>
  <c r="H399" i="12"/>
  <c r="H400" i="12"/>
  <c r="H401" i="12"/>
  <c r="H402" i="12"/>
  <c r="H403" i="12"/>
  <c r="H404" i="12"/>
  <c r="H405" i="12"/>
  <c r="H406" i="12"/>
  <c r="H407" i="12"/>
  <c r="H408" i="12"/>
  <c r="H409" i="12"/>
  <c r="H410" i="12"/>
  <c r="H411" i="12"/>
  <c r="H412" i="12"/>
  <c r="H413" i="12"/>
  <c r="H414" i="12"/>
  <c r="H415" i="12"/>
  <c r="H416" i="12"/>
  <c r="H418" i="12"/>
  <c r="H419" i="12"/>
  <c r="H420" i="12"/>
  <c r="H422" i="12"/>
  <c r="H423" i="12"/>
  <c r="H425" i="12"/>
  <c r="H427" i="12"/>
  <c r="H429" i="12"/>
  <c r="H432" i="12"/>
  <c r="H433" i="12"/>
  <c r="H470" i="12"/>
  <c r="H473" i="12"/>
  <c r="H528" i="12"/>
  <c r="H530" i="12"/>
  <c r="H535" i="12"/>
  <c r="H536" i="12"/>
  <c r="H537" i="12"/>
  <c r="H540" i="12"/>
  <c r="H541" i="12"/>
  <c r="H543" i="12"/>
  <c r="H547" i="12"/>
  <c r="H549" i="12"/>
  <c r="H550" i="12"/>
  <c r="H553" i="12"/>
  <c r="H554" i="12"/>
  <c r="H556" i="12"/>
  <c r="H557" i="12"/>
  <c r="H558" i="12"/>
  <c r="H559" i="12"/>
  <c r="H560" i="12"/>
  <c r="H561" i="12"/>
  <c r="H562" i="12"/>
  <c r="H566" i="12"/>
  <c r="H567" i="12"/>
  <c r="H570" i="12"/>
  <c r="H573" i="12"/>
  <c r="H574" i="12"/>
  <c r="H577" i="12"/>
  <c r="H579" i="12"/>
  <c r="H580" i="12"/>
  <c r="H582" i="12"/>
  <c r="H583" i="12"/>
  <c r="H584" i="12"/>
  <c r="H585" i="12"/>
  <c r="H586" i="12"/>
  <c r="H587" i="12"/>
  <c r="H588" i="12"/>
  <c r="M2" i="12"/>
  <c r="O2" i="12"/>
  <c r="Q2" i="12"/>
  <c r="Q8" i="12"/>
  <c r="Q9" i="12"/>
  <c r="Q11" i="12"/>
  <c r="Q13" i="12"/>
  <c r="Q16" i="12"/>
  <c r="Q17" i="12"/>
  <c r="Q18" i="12"/>
  <c r="Q19" i="12"/>
  <c r="Q23" i="12"/>
  <c r="Q28" i="12"/>
  <c r="Q30" i="12"/>
  <c r="Q32" i="12"/>
  <c r="Q34" i="12"/>
  <c r="Q36" i="12"/>
  <c r="Q38" i="12"/>
  <c r="Q39" i="12"/>
  <c r="Q41" i="12"/>
  <c r="Q44" i="12"/>
  <c r="Q45" i="12"/>
  <c r="Q46" i="12"/>
  <c r="Q47" i="12"/>
  <c r="Q48" i="12"/>
  <c r="Q49" i="12"/>
  <c r="Q50" i="12"/>
  <c r="Q51" i="12"/>
  <c r="Q52" i="12"/>
  <c r="Q53" i="12"/>
  <c r="Q54" i="12"/>
  <c r="Q55" i="12"/>
  <c r="Q59" i="12"/>
  <c r="Q64" i="12"/>
  <c r="Q66" i="12"/>
  <c r="Q67" i="12"/>
  <c r="Q75" i="12"/>
  <c r="Q80" i="12"/>
  <c r="Q82" i="12"/>
  <c r="Q84" i="12"/>
  <c r="Q86" i="12"/>
  <c r="Q88" i="12"/>
  <c r="Q89" i="12"/>
  <c r="Q92" i="12"/>
  <c r="Q94" i="12"/>
  <c r="Q95" i="12"/>
  <c r="Q97" i="12"/>
  <c r="Q99" i="12"/>
  <c r="Q104" i="12"/>
  <c r="Q119" i="12"/>
  <c r="Q120" i="12"/>
  <c r="Q121" i="12"/>
  <c r="Q122" i="12"/>
  <c r="Q125" i="12"/>
  <c r="Q126" i="12"/>
  <c r="Q127" i="12"/>
  <c r="Q128" i="12"/>
  <c r="Q130" i="12"/>
  <c r="Q131" i="12"/>
  <c r="Q132" i="12"/>
  <c r="Q133" i="12"/>
  <c r="Q134" i="12"/>
  <c r="Q140" i="12"/>
  <c r="Q144" i="12"/>
  <c r="Q146" i="12"/>
  <c r="Q147" i="12"/>
  <c r="Q149" i="12"/>
  <c r="Q151" i="12"/>
  <c r="Q154" i="12"/>
  <c r="Q155" i="12"/>
  <c r="Q156" i="12"/>
  <c r="Q157" i="12"/>
  <c r="Q158" i="12"/>
  <c r="Q159" i="12"/>
  <c r="Q160" i="12"/>
  <c r="Q161" i="12"/>
  <c r="Q162" i="12"/>
  <c r="Q163" i="12"/>
  <c r="Q167" i="12"/>
  <c r="Q172" i="12"/>
  <c r="Q174" i="12"/>
  <c r="Q176" i="12"/>
  <c r="Q177" i="12"/>
  <c r="Q179" i="12"/>
  <c r="Q181" i="12"/>
  <c r="Q184" i="12"/>
  <c r="Q185" i="12"/>
  <c r="Q186" i="12"/>
  <c r="Q187" i="12"/>
  <c r="Q188" i="12"/>
  <c r="Q189" i="12"/>
  <c r="Q190" i="12"/>
  <c r="Q191" i="12"/>
  <c r="Q192" i="12"/>
  <c r="Q193" i="12"/>
  <c r="Q204" i="12"/>
  <c r="Q209" i="12"/>
  <c r="Q210" i="12"/>
  <c r="Q211" i="12"/>
  <c r="Q212" i="12"/>
  <c r="Q217" i="12"/>
  <c r="Q218" i="12"/>
  <c r="Q220" i="12"/>
  <c r="Q221" i="12"/>
  <c r="Q222" i="12"/>
  <c r="Q223" i="12"/>
  <c r="Q224" i="12"/>
  <c r="Q226" i="12"/>
  <c r="Q227" i="12"/>
  <c r="Q232" i="12"/>
  <c r="Q234" i="12"/>
  <c r="Q236" i="12"/>
  <c r="Q237" i="12"/>
  <c r="Q239" i="12"/>
  <c r="Q247" i="12"/>
  <c r="Q248" i="12"/>
  <c r="Q249" i="12"/>
  <c r="Q251" i="12"/>
  <c r="Q252" i="12"/>
  <c r="Q253" i="12"/>
  <c r="Q254" i="12"/>
  <c r="Q255" i="12"/>
  <c r="Q256" i="12"/>
  <c r="Q263" i="12"/>
  <c r="Q265" i="12"/>
  <c r="Q268" i="12"/>
  <c r="Q269" i="12"/>
  <c r="Q271" i="12"/>
  <c r="Q273" i="12"/>
  <c r="Q275" i="12"/>
  <c r="Q276" i="12"/>
  <c r="Q277" i="12"/>
  <c r="Q278" i="12"/>
  <c r="Q281" i="12"/>
  <c r="Q283" i="12"/>
  <c r="Q284" i="12"/>
  <c r="Q286" i="12"/>
  <c r="Q287" i="12"/>
  <c r="Q288" i="12"/>
  <c r="Q289" i="12"/>
  <c r="Q291" i="12"/>
  <c r="Q295" i="12"/>
  <c r="Q296" i="12"/>
  <c r="Q300" i="12"/>
  <c r="Q301" i="12"/>
  <c r="Q304" i="12"/>
  <c r="Q305" i="12"/>
  <c r="Q306" i="12"/>
  <c r="Q307" i="12"/>
  <c r="Q313" i="12"/>
  <c r="Q314" i="12"/>
  <c r="Q316" i="12"/>
  <c r="Q317" i="12"/>
  <c r="Q319" i="12"/>
  <c r="Q320" i="12"/>
  <c r="Q323" i="12"/>
  <c r="Q324" i="12"/>
  <c r="Q328" i="12"/>
  <c r="Q329" i="12"/>
  <c r="Q334" i="12"/>
  <c r="Q335" i="12"/>
  <c r="Q337" i="12"/>
  <c r="Q338" i="12"/>
  <c r="Q342" i="12"/>
  <c r="Q343" i="12"/>
  <c r="Q348" i="12"/>
  <c r="Q349" i="12"/>
  <c r="Q350" i="12"/>
  <c r="Q353" i="12"/>
  <c r="Q356" i="12"/>
  <c r="Q357" i="12"/>
  <c r="Q360" i="12"/>
  <c r="Q361" i="12"/>
  <c r="Q365" i="12"/>
  <c r="Q372" i="12"/>
  <c r="Q374" i="12"/>
  <c r="Q376" i="12"/>
  <c r="Q378" i="12"/>
  <c r="Q379" i="12"/>
  <c r="Q381" i="12"/>
  <c r="Q382" i="12"/>
  <c r="Q385" i="12"/>
  <c r="Q386" i="12"/>
  <c r="Q388" i="12"/>
  <c r="Q389" i="12"/>
  <c r="Q392" i="12"/>
  <c r="Q393" i="12"/>
  <c r="Q394" i="12"/>
  <c r="Q395" i="12"/>
  <c r="Q398" i="12"/>
  <c r="Q399" i="12"/>
  <c r="Q401" i="12"/>
  <c r="Q402" i="12"/>
  <c r="Q403" i="12"/>
  <c r="Q404" i="12"/>
  <c r="Q405" i="12"/>
  <c r="Q406" i="12"/>
  <c r="Q407" i="12"/>
  <c r="Q408" i="12"/>
  <c r="Q409" i="12"/>
  <c r="Q410" i="12"/>
  <c r="Q411" i="12"/>
  <c r="Q412" i="12"/>
  <c r="Q413" i="12"/>
  <c r="Q414" i="12"/>
  <c r="Q415" i="12"/>
  <c r="Q416" i="12"/>
  <c r="Q418" i="12"/>
  <c r="Q419" i="12"/>
  <c r="Q420" i="12"/>
  <c r="Q422" i="12"/>
  <c r="Q423" i="12"/>
  <c r="Q425" i="12"/>
  <c r="Q427" i="12"/>
  <c r="Q429" i="12"/>
  <c r="Q432" i="12"/>
  <c r="Q433" i="12"/>
  <c r="Q470" i="12"/>
  <c r="Q473" i="12"/>
  <c r="Q528" i="12"/>
  <c r="Q530" i="12"/>
  <c r="Q535" i="12"/>
  <c r="Q536" i="12"/>
  <c r="Q537" i="12"/>
  <c r="Q540" i="12"/>
  <c r="Q541" i="12"/>
  <c r="Q543" i="12"/>
  <c r="Q547" i="12"/>
  <c r="Q549" i="12"/>
  <c r="Q550" i="12"/>
  <c r="Q553" i="12"/>
  <c r="Q554" i="12"/>
  <c r="Q556" i="12"/>
  <c r="Q557" i="12"/>
  <c r="Q558" i="12"/>
  <c r="Q559" i="12"/>
  <c r="Q560" i="12"/>
  <c r="Q561" i="12"/>
  <c r="Q562" i="12"/>
  <c r="Q566" i="12"/>
  <c r="Q567" i="12"/>
  <c r="Q570" i="12"/>
  <c r="Q573" i="12"/>
  <c r="Q574" i="12"/>
  <c r="Q577" i="12"/>
  <c r="Q579" i="12"/>
  <c r="Q580" i="12"/>
  <c r="Q582" i="12"/>
  <c r="Q583" i="12"/>
  <c r="Q584" i="12"/>
  <c r="Q585" i="12"/>
  <c r="Q586" i="12"/>
  <c r="Q587" i="12"/>
  <c r="Q588" i="12"/>
  <c r="O8" i="12"/>
  <c r="O9" i="12"/>
  <c r="O11" i="12"/>
  <c r="P11" i="12" s="1"/>
  <c r="O13" i="12"/>
  <c r="O16" i="12"/>
  <c r="O17" i="12"/>
  <c r="O18" i="12"/>
  <c r="O19" i="12"/>
  <c r="O23" i="12"/>
  <c r="O28" i="12"/>
  <c r="O30" i="12"/>
  <c r="O32" i="12"/>
  <c r="O34" i="12"/>
  <c r="O36" i="12"/>
  <c r="O38" i="12"/>
  <c r="O39" i="12"/>
  <c r="O41" i="12"/>
  <c r="O44" i="12"/>
  <c r="O45" i="12"/>
  <c r="P45" i="12" s="1"/>
  <c r="O46" i="12"/>
  <c r="O47" i="12"/>
  <c r="O48" i="12"/>
  <c r="O49" i="12"/>
  <c r="O50" i="12"/>
  <c r="O51" i="12"/>
  <c r="O52" i="12"/>
  <c r="O53" i="12"/>
  <c r="O54" i="12"/>
  <c r="O55" i="12"/>
  <c r="O59" i="12"/>
  <c r="O64" i="12"/>
  <c r="O66" i="12"/>
  <c r="O67" i="12"/>
  <c r="O75" i="12"/>
  <c r="O80" i="12"/>
  <c r="P80" i="12" s="1"/>
  <c r="O82" i="12"/>
  <c r="O84" i="12"/>
  <c r="O86" i="12"/>
  <c r="O88" i="12"/>
  <c r="O89" i="12"/>
  <c r="O92" i="12"/>
  <c r="O94" i="12"/>
  <c r="O95" i="12"/>
  <c r="O97" i="12"/>
  <c r="O99" i="12"/>
  <c r="O104" i="12"/>
  <c r="O119" i="12"/>
  <c r="O120" i="12"/>
  <c r="O121" i="12"/>
  <c r="O122" i="12"/>
  <c r="O125" i="12"/>
  <c r="P125" i="12" s="1"/>
  <c r="O126" i="12"/>
  <c r="O127" i="12"/>
  <c r="O128" i="12"/>
  <c r="O130" i="12"/>
  <c r="O131" i="12"/>
  <c r="O132" i="12"/>
  <c r="O133" i="12"/>
  <c r="O134" i="12"/>
  <c r="O140" i="12"/>
  <c r="O144" i="12"/>
  <c r="O146" i="12"/>
  <c r="O147" i="12"/>
  <c r="O149" i="12"/>
  <c r="O151" i="12"/>
  <c r="O154" i="12"/>
  <c r="P154" i="12" s="1"/>
  <c r="O155" i="12"/>
  <c r="P155" i="12" s="1"/>
  <c r="O156" i="12"/>
  <c r="O157" i="12"/>
  <c r="O158" i="12"/>
  <c r="O159" i="12"/>
  <c r="O160" i="12"/>
  <c r="O161" i="12"/>
  <c r="O162" i="12"/>
  <c r="O163" i="12"/>
  <c r="O167" i="12"/>
  <c r="O172" i="12"/>
  <c r="O174" i="12"/>
  <c r="O176" i="12"/>
  <c r="O177" i="12"/>
  <c r="O179" i="12"/>
  <c r="O181" i="12"/>
  <c r="P181" i="12" s="1"/>
  <c r="O184" i="12"/>
  <c r="P184" i="12" s="1"/>
  <c r="O185" i="12"/>
  <c r="O186" i="12"/>
  <c r="O187" i="12"/>
  <c r="O188" i="12"/>
  <c r="O189" i="12"/>
  <c r="O190" i="12"/>
  <c r="O191" i="12"/>
  <c r="O192" i="12"/>
  <c r="O193" i="12"/>
  <c r="O204" i="12"/>
  <c r="O209" i="12"/>
  <c r="O210" i="12"/>
  <c r="O211" i="12"/>
  <c r="O212" i="12"/>
  <c r="O217" i="12"/>
  <c r="P217" i="12" s="1"/>
  <c r="O218" i="12"/>
  <c r="P218" i="12" s="1"/>
  <c r="O220" i="12"/>
  <c r="O221" i="12"/>
  <c r="O222" i="12"/>
  <c r="O223" i="12"/>
  <c r="O224" i="12"/>
  <c r="O226" i="12"/>
  <c r="O227" i="12"/>
  <c r="O232" i="12"/>
  <c r="O234" i="12"/>
  <c r="O236" i="12"/>
  <c r="O237" i="12"/>
  <c r="O239" i="12"/>
  <c r="O247" i="12"/>
  <c r="O248" i="12"/>
  <c r="O249" i="12"/>
  <c r="P249" i="12" s="1"/>
  <c r="O251" i="12"/>
  <c r="P251" i="12" s="1"/>
  <c r="O252" i="12"/>
  <c r="O253" i="12"/>
  <c r="O254" i="12"/>
  <c r="O255" i="12"/>
  <c r="O256" i="12"/>
  <c r="O263" i="12"/>
  <c r="O265" i="12"/>
  <c r="O268" i="12"/>
  <c r="O269" i="12"/>
  <c r="O271" i="12"/>
  <c r="O273" i="12"/>
  <c r="O275" i="12"/>
  <c r="O276" i="12"/>
  <c r="O277" i="12"/>
  <c r="O278" i="12"/>
  <c r="P278" i="12" s="1"/>
  <c r="O281" i="12"/>
  <c r="P281" i="12" s="1"/>
  <c r="O283" i="12"/>
  <c r="O284" i="12"/>
  <c r="O286" i="12"/>
  <c r="O287" i="12"/>
  <c r="O288" i="12"/>
  <c r="O289" i="12"/>
  <c r="O291" i="12"/>
  <c r="O295" i="12"/>
  <c r="O296" i="12"/>
  <c r="O300" i="12"/>
  <c r="O301" i="12"/>
  <c r="O304" i="12"/>
  <c r="O305" i="12"/>
  <c r="O306" i="12"/>
  <c r="O307" i="12"/>
  <c r="P307" i="12" s="1"/>
  <c r="O313" i="12"/>
  <c r="P313" i="12" s="1"/>
  <c r="O314" i="12"/>
  <c r="O316" i="12"/>
  <c r="O317" i="12"/>
  <c r="O319" i="12"/>
  <c r="O320" i="12"/>
  <c r="O323" i="12"/>
  <c r="O324" i="12"/>
  <c r="O328" i="12"/>
  <c r="O329" i="12"/>
  <c r="O334" i="12"/>
  <c r="O335" i="12"/>
  <c r="O337" i="12"/>
  <c r="O338" i="12"/>
  <c r="O342" i="12"/>
  <c r="O343" i="12"/>
  <c r="P343" i="12" s="1"/>
  <c r="O348" i="12"/>
  <c r="P348" i="12" s="1"/>
  <c r="O349" i="12"/>
  <c r="O350" i="12"/>
  <c r="O353" i="12"/>
  <c r="O356" i="12"/>
  <c r="O357" i="12"/>
  <c r="O360" i="12"/>
  <c r="O361" i="12"/>
  <c r="O365" i="12"/>
  <c r="O372" i="12"/>
  <c r="O374" i="12"/>
  <c r="O376" i="12"/>
  <c r="O378" i="12"/>
  <c r="O379" i="12"/>
  <c r="O381" i="12"/>
  <c r="O382" i="12"/>
  <c r="P382" i="12" s="1"/>
  <c r="O385" i="12"/>
  <c r="O386" i="12"/>
  <c r="O388" i="12"/>
  <c r="O389" i="12"/>
  <c r="O392" i="12"/>
  <c r="O393" i="12"/>
  <c r="O394" i="12"/>
  <c r="O395" i="12"/>
  <c r="O398" i="12"/>
  <c r="O399" i="12"/>
  <c r="O400" i="12"/>
  <c r="O401" i="12"/>
  <c r="O402" i="12"/>
  <c r="O403" i="12"/>
  <c r="O404" i="12"/>
  <c r="O405" i="12"/>
  <c r="P405" i="12" s="1"/>
  <c r="O406" i="12"/>
  <c r="P406" i="12" s="1"/>
  <c r="O407" i="12"/>
  <c r="O408" i="12"/>
  <c r="O409" i="12"/>
  <c r="O410" i="12"/>
  <c r="O411" i="12"/>
  <c r="O412" i="12"/>
  <c r="O413" i="12"/>
  <c r="O414" i="12"/>
  <c r="O415" i="12"/>
  <c r="O416" i="12"/>
  <c r="O418" i="12"/>
  <c r="O419" i="12"/>
  <c r="O420" i="12"/>
  <c r="O422" i="12"/>
  <c r="O423" i="12"/>
  <c r="P423" i="12" s="1"/>
  <c r="O425" i="12"/>
  <c r="P425" i="12" s="1"/>
  <c r="O427" i="12"/>
  <c r="O429" i="12"/>
  <c r="O432" i="12"/>
  <c r="O433" i="12"/>
  <c r="O470" i="12"/>
  <c r="O473" i="12"/>
  <c r="O528" i="12"/>
  <c r="O530" i="12"/>
  <c r="O535" i="12"/>
  <c r="O536" i="12"/>
  <c r="O537" i="12"/>
  <c r="O540" i="12"/>
  <c r="O541" i="12"/>
  <c r="O543" i="12"/>
  <c r="O547" i="12"/>
  <c r="P547" i="12" s="1"/>
  <c r="O549" i="12"/>
  <c r="P549" i="12" s="1"/>
  <c r="O550" i="12"/>
  <c r="O553" i="12"/>
  <c r="O554" i="12"/>
  <c r="O556" i="12"/>
  <c r="O557" i="12"/>
  <c r="O558" i="12"/>
  <c r="O559" i="12"/>
  <c r="O560" i="12"/>
  <c r="O561" i="12"/>
  <c r="O562" i="12"/>
  <c r="O566" i="12"/>
  <c r="O567" i="12"/>
  <c r="O570" i="12"/>
  <c r="O573" i="12"/>
  <c r="O574" i="12"/>
  <c r="P574" i="12" s="1"/>
  <c r="O577" i="12"/>
  <c r="O579" i="12"/>
  <c r="O580" i="12"/>
  <c r="O582" i="12"/>
  <c r="O583" i="12"/>
  <c r="O584" i="12"/>
  <c r="O585" i="12"/>
  <c r="O586" i="12"/>
  <c r="O587" i="12"/>
  <c r="O588" i="12"/>
  <c r="M8" i="12"/>
  <c r="M9" i="12"/>
  <c r="M11" i="12"/>
  <c r="M13" i="12"/>
  <c r="M16" i="12"/>
  <c r="M17" i="12"/>
  <c r="M18" i="12"/>
  <c r="M19" i="12"/>
  <c r="M23" i="12"/>
  <c r="M28" i="12"/>
  <c r="M30" i="12"/>
  <c r="M32" i="12"/>
  <c r="M34" i="12"/>
  <c r="M36" i="12"/>
  <c r="M38" i="12"/>
  <c r="M39" i="12"/>
  <c r="M41" i="12"/>
  <c r="M44" i="12"/>
  <c r="M45" i="12"/>
  <c r="M46" i="12"/>
  <c r="M47" i="12"/>
  <c r="M48" i="12"/>
  <c r="M49" i="12"/>
  <c r="M50" i="12"/>
  <c r="M51" i="12"/>
  <c r="M52" i="12"/>
  <c r="M53" i="12"/>
  <c r="M54" i="12"/>
  <c r="M55" i="12"/>
  <c r="M59" i="12"/>
  <c r="M64" i="12"/>
  <c r="M66" i="12"/>
  <c r="M67" i="12"/>
  <c r="M75" i="12"/>
  <c r="M80" i="12"/>
  <c r="M82" i="12"/>
  <c r="M84" i="12"/>
  <c r="M86" i="12"/>
  <c r="M88" i="12"/>
  <c r="M89" i="12"/>
  <c r="M92" i="12"/>
  <c r="M94" i="12"/>
  <c r="M95" i="12"/>
  <c r="M97" i="12"/>
  <c r="M99" i="12"/>
  <c r="M104" i="12"/>
  <c r="M119" i="12"/>
  <c r="M120" i="12"/>
  <c r="M121" i="12"/>
  <c r="M122" i="12"/>
  <c r="M125" i="12"/>
  <c r="M126" i="12"/>
  <c r="M127" i="12"/>
  <c r="M128" i="12"/>
  <c r="M130" i="12"/>
  <c r="M131" i="12"/>
  <c r="M132" i="12"/>
  <c r="M133" i="12"/>
  <c r="M134" i="12"/>
  <c r="M140" i="12"/>
  <c r="M142" i="12"/>
  <c r="M144" i="12"/>
  <c r="M146" i="12"/>
  <c r="M147" i="12"/>
  <c r="M149" i="12"/>
  <c r="M151" i="12"/>
  <c r="M154" i="12"/>
  <c r="M155" i="12"/>
  <c r="M156" i="12"/>
  <c r="M157" i="12"/>
  <c r="M158" i="12"/>
  <c r="M159" i="12"/>
  <c r="M160" i="12"/>
  <c r="M161" i="12"/>
  <c r="M162" i="12"/>
  <c r="M163" i="12"/>
  <c r="M167" i="12"/>
  <c r="M172" i="12"/>
  <c r="M174" i="12"/>
  <c r="M176" i="12"/>
  <c r="M177" i="12"/>
  <c r="M179" i="12"/>
  <c r="M181" i="12"/>
  <c r="M184" i="12"/>
  <c r="M185" i="12"/>
  <c r="M186" i="12"/>
  <c r="M187" i="12"/>
  <c r="M188" i="12"/>
  <c r="M189" i="12"/>
  <c r="M190" i="12"/>
  <c r="M191" i="12"/>
  <c r="M192" i="12"/>
  <c r="M193" i="12"/>
  <c r="M204" i="12"/>
  <c r="M209" i="12"/>
  <c r="M210" i="12"/>
  <c r="M211" i="12"/>
  <c r="M212" i="12"/>
  <c r="M217" i="12"/>
  <c r="M218" i="12"/>
  <c r="M220" i="12"/>
  <c r="M221" i="12"/>
  <c r="M222" i="12"/>
  <c r="M223" i="12"/>
  <c r="M224" i="12"/>
  <c r="M226" i="12"/>
  <c r="M227" i="12"/>
  <c r="M232" i="12"/>
  <c r="M234" i="12"/>
  <c r="M236" i="12"/>
  <c r="M237" i="12"/>
  <c r="M239" i="12"/>
  <c r="M247" i="12"/>
  <c r="M248" i="12"/>
  <c r="M249" i="12"/>
  <c r="M251" i="12"/>
  <c r="M252" i="12"/>
  <c r="M253" i="12"/>
  <c r="M254" i="12"/>
  <c r="M255" i="12"/>
  <c r="M256" i="12"/>
  <c r="M263" i="12"/>
  <c r="M265" i="12"/>
  <c r="M268" i="12"/>
  <c r="M269" i="12"/>
  <c r="M271" i="12"/>
  <c r="M273" i="12"/>
  <c r="M275" i="12"/>
  <c r="M276" i="12"/>
  <c r="M277" i="12"/>
  <c r="M278" i="12"/>
  <c r="M281" i="12"/>
  <c r="M283" i="12"/>
  <c r="M284" i="12"/>
  <c r="M286" i="12"/>
  <c r="M287" i="12"/>
  <c r="M288" i="12"/>
  <c r="M289" i="12"/>
  <c r="M291" i="12"/>
  <c r="M295" i="12"/>
  <c r="M296" i="12"/>
  <c r="M300" i="12"/>
  <c r="M301" i="12"/>
  <c r="M304" i="12"/>
  <c r="M305" i="12"/>
  <c r="M306" i="12"/>
  <c r="M307" i="12"/>
  <c r="M313" i="12"/>
  <c r="M314" i="12"/>
  <c r="M316" i="12"/>
  <c r="M317" i="12"/>
  <c r="M319" i="12"/>
  <c r="M320" i="12"/>
  <c r="M323" i="12"/>
  <c r="M324" i="12"/>
  <c r="M328" i="12"/>
  <c r="M329" i="12"/>
  <c r="M334" i="12"/>
  <c r="M335" i="12"/>
  <c r="M337" i="12"/>
  <c r="M338" i="12"/>
  <c r="M342" i="12"/>
  <c r="M343" i="12"/>
  <c r="M348" i="12"/>
  <c r="M349" i="12"/>
  <c r="M350" i="12"/>
  <c r="M353" i="12"/>
  <c r="M356" i="12"/>
  <c r="M357" i="12"/>
  <c r="M360" i="12"/>
  <c r="M361" i="12"/>
  <c r="M365" i="12"/>
  <c r="M372" i="12"/>
  <c r="M374" i="12"/>
  <c r="M376" i="12"/>
  <c r="M378" i="12"/>
  <c r="M379" i="12"/>
  <c r="M381" i="12"/>
  <c r="M382" i="12"/>
  <c r="M385" i="12"/>
  <c r="M386" i="12"/>
  <c r="M388" i="12"/>
  <c r="M389" i="12"/>
  <c r="M392" i="12"/>
  <c r="M393" i="12"/>
  <c r="M394" i="12"/>
  <c r="M395" i="12"/>
  <c r="M398" i="12"/>
  <c r="M399" i="12"/>
  <c r="M401" i="12"/>
  <c r="M402" i="12"/>
  <c r="M403" i="12"/>
  <c r="M404" i="12"/>
  <c r="M405" i="12"/>
  <c r="M406" i="12"/>
  <c r="M407" i="12"/>
  <c r="M408" i="12"/>
  <c r="M409" i="12"/>
  <c r="M410" i="12"/>
  <c r="M411" i="12"/>
  <c r="M412" i="12"/>
  <c r="M413" i="12"/>
  <c r="M414" i="12"/>
  <c r="M415" i="12"/>
  <c r="M416" i="12"/>
  <c r="M418" i="12"/>
  <c r="M419" i="12"/>
  <c r="M420" i="12"/>
  <c r="M422" i="12"/>
  <c r="M423" i="12"/>
  <c r="M425" i="12"/>
  <c r="M427" i="12"/>
  <c r="M429" i="12"/>
  <c r="M432" i="12"/>
  <c r="M433" i="12"/>
  <c r="M470" i="12"/>
  <c r="M473" i="12"/>
  <c r="M528" i="12"/>
  <c r="M530" i="12"/>
  <c r="M535" i="12"/>
  <c r="M536" i="12"/>
  <c r="M537" i="12"/>
  <c r="M540" i="12"/>
  <c r="M541" i="12"/>
  <c r="M543" i="12"/>
  <c r="M547" i="12"/>
  <c r="M549" i="12"/>
  <c r="M550" i="12"/>
  <c r="M553" i="12"/>
  <c r="M554" i="12"/>
  <c r="M556" i="12"/>
  <c r="M557" i="12"/>
  <c r="M558" i="12"/>
  <c r="M559" i="12"/>
  <c r="M560" i="12"/>
  <c r="M561" i="12"/>
  <c r="M562" i="12"/>
  <c r="M566" i="12"/>
  <c r="M567" i="12"/>
  <c r="M570" i="12"/>
  <c r="M573" i="12"/>
  <c r="M574" i="12"/>
  <c r="M577" i="12"/>
  <c r="M579" i="12"/>
  <c r="M580" i="12"/>
  <c r="M582" i="12"/>
  <c r="M583" i="12"/>
  <c r="M584" i="12"/>
  <c r="M585" i="12"/>
  <c r="M586" i="12"/>
  <c r="M587" i="12"/>
  <c r="M588" i="12"/>
  <c r="G433" i="12"/>
  <c r="G432" i="12"/>
  <c r="G429" i="12"/>
  <c r="G427" i="12"/>
  <c r="G425" i="12"/>
  <c r="G423" i="12"/>
  <c r="G422" i="12"/>
  <c r="G420" i="12"/>
  <c r="G419" i="12"/>
  <c r="G418" i="12"/>
  <c r="G8" i="12"/>
  <c r="G9" i="12"/>
  <c r="G11" i="12"/>
  <c r="G13" i="12"/>
  <c r="G16" i="12"/>
  <c r="G17" i="12"/>
  <c r="G18" i="12"/>
  <c r="G19" i="12"/>
  <c r="G23" i="12"/>
  <c r="G28" i="12"/>
  <c r="G30" i="12"/>
  <c r="G32" i="12"/>
  <c r="G34" i="12"/>
  <c r="G36" i="12"/>
  <c r="G38" i="12"/>
  <c r="G39" i="12"/>
  <c r="G41" i="12"/>
  <c r="G44" i="12"/>
  <c r="G45" i="12"/>
  <c r="G46" i="12"/>
  <c r="G47" i="12"/>
  <c r="G48" i="12"/>
  <c r="G49" i="12"/>
  <c r="G50" i="12"/>
  <c r="G51" i="12"/>
  <c r="G52" i="12"/>
  <c r="G53" i="12"/>
  <c r="G54" i="12"/>
  <c r="G55" i="12"/>
  <c r="G59" i="12"/>
  <c r="G64" i="12"/>
  <c r="G66" i="12"/>
  <c r="G67" i="12"/>
  <c r="G75" i="12"/>
  <c r="G80" i="12"/>
  <c r="G82" i="12"/>
  <c r="G84" i="12"/>
  <c r="G86" i="12"/>
  <c r="G88" i="12"/>
  <c r="G89" i="12"/>
  <c r="G92" i="12"/>
  <c r="G94" i="12"/>
  <c r="G95" i="12"/>
  <c r="G97" i="12"/>
  <c r="G99" i="12"/>
  <c r="G104" i="12"/>
  <c r="G119" i="12"/>
  <c r="G120" i="12"/>
  <c r="G121" i="12"/>
  <c r="G122" i="12"/>
  <c r="G125" i="12"/>
  <c r="G126" i="12"/>
  <c r="G127" i="12"/>
  <c r="G128" i="12"/>
  <c r="G130" i="12"/>
  <c r="G131" i="12"/>
  <c r="G132" i="12"/>
  <c r="G133" i="12"/>
  <c r="G140" i="12"/>
  <c r="G142" i="12"/>
  <c r="G144" i="12"/>
  <c r="G146" i="12"/>
  <c r="G147" i="12"/>
  <c r="G149" i="12"/>
  <c r="G151" i="12"/>
  <c r="G154" i="12"/>
  <c r="G155" i="12"/>
  <c r="G156" i="12"/>
  <c r="G157" i="12"/>
  <c r="G158" i="12"/>
  <c r="G159" i="12"/>
  <c r="G160" i="12"/>
  <c r="G161" i="12"/>
  <c r="G162" i="12"/>
  <c r="G163" i="12"/>
  <c r="G167" i="12"/>
  <c r="G172" i="12"/>
  <c r="G174" i="12"/>
  <c r="G176" i="12"/>
  <c r="G177" i="12"/>
  <c r="G179" i="12"/>
  <c r="G181" i="12"/>
  <c r="G184" i="12"/>
  <c r="G185" i="12"/>
  <c r="G186" i="12"/>
  <c r="G187" i="12"/>
  <c r="G188" i="12"/>
  <c r="G189" i="12"/>
  <c r="G190" i="12"/>
  <c r="G191" i="12"/>
  <c r="G192" i="12"/>
  <c r="G193" i="12"/>
  <c r="G204" i="12"/>
  <c r="G209" i="12"/>
  <c r="G210" i="12"/>
  <c r="G211" i="12"/>
  <c r="G212" i="12"/>
  <c r="G217" i="12"/>
  <c r="G218" i="12"/>
  <c r="G220" i="12"/>
  <c r="G221" i="12"/>
  <c r="G222" i="12"/>
  <c r="G223" i="12"/>
  <c r="G224" i="12"/>
  <c r="G226" i="12"/>
  <c r="G227" i="12"/>
  <c r="G232" i="12"/>
  <c r="G234" i="12"/>
  <c r="G236" i="12"/>
  <c r="G237" i="12"/>
  <c r="G239" i="12"/>
  <c r="G247" i="12"/>
  <c r="G248" i="12"/>
  <c r="G249" i="12"/>
  <c r="G251" i="12"/>
  <c r="G252" i="12"/>
  <c r="G253" i="12"/>
  <c r="G254" i="12"/>
  <c r="G255" i="12"/>
  <c r="G256" i="12"/>
  <c r="G263" i="12"/>
  <c r="G265" i="12"/>
  <c r="G268" i="12"/>
  <c r="G269" i="12"/>
  <c r="G271" i="12"/>
  <c r="G273" i="12"/>
  <c r="G275" i="12"/>
  <c r="G276" i="12"/>
  <c r="G277" i="12"/>
  <c r="G278" i="12"/>
  <c r="G281" i="12"/>
  <c r="G283" i="12"/>
  <c r="G284" i="12"/>
  <c r="G286" i="12"/>
  <c r="G287" i="12"/>
  <c r="G288" i="12"/>
  <c r="G289" i="12"/>
  <c r="G295" i="12"/>
  <c r="G296" i="12"/>
  <c r="G300" i="12"/>
  <c r="G301" i="12"/>
  <c r="G304" i="12"/>
  <c r="G305" i="12"/>
  <c r="G306" i="12"/>
  <c r="G307" i="12"/>
  <c r="G313" i="12"/>
  <c r="G314" i="12"/>
  <c r="G316" i="12"/>
  <c r="G317" i="12"/>
  <c r="G319" i="12"/>
  <c r="G320" i="12"/>
  <c r="G323" i="12"/>
  <c r="G324" i="12"/>
  <c r="G328" i="12"/>
  <c r="G329" i="12"/>
  <c r="G334" i="12"/>
  <c r="G335" i="12"/>
  <c r="G337" i="12"/>
  <c r="G338" i="12"/>
  <c r="G342" i="12"/>
  <c r="G343" i="12"/>
  <c r="G348" i="12"/>
  <c r="G349" i="12"/>
  <c r="G350" i="12"/>
  <c r="G353" i="12"/>
  <c r="G356" i="12"/>
  <c r="G357" i="12"/>
  <c r="G360" i="12"/>
  <c r="G361" i="12"/>
  <c r="G365" i="12"/>
  <c r="G372" i="12"/>
  <c r="G374" i="12"/>
  <c r="G376" i="12"/>
  <c r="G378" i="12"/>
  <c r="G379" i="12"/>
  <c r="G381" i="12"/>
  <c r="G382" i="12"/>
  <c r="G385" i="12"/>
  <c r="G386" i="12"/>
  <c r="G388" i="12"/>
  <c r="G389" i="12"/>
  <c r="G392" i="12"/>
  <c r="G393" i="12"/>
  <c r="G394" i="12"/>
  <c r="G395" i="12"/>
  <c r="G398" i="12"/>
  <c r="G399" i="12"/>
  <c r="G400" i="12"/>
  <c r="G401" i="12"/>
  <c r="G402" i="12"/>
  <c r="G403" i="12"/>
  <c r="G404" i="12"/>
  <c r="G405" i="12"/>
  <c r="G406" i="12"/>
  <c r="G407" i="12"/>
  <c r="G408" i="12"/>
  <c r="G409" i="12"/>
  <c r="G410" i="12"/>
  <c r="G411" i="12"/>
  <c r="G412" i="12"/>
  <c r="G413" i="12"/>
  <c r="G414" i="12"/>
  <c r="G415" i="12"/>
  <c r="G416" i="12"/>
  <c r="G470" i="12"/>
  <c r="G473" i="12"/>
  <c r="G528" i="12"/>
  <c r="G530" i="12"/>
  <c r="G535" i="12"/>
  <c r="G536" i="12"/>
  <c r="G537" i="12"/>
  <c r="G540" i="12"/>
  <c r="G541" i="12"/>
  <c r="G543" i="12"/>
  <c r="G547" i="12"/>
  <c r="G549" i="12"/>
  <c r="G550" i="12"/>
  <c r="G553" i="12"/>
  <c r="G554" i="12"/>
  <c r="G556" i="12"/>
  <c r="G557" i="12"/>
  <c r="G558" i="12"/>
  <c r="G559" i="12"/>
  <c r="G560" i="12"/>
  <c r="G561" i="12"/>
  <c r="G562" i="12"/>
  <c r="G566" i="12"/>
  <c r="G567" i="12"/>
  <c r="G570" i="12"/>
  <c r="G573" i="12"/>
  <c r="G574" i="12"/>
  <c r="G577" i="12"/>
  <c r="G579" i="12"/>
  <c r="G580" i="12"/>
  <c r="G582" i="12"/>
  <c r="G583" i="12"/>
  <c r="G584" i="12"/>
  <c r="G585" i="12"/>
  <c r="G586" i="12"/>
  <c r="G587" i="12"/>
  <c r="G588" i="12"/>
  <c r="D27" i="10"/>
  <c r="C29" i="10"/>
  <c r="K577" i="12" l="1"/>
  <c r="K385" i="12"/>
  <c r="K561" i="12"/>
  <c r="K305" i="12"/>
  <c r="K177" i="12"/>
  <c r="P131" i="12"/>
  <c r="P19" i="12"/>
  <c r="K337" i="12"/>
  <c r="P39" i="12"/>
  <c r="K353" i="12"/>
  <c r="K49" i="12"/>
  <c r="P104" i="12"/>
  <c r="P59" i="12"/>
  <c r="P36" i="12"/>
  <c r="K17" i="12"/>
  <c r="P536" i="12"/>
  <c r="P416" i="12"/>
  <c r="P374" i="12"/>
  <c r="P334" i="12"/>
  <c r="P300" i="12"/>
  <c r="P271" i="12"/>
  <c r="P236" i="12"/>
  <c r="P204" i="12"/>
  <c r="P172" i="12"/>
  <c r="P556" i="12"/>
  <c r="P410" i="12"/>
  <c r="P356" i="12"/>
  <c r="P319" i="12"/>
  <c r="P287" i="12"/>
  <c r="P255" i="12"/>
  <c r="P223" i="12"/>
  <c r="P188" i="12"/>
  <c r="P159" i="12"/>
  <c r="P88" i="12"/>
  <c r="K566" i="12"/>
  <c r="K537" i="12"/>
  <c r="K418" i="12"/>
  <c r="K401" i="12"/>
  <c r="K376" i="12"/>
  <c r="K335" i="12"/>
  <c r="K301" i="12"/>
  <c r="K273" i="12"/>
  <c r="K237" i="12"/>
  <c r="K209" i="12"/>
  <c r="K174" i="12"/>
  <c r="K146" i="12"/>
  <c r="K119" i="12"/>
  <c r="K64" i="12"/>
  <c r="K38" i="12"/>
  <c r="P582" i="12"/>
  <c r="P554" i="12"/>
  <c r="P432" i="12"/>
  <c r="P409" i="12"/>
  <c r="P389" i="12"/>
  <c r="P317" i="12"/>
  <c r="P286" i="12"/>
  <c r="P254" i="12"/>
  <c r="P222" i="12"/>
  <c r="P187" i="12"/>
  <c r="P158" i="12"/>
  <c r="P128" i="12"/>
  <c r="P86" i="12"/>
  <c r="P48" i="12"/>
  <c r="K562" i="12"/>
  <c r="K536" i="12"/>
  <c r="K416" i="12"/>
  <c r="K400" i="12"/>
  <c r="K374" i="12"/>
  <c r="K334" i="12"/>
  <c r="K300" i="12"/>
  <c r="K271" i="12"/>
  <c r="K236" i="12"/>
  <c r="K204" i="12"/>
  <c r="K172" i="12"/>
  <c r="K144" i="12"/>
  <c r="K104" i="12"/>
  <c r="K59" i="12"/>
  <c r="K36" i="12"/>
  <c r="P580" i="12"/>
  <c r="P553" i="12"/>
  <c r="P429" i="12"/>
  <c r="P408" i="12"/>
  <c r="P388" i="12"/>
  <c r="P350" i="12"/>
  <c r="P316" i="12"/>
  <c r="P284" i="12"/>
  <c r="P253" i="12"/>
  <c r="P221" i="12"/>
  <c r="P186" i="12"/>
  <c r="P157" i="12"/>
  <c r="P127" i="12"/>
  <c r="P84" i="12"/>
  <c r="P47" i="12"/>
  <c r="P16" i="12"/>
  <c r="K193" i="12"/>
  <c r="P579" i="12"/>
  <c r="P550" i="12"/>
  <c r="P427" i="12"/>
  <c r="P349" i="12"/>
  <c r="P314" i="12"/>
  <c r="P283" i="12"/>
  <c r="P252" i="12"/>
  <c r="P220" i="12"/>
  <c r="P185" i="12"/>
  <c r="P156" i="12"/>
  <c r="P126" i="12"/>
  <c r="P46" i="12"/>
  <c r="P13" i="12"/>
  <c r="K97" i="12"/>
  <c r="P144" i="12"/>
  <c r="K67" i="13"/>
  <c r="P67" i="13"/>
  <c r="P54" i="13"/>
  <c r="P36" i="13"/>
  <c r="P6" i="13"/>
  <c r="P24" i="13"/>
  <c r="P39" i="13"/>
  <c r="P23" i="13"/>
  <c r="G72" i="13"/>
  <c r="P52" i="13"/>
  <c r="K60" i="13"/>
  <c r="K44" i="13"/>
  <c r="K28" i="13"/>
  <c r="K12" i="13"/>
  <c r="P55" i="13"/>
  <c r="P66" i="13"/>
  <c r="P50" i="13"/>
  <c r="P34" i="13"/>
  <c r="K42" i="13"/>
  <c r="K26" i="13"/>
  <c r="K10" i="13"/>
  <c r="P65" i="13"/>
  <c r="P49" i="13"/>
  <c r="P33" i="13"/>
  <c r="P17" i="13"/>
  <c r="P64" i="13"/>
  <c r="P48" i="13"/>
  <c r="K24" i="13"/>
  <c r="K8" i="13"/>
  <c r="P63" i="13"/>
  <c r="P47" i="13"/>
  <c r="P31" i="13"/>
  <c r="P15" i="13"/>
  <c r="K71" i="13"/>
  <c r="K55" i="13"/>
  <c r="K39" i="13"/>
  <c r="K23" i="13"/>
  <c r="K7" i="13"/>
  <c r="P46" i="13"/>
  <c r="P30" i="13"/>
  <c r="K70" i="13"/>
  <c r="K54" i="13"/>
  <c r="K38" i="13"/>
  <c r="K22" i="13"/>
  <c r="K6" i="13"/>
  <c r="K64" i="13"/>
  <c r="K48" i="13"/>
  <c r="K32" i="13"/>
  <c r="K16" i="13"/>
  <c r="K69" i="13"/>
  <c r="K53" i="13"/>
  <c r="K37" i="13"/>
  <c r="K21" i="13"/>
  <c r="K5" i="13"/>
  <c r="P44" i="13"/>
  <c r="P28" i="13"/>
  <c r="K68" i="13"/>
  <c r="K52" i="13"/>
  <c r="K36" i="13"/>
  <c r="K20" i="13"/>
  <c r="K4" i="13"/>
  <c r="K72" i="13" s="1"/>
  <c r="P42" i="13"/>
  <c r="P57" i="13"/>
  <c r="P68" i="13"/>
  <c r="P62" i="13"/>
  <c r="P56" i="13"/>
  <c r="Q72" i="13"/>
  <c r="P7" i="13"/>
  <c r="P3" i="13"/>
  <c r="P61" i="13"/>
  <c r="P45" i="13"/>
  <c r="P29" i="13"/>
  <c r="P13" i="13"/>
  <c r="P69" i="13"/>
  <c r="P53" i="13"/>
  <c r="P37" i="13"/>
  <c r="P21" i="13"/>
  <c r="P5" i="13"/>
  <c r="K588" i="12"/>
  <c r="K535" i="12"/>
  <c r="K415" i="12"/>
  <c r="K399" i="12"/>
  <c r="K372" i="12"/>
  <c r="K329" i="12"/>
  <c r="K296" i="12"/>
  <c r="K269" i="12"/>
  <c r="K234" i="12"/>
  <c r="K167" i="12"/>
  <c r="K142" i="12"/>
  <c r="K99" i="12"/>
  <c r="K55" i="12"/>
  <c r="K34" i="12"/>
  <c r="P573" i="12"/>
  <c r="P543" i="12"/>
  <c r="P422" i="12"/>
  <c r="P404" i="12"/>
  <c r="P381" i="12"/>
  <c r="P342" i="12"/>
  <c r="P277" i="12"/>
  <c r="P248" i="12"/>
  <c r="P212" i="12"/>
  <c r="P179" i="12"/>
  <c r="P151" i="12"/>
  <c r="P122" i="12"/>
  <c r="P75" i="12"/>
  <c r="P44" i="12"/>
  <c r="P9" i="12"/>
  <c r="K587" i="12"/>
  <c r="K560" i="12"/>
  <c r="K530" i="12"/>
  <c r="K414" i="12"/>
  <c r="K398" i="12"/>
  <c r="K365" i="12"/>
  <c r="K328" i="12"/>
  <c r="K295" i="12"/>
  <c r="K268" i="12"/>
  <c r="K232" i="12"/>
  <c r="K192" i="12"/>
  <c r="K163" i="12"/>
  <c r="K140" i="12"/>
  <c r="K54" i="12"/>
  <c r="K32" i="12"/>
  <c r="P570" i="12"/>
  <c r="P541" i="12"/>
  <c r="P420" i="12"/>
  <c r="P403" i="12"/>
  <c r="P379" i="12"/>
  <c r="P276" i="12"/>
  <c r="P247" i="12"/>
  <c r="P211" i="12"/>
  <c r="P149" i="12"/>
  <c r="P121" i="12"/>
  <c r="P67" i="12"/>
  <c r="P41" i="12"/>
  <c r="P8" i="12"/>
  <c r="K586" i="12"/>
  <c r="K559" i="12"/>
  <c r="K528" i="12"/>
  <c r="K413" i="12"/>
  <c r="K395" i="12"/>
  <c r="K361" i="12"/>
  <c r="K324" i="12"/>
  <c r="K291" i="12"/>
  <c r="K265" i="12"/>
  <c r="K227" i="12"/>
  <c r="K191" i="12"/>
  <c r="K162" i="12"/>
  <c r="K134" i="12"/>
  <c r="K95" i="12"/>
  <c r="K53" i="12"/>
  <c r="K30" i="12"/>
  <c r="K585" i="12"/>
  <c r="K558" i="12"/>
  <c r="K473" i="12"/>
  <c r="K412" i="12"/>
  <c r="K394" i="12"/>
  <c r="K360" i="12"/>
  <c r="K323" i="12"/>
  <c r="K263" i="12"/>
  <c r="K226" i="12"/>
  <c r="K190" i="12"/>
  <c r="K133" i="12"/>
  <c r="K94" i="12"/>
  <c r="K52" i="12"/>
  <c r="K28" i="12"/>
  <c r="K584" i="12"/>
  <c r="K557" i="12"/>
  <c r="K470" i="12"/>
  <c r="K411" i="12"/>
  <c r="K393" i="12"/>
  <c r="K357" i="12"/>
  <c r="K320" i="12"/>
  <c r="K288" i="12"/>
  <c r="K256" i="12"/>
  <c r="K224" i="12"/>
  <c r="K189" i="12"/>
  <c r="K160" i="12"/>
  <c r="K132" i="12"/>
  <c r="K92" i="12"/>
  <c r="K51" i="12"/>
  <c r="K23" i="12"/>
  <c r="K583" i="12"/>
  <c r="K556" i="12"/>
  <c r="K410" i="12"/>
  <c r="K392" i="12"/>
  <c r="K356" i="12"/>
  <c r="K319" i="12"/>
  <c r="K287" i="12"/>
  <c r="K255" i="12"/>
  <c r="K223" i="12"/>
  <c r="K188" i="12"/>
  <c r="K159" i="12"/>
  <c r="K131" i="12"/>
  <c r="K89" i="12"/>
  <c r="K50" i="12"/>
  <c r="K19" i="12"/>
  <c r="K582" i="12"/>
  <c r="K554" i="12"/>
  <c r="K432" i="12"/>
  <c r="K409" i="12"/>
  <c r="K389" i="12"/>
  <c r="K317" i="12"/>
  <c r="K286" i="12"/>
  <c r="K254" i="12"/>
  <c r="K222" i="12"/>
  <c r="K187" i="12"/>
  <c r="K158" i="12"/>
  <c r="K130" i="12"/>
  <c r="K88" i="12"/>
  <c r="K18" i="12"/>
  <c r="K580" i="12"/>
  <c r="K553" i="12"/>
  <c r="K429" i="12"/>
  <c r="K408" i="12"/>
  <c r="K388" i="12"/>
  <c r="K350" i="12"/>
  <c r="K316" i="12"/>
  <c r="K284" i="12"/>
  <c r="K253" i="12"/>
  <c r="K221" i="12"/>
  <c r="K186" i="12"/>
  <c r="K157" i="12"/>
  <c r="K128" i="12"/>
  <c r="K86" i="12"/>
  <c r="K48" i="12"/>
  <c r="K579" i="12"/>
  <c r="K550" i="12"/>
  <c r="K427" i="12"/>
  <c r="K407" i="12"/>
  <c r="K386" i="12"/>
  <c r="K349" i="12"/>
  <c r="K314" i="12"/>
  <c r="K283" i="12"/>
  <c r="K252" i="12"/>
  <c r="K220" i="12"/>
  <c r="K185" i="12"/>
  <c r="K156" i="12"/>
  <c r="K127" i="12"/>
  <c r="K84" i="12"/>
  <c r="K47" i="12"/>
  <c r="K16" i="12"/>
  <c r="K549" i="12"/>
  <c r="K425" i="12"/>
  <c r="K406" i="12"/>
  <c r="K348" i="12"/>
  <c r="K313" i="12"/>
  <c r="K281" i="12"/>
  <c r="K251" i="12"/>
  <c r="K218" i="12"/>
  <c r="K184" i="12"/>
  <c r="K155" i="12"/>
  <c r="K126" i="12"/>
  <c r="K82" i="12"/>
  <c r="K46" i="12"/>
  <c r="K13" i="12"/>
  <c r="K574" i="12"/>
  <c r="K547" i="12"/>
  <c r="K423" i="12"/>
  <c r="K405" i="12"/>
  <c r="K382" i="12"/>
  <c r="K343" i="12"/>
  <c r="K307" i="12"/>
  <c r="K278" i="12"/>
  <c r="K249" i="12"/>
  <c r="K217" i="12"/>
  <c r="K181" i="12"/>
  <c r="K154" i="12"/>
  <c r="K125" i="12"/>
  <c r="K80" i="12"/>
  <c r="K45" i="12"/>
  <c r="K11" i="12"/>
  <c r="K573" i="12"/>
  <c r="K543" i="12"/>
  <c r="K422" i="12"/>
  <c r="K404" i="12"/>
  <c r="K381" i="12"/>
  <c r="K342" i="12"/>
  <c r="K306" i="12"/>
  <c r="K277" i="12"/>
  <c r="K248" i="12"/>
  <c r="K212" i="12"/>
  <c r="K179" i="12"/>
  <c r="K151" i="12"/>
  <c r="K122" i="12"/>
  <c r="K75" i="12"/>
  <c r="K44" i="12"/>
  <c r="K9" i="12"/>
  <c r="K570" i="12"/>
  <c r="K541" i="12"/>
  <c r="K420" i="12"/>
  <c r="K403" i="12"/>
  <c r="K379" i="12"/>
  <c r="K338" i="12"/>
  <c r="K276" i="12"/>
  <c r="K247" i="12"/>
  <c r="K211" i="12"/>
  <c r="K149" i="12"/>
  <c r="K121" i="12"/>
  <c r="K67" i="12"/>
  <c r="K41" i="12"/>
  <c r="K8" i="12"/>
  <c r="K567" i="12"/>
  <c r="K540" i="12"/>
  <c r="K419" i="12"/>
  <c r="K402" i="12"/>
  <c r="K378" i="12"/>
  <c r="K304" i="12"/>
  <c r="K275" i="12"/>
  <c r="K239" i="12"/>
  <c r="K210" i="12"/>
  <c r="K176" i="12"/>
  <c r="K147" i="12"/>
  <c r="K120" i="12"/>
  <c r="K66" i="12"/>
  <c r="K39" i="12"/>
  <c r="P588" i="12"/>
  <c r="P535" i="12"/>
  <c r="P415" i="12"/>
  <c r="P399" i="12"/>
  <c r="P372" i="12"/>
  <c r="P329" i="12"/>
  <c r="P296" i="12"/>
  <c r="P269" i="12"/>
  <c r="P234" i="12"/>
  <c r="P167" i="12"/>
  <c r="P142" i="12"/>
  <c r="P99" i="12"/>
  <c r="P55" i="12"/>
  <c r="P584" i="12"/>
  <c r="P23" i="12"/>
  <c r="P587" i="12"/>
  <c r="P560" i="12"/>
  <c r="P414" i="12"/>
  <c r="P398" i="12"/>
  <c r="P365" i="12"/>
  <c r="P328" i="12"/>
  <c r="P295" i="12"/>
  <c r="P268" i="12"/>
  <c r="P192" i="12"/>
  <c r="P163" i="12"/>
  <c r="P140" i="12"/>
  <c r="P54" i="12"/>
  <c r="P32" i="12"/>
  <c r="P361" i="12"/>
  <c r="P95" i="12"/>
  <c r="P585" i="12"/>
  <c r="P558" i="12"/>
  <c r="P473" i="12"/>
  <c r="P412" i="12"/>
  <c r="P394" i="12"/>
  <c r="P323" i="12"/>
  <c r="P263" i="12"/>
  <c r="P190" i="12"/>
  <c r="P133" i="12"/>
  <c r="P94" i="12"/>
  <c r="P52" i="12"/>
  <c r="P28" i="12"/>
  <c r="P395" i="12"/>
  <c r="P324" i="12"/>
  <c r="P265" i="12"/>
  <c r="P559" i="12"/>
  <c r="P134" i="12"/>
  <c r="P227" i="12"/>
  <c r="P586" i="12"/>
  <c r="P191" i="12"/>
  <c r="P2" i="12"/>
  <c r="P528" i="12"/>
  <c r="P53" i="12"/>
  <c r="P413" i="12"/>
  <c r="P291" i="12"/>
  <c r="P30" i="12"/>
  <c r="P89" i="12"/>
  <c r="P407" i="12"/>
  <c r="P392" i="12"/>
  <c r="P567" i="12"/>
  <c r="P402" i="12"/>
  <c r="P337" i="12"/>
  <c r="P210" i="12"/>
  <c r="P120" i="12"/>
  <c r="P66" i="12"/>
  <c r="O589" i="12"/>
  <c r="P418" i="12"/>
  <c r="P401" i="12"/>
  <c r="P376" i="12"/>
  <c r="P273" i="12"/>
  <c r="P209" i="12"/>
  <c r="P146" i="12"/>
  <c r="P119" i="12"/>
  <c r="P232" i="12"/>
  <c r="P583" i="12"/>
  <c r="P557" i="12"/>
  <c r="P470" i="12"/>
  <c r="P411" i="12"/>
  <c r="P393" i="12"/>
  <c r="P357" i="12"/>
  <c r="P320" i="12"/>
  <c r="P288" i="12"/>
  <c r="P256" i="12"/>
  <c r="P224" i="12"/>
  <c r="P189" i="12"/>
  <c r="P160" i="12"/>
  <c r="P132" i="12"/>
  <c r="P92" i="12"/>
  <c r="P51" i="12"/>
  <c r="P360" i="12"/>
  <c r="P562" i="12"/>
  <c r="P561" i="12"/>
  <c r="P193" i="12"/>
  <c r="P34" i="12"/>
  <c r="P530" i="12"/>
  <c r="P97" i="12"/>
  <c r="P540" i="12"/>
  <c r="P419" i="12"/>
  <c r="P378" i="12"/>
  <c r="P304" i="12"/>
  <c r="P275" i="12"/>
  <c r="P239" i="12"/>
  <c r="P176" i="12"/>
  <c r="P147" i="12"/>
  <c r="P162" i="12"/>
  <c r="P566" i="12"/>
  <c r="P537" i="12"/>
  <c r="P335" i="12"/>
  <c r="P301" i="12"/>
  <c r="P237" i="12"/>
  <c r="P174" i="12"/>
  <c r="P64" i="12"/>
  <c r="P38" i="12"/>
  <c r="P289" i="12"/>
  <c r="P226" i="12"/>
  <c r="P161" i="12"/>
  <c r="P433" i="12"/>
  <c r="P50" i="12"/>
  <c r="P353" i="12"/>
  <c r="P130" i="12"/>
  <c r="P49" i="12"/>
  <c r="P18" i="12"/>
  <c r="P17" i="12"/>
  <c r="P386" i="12"/>
  <c r="P577" i="12"/>
  <c r="P385" i="12"/>
  <c r="P82" i="12"/>
  <c r="P306" i="12"/>
  <c r="P338" i="12"/>
  <c r="P305" i="12"/>
  <c r="P177" i="12"/>
  <c r="G589" i="12"/>
  <c r="C16" i="10"/>
  <c r="K589" i="12" l="1"/>
  <c r="F43" i="3"/>
  <c r="P72" i="13"/>
  <c r="J20" i="3" l="1"/>
  <c r="J21" i="3"/>
  <c r="J29" i="3"/>
  <c r="J31" i="3"/>
  <c r="J32" i="3"/>
  <c r="J42" i="3"/>
  <c r="J45" i="3"/>
  <c r="J46" i="3"/>
  <c r="H50" i="3"/>
  <c r="G41" i="9" l="1"/>
  <c r="G37" i="9"/>
  <c r="G43" i="9" s="1"/>
  <c r="G25" i="9"/>
  <c r="F41" i="3" l="1"/>
  <c r="E41" i="3" s="1"/>
  <c r="L54" i="6"/>
  <c r="K54" i="6"/>
  <c r="J54" i="6"/>
  <c r="M54" i="6" s="1"/>
  <c r="G54" i="6"/>
  <c r="L53" i="6"/>
  <c r="K53" i="6"/>
  <c r="J53" i="6"/>
  <c r="M53" i="6" s="1"/>
  <c r="G53" i="6"/>
  <c r="L52" i="6"/>
  <c r="K52" i="6"/>
  <c r="J52" i="6"/>
  <c r="M52" i="6" s="1"/>
  <c r="G52" i="6"/>
  <c r="L51" i="6"/>
  <c r="K51" i="6"/>
  <c r="J51" i="6"/>
  <c r="M51" i="6" s="1"/>
  <c r="G51" i="6"/>
  <c r="L50" i="6"/>
  <c r="K50" i="6"/>
  <c r="J50" i="6"/>
  <c r="M50" i="6" s="1"/>
  <c r="G50" i="6"/>
  <c r="L49" i="6"/>
  <c r="K49" i="6"/>
  <c r="J49" i="6"/>
  <c r="M49" i="6" s="1"/>
  <c r="G49" i="6"/>
  <c r="L48" i="6"/>
  <c r="K48" i="6"/>
  <c r="J48" i="6"/>
  <c r="M48" i="6" s="1"/>
  <c r="G48" i="6"/>
  <c r="L47" i="6"/>
  <c r="K47" i="6"/>
  <c r="J47" i="6"/>
  <c r="M47" i="6" s="1"/>
  <c r="G47" i="6"/>
  <c r="L46" i="6"/>
  <c r="K46" i="6"/>
  <c r="J46" i="6"/>
  <c r="G46" i="6"/>
  <c r="L44" i="6"/>
  <c r="K44" i="6"/>
  <c r="J44" i="6"/>
  <c r="M44" i="6" s="1"/>
  <c r="F39" i="3" s="1"/>
  <c r="G44" i="6"/>
  <c r="L43" i="6"/>
  <c r="K43" i="6"/>
  <c r="J43" i="6"/>
  <c r="M43" i="6" s="1"/>
  <c r="F38" i="3" s="1"/>
  <c r="J38" i="3" s="1"/>
  <c r="G43" i="6"/>
  <c r="L42" i="6"/>
  <c r="K42" i="6"/>
  <c r="J42" i="6"/>
  <c r="M42" i="6" s="1"/>
  <c r="F37" i="3" s="1"/>
  <c r="J37" i="3" s="1"/>
  <c r="G42" i="6"/>
  <c r="L41" i="6"/>
  <c r="K41" i="6"/>
  <c r="J41" i="6"/>
  <c r="M41" i="6" s="1"/>
  <c r="G41" i="6"/>
  <c r="L40" i="6"/>
  <c r="K40" i="6"/>
  <c r="J40" i="6"/>
  <c r="M40" i="6" s="1"/>
  <c r="G40" i="6"/>
  <c r="L39" i="6"/>
  <c r="K39" i="6"/>
  <c r="J39" i="6"/>
  <c r="M39" i="6" s="1"/>
  <c r="G39" i="6"/>
  <c r="L38" i="6"/>
  <c r="K38" i="6"/>
  <c r="J38" i="6"/>
  <c r="M38" i="6" s="1"/>
  <c r="G38" i="6"/>
  <c r="L36" i="6"/>
  <c r="K36" i="6"/>
  <c r="J36" i="6"/>
  <c r="M36" i="6" s="1"/>
  <c r="G36" i="6"/>
  <c r="L35" i="6"/>
  <c r="K35" i="6"/>
  <c r="J35" i="6"/>
  <c r="M35" i="6" s="1"/>
  <c r="G35" i="6"/>
  <c r="L34" i="6"/>
  <c r="K34" i="6"/>
  <c r="J34" i="6"/>
  <c r="M34" i="6" s="1"/>
  <c r="G34" i="6"/>
  <c r="L33" i="6"/>
  <c r="K33" i="6"/>
  <c r="J33" i="6"/>
  <c r="M33" i="6" s="1"/>
  <c r="G33" i="6"/>
  <c r="L30" i="6"/>
  <c r="K30" i="6"/>
  <c r="J30" i="6"/>
  <c r="M30" i="6" s="1"/>
  <c r="G30" i="6"/>
  <c r="L29" i="6"/>
  <c r="K29" i="6"/>
  <c r="J29" i="6"/>
  <c r="M29" i="6" s="1"/>
  <c r="G29" i="6"/>
  <c r="L28" i="6"/>
  <c r="K28" i="6"/>
  <c r="J28" i="6"/>
  <c r="M28" i="6" s="1"/>
  <c r="G28" i="6"/>
  <c r="L27" i="6"/>
  <c r="K27" i="6"/>
  <c r="J27" i="6"/>
  <c r="M27" i="6" s="1"/>
  <c r="G27" i="6"/>
  <c r="L26" i="6"/>
  <c r="K26" i="6"/>
  <c r="J26" i="6"/>
  <c r="M26" i="6" s="1"/>
  <c r="G26" i="6"/>
  <c r="L25" i="6"/>
  <c r="K25" i="6"/>
  <c r="J25" i="6"/>
  <c r="M25" i="6" s="1"/>
  <c r="G25" i="6"/>
  <c r="L23" i="6"/>
  <c r="K23" i="6"/>
  <c r="J23" i="6"/>
  <c r="M23" i="6" s="1"/>
  <c r="G23" i="6"/>
  <c r="L22" i="6"/>
  <c r="K22" i="6"/>
  <c r="J22" i="6"/>
  <c r="M22" i="6" s="1"/>
  <c r="G22" i="6"/>
  <c r="L21" i="6"/>
  <c r="K21" i="6"/>
  <c r="J21" i="6"/>
  <c r="M21" i="6" s="1"/>
  <c r="G21" i="6"/>
  <c r="L20" i="6"/>
  <c r="K20" i="6"/>
  <c r="J20" i="6"/>
  <c r="M20" i="6" s="1"/>
  <c r="G20" i="6"/>
  <c r="L19" i="6"/>
  <c r="K19" i="6"/>
  <c r="J19" i="6"/>
  <c r="M19" i="6" s="1"/>
  <c r="G19" i="6"/>
  <c r="L18" i="6"/>
  <c r="K18" i="6"/>
  <c r="J18" i="6"/>
  <c r="M18" i="6" s="1"/>
  <c r="G18" i="6"/>
  <c r="L15" i="6"/>
  <c r="K15" i="6"/>
  <c r="J15" i="6"/>
  <c r="M15" i="6" s="1"/>
  <c r="G15" i="6"/>
  <c r="L14" i="6"/>
  <c r="K14" i="6"/>
  <c r="J14" i="6"/>
  <c r="M14" i="6" s="1"/>
  <c r="G14" i="6"/>
  <c r="L13" i="6"/>
  <c r="K13" i="6"/>
  <c r="J13" i="6"/>
  <c r="M13" i="6" s="1"/>
  <c r="G13" i="6"/>
  <c r="L11" i="6"/>
  <c r="K11" i="6"/>
  <c r="J11" i="6"/>
  <c r="M11" i="6" s="1"/>
  <c r="G11" i="6"/>
  <c r="L10" i="6"/>
  <c r="K10" i="6"/>
  <c r="J10" i="6"/>
  <c r="M10" i="6" s="1"/>
  <c r="G10" i="6"/>
  <c r="L9" i="6"/>
  <c r="K9" i="6"/>
  <c r="J9" i="6"/>
  <c r="M9" i="6" s="1"/>
  <c r="G9" i="6"/>
  <c r="L8" i="6"/>
  <c r="K8" i="6"/>
  <c r="J8" i="6"/>
  <c r="M8" i="6" s="1"/>
  <c r="G8" i="6"/>
  <c r="L7" i="6"/>
  <c r="K7" i="6"/>
  <c r="J7" i="6"/>
  <c r="M7" i="6" s="1"/>
  <c r="G7" i="6"/>
  <c r="L6" i="6"/>
  <c r="K6" i="6"/>
  <c r="J6" i="6"/>
  <c r="M6" i="6" s="1"/>
  <c r="G6" i="6"/>
  <c r="L5" i="6"/>
  <c r="K5" i="6"/>
  <c r="J5" i="6"/>
  <c r="M5" i="6" s="1"/>
  <c r="G5" i="6"/>
  <c r="M46" i="6" l="1"/>
  <c r="K4" i="6"/>
  <c r="M4" i="6"/>
  <c r="F33" i="3" s="1"/>
  <c r="J33" i="3" s="1"/>
  <c r="K12" i="6"/>
  <c r="J43" i="3"/>
  <c r="L31" i="6"/>
  <c r="L16" i="6"/>
  <c r="K16" i="6"/>
  <c r="G12" i="6"/>
  <c r="M12" i="6"/>
  <c r="F34" i="3" s="1"/>
  <c r="J34" i="3" s="1"/>
  <c r="M31" i="6"/>
  <c r="F36" i="3" s="1"/>
  <c r="J36" i="3" s="1"/>
  <c r="K45" i="6"/>
  <c r="G31" i="6"/>
  <c r="L45" i="6"/>
  <c r="L59" i="6" s="1"/>
  <c r="G4" i="6"/>
  <c r="L4" i="6"/>
  <c r="L12" i="6"/>
  <c r="G16" i="6"/>
  <c r="K31" i="6"/>
  <c r="G45" i="6"/>
  <c r="M45" i="6"/>
  <c r="M16" i="6"/>
  <c r="F35" i="3" s="1"/>
  <c r="J35" i="3" s="1"/>
  <c r="F40" i="3" l="1"/>
  <c r="E30" i="10" s="1"/>
  <c r="D30" i="10" s="1"/>
  <c r="M59" i="6"/>
  <c r="G59" i="6"/>
  <c r="M126" i="2" l="1"/>
  <c r="E42" i="3"/>
  <c r="E39" i="3"/>
  <c r="E38" i="3"/>
  <c r="E37" i="3"/>
  <c r="E36" i="3"/>
  <c r="E35" i="3"/>
  <c r="E43" i="3" l="1"/>
  <c r="L125" i="2" l="1"/>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J125" i="2"/>
  <c r="J123" i="2"/>
  <c r="J122" i="2"/>
  <c r="J121" i="2"/>
  <c r="J120" i="2"/>
  <c r="J119" i="2"/>
  <c r="J117" i="2"/>
  <c r="J116" i="2"/>
  <c r="J115" i="2"/>
  <c r="J114" i="2"/>
  <c r="J113" i="2"/>
  <c r="J112" i="2"/>
  <c r="J111" i="2"/>
  <c r="J110" i="2"/>
  <c r="J109" i="2"/>
  <c r="J107" i="2"/>
  <c r="J106" i="2"/>
  <c r="J105"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M196" i="1"/>
  <c r="M190" i="1"/>
  <c r="M188" i="1"/>
  <c r="M172" i="1"/>
  <c r="M164" i="1"/>
  <c r="M132" i="1"/>
  <c r="M126" i="1"/>
  <c r="M124" i="1"/>
  <c r="M6"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3" i="1"/>
  <c r="K21" i="1"/>
  <c r="K20" i="1"/>
  <c r="K19" i="1"/>
  <c r="K18" i="1"/>
  <c r="K17" i="1"/>
  <c r="K16" i="1"/>
  <c r="K15" i="1"/>
  <c r="K14" i="1"/>
  <c r="K13" i="1"/>
  <c r="K12" i="1"/>
  <c r="K11" i="1"/>
  <c r="K9" i="1"/>
  <c r="K7" i="1"/>
  <c r="K6" i="1"/>
  <c r="J21" i="1"/>
  <c r="M21" i="1" s="1"/>
  <c r="J20" i="1"/>
  <c r="M20" i="1" s="1"/>
  <c r="J5" i="1"/>
  <c r="J223" i="1"/>
  <c r="M223" i="1" s="1"/>
  <c r="J222" i="1"/>
  <c r="M222" i="1" s="1"/>
  <c r="J221" i="1"/>
  <c r="M221" i="1" s="1"/>
  <c r="J220" i="1"/>
  <c r="M220" i="1" s="1"/>
  <c r="J219" i="1"/>
  <c r="M219" i="1" s="1"/>
  <c r="J218" i="1"/>
  <c r="M218" i="1" s="1"/>
  <c r="J217" i="1"/>
  <c r="M217" i="1" s="1"/>
  <c r="J216" i="1"/>
  <c r="M216" i="1" s="1"/>
  <c r="J215" i="1"/>
  <c r="M215" i="1" s="1"/>
  <c r="J214" i="1"/>
  <c r="M214" i="1" s="1"/>
  <c r="J213" i="1"/>
  <c r="M213" i="1" s="1"/>
  <c r="J212" i="1"/>
  <c r="M212" i="1" s="1"/>
  <c r="J211" i="1"/>
  <c r="M211" i="1" s="1"/>
  <c r="J210" i="1"/>
  <c r="M210" i="1" s="1"/>
  <c r="J209" i="1"/>
  <c r="M209" i="1" s="1"/>
  <c r="J208" i="1"/>
  <c r="M208" i="1" s="1"/>
  <c r="J207" i="1"/>
  <c r="M207" i="1" s="1"/>
  <c r="J206" i="1"/>
  <c r="M206" i="1" s="1"/>
  <c r="J205" i="1"/>
  <c r="M205" i="1" s="1"/>
  <c r="J204" i="1"/>
  <c r="M204" i="1" s="1"/>
  <c r="J203" i="1"/>
  <c r="M203" i="1" s="1"/>
  <c r="J202" i="1"/>
  <c r="M202" i="1" s="1"/>
  <c r="J201" i="1"/>
  <c r="M201" i="1" s="1"/>
  <c r="J200" i="1"/>
  <c r="M200" i="1" s="1"/>
  <c r="J199" i="1"/>
  <c r="M199" i="1" s="1"/>
  <c r="J198" i="1"/>
  <c r="M198" i="1" s="1"/>
  <c r="J197" i="1"/>
  <c r="M197" i="1" s="1"/>
  <c r="J196" i="1"/>
  <c r="J195" i="1"/>
  <c r="M195" i="1" s="1"/>
  <c r="J194" i="1"/>
  <c r="M194" i="1" s="1"/>
  <c r="J193" i="1"/>
  <c r="M193" i="1" s="1"/>
  <c r="J192" i="1"/>
  <c r="M192" i="1" s="1"/>
  <c r="J191" i="1"/>
  <c r="M191" i="1" s="1"/>
  <c r="J190" i="1"/>
  <c r="J189" i="1"/>
  <c r="M189" i="1" s="1"/>
  <c r="J188" i="1"/>
  <c r="J187" i="1"/>
  <c r="M187" i="1" s="1"/>
  <c r="J186" i="1"/>
  <c r="M186" i="1" s="1"/>
  <c r="J185" i="1"/>
  <c r="M185" i="1" s="1"/>
  <c r="J184" i="1"/>
  <c r="M184" i="1" s="1"/>
  <c r="J183" i="1"/>
  <c r="M183" i="1" s="1"/>
  <c r="J182" i="1"/>
  <c r="M182" i="1" s="1"/>
  <c r="J181" i="1"/>
  <c r="M181" i="1" s="1"/>
  <c r="J180" i="1"/>
  <c r="M180" i="1" s="1"/>
  <c r="J179" i="1"/>
  <c r="M179" i="1" s="1"/>
  <c r="J178" i="1"/>
  <c r="M178" i="1" s="1"/>
  <c r="J177" i="1"/>
  <c r="M177" i="1" s="1"/>
  <c r="J176" i="1"/>
  <c r="M176" i="1" s="1"/>
  <c r="J175" i="1"/>
  <c r="M175" i="1" s="1"/>
  <c r="J174" i="1"/>
  <c r="M174" i="1" s="1"/>
  <c r="J173" i="1"/>
  <c r="M173" i="1" s="1"/>
  <c r="J172" i="1"/>
  <c r="J171" i="1"/>
  <c r="M171" i="1" s="1"/>
  <c r="J170" i="1"/>
  <c r="M170" i="1" s="1"/>
  <c r="J169" i="1"/>
  <c r="M169" i="1" s="1"/>
  <c r="J168" i="1"/>
  <c r="M168" i="1" s="1"/>
  <c r="J167" i="1"/>
  <c r="M167" i="1" s="1"/>
  <c r="J166" i="1"/>
  <c r="M166" i="1" s="1"/>
  <c r="J165" i="1"/>
  <c r="M165" i="1" s="1"/>
  <c r="J164" i="1"/>
  <c r="J163" i="1"/>
  <c r="M163" i="1" s="1"/>
  <c r="J162" i="1"/>
  <c r="M162" i="1" s="1"/>
  <c r="J161" i="1"/>
  <c r="M161" i="1" s="1"/>
  <c r="J160" i="1"/>
  <c r="M160" i="1" s="1"/>
  <c r="J159" i="1"/>
  <c r="M159" i="1" s="1"/>
  <c r="J158" i="1"/>
  <c r="M158" i="1" s="1"/>
  <c r="J157" i="1"/>
  <c r="M157" i="1" s="1"/>
  <c r="J156" i="1"/>
  <c r="M156" i="1" s="1"/>
  <c r="J155" i="1"/>
  <c r="M155" i="1" s="1"/>
  <c r="J154" i="1"/>
  <c r="M154" i="1" s="1"/>
  <c r="J153" i="1"/>
  <c r="M153" i="1" s="1"/>
  <c r="J152" i="1"/>
  <c r="M152" i="1" s="1"/>
  <c r="J151" i="1"/>
  <c r="M151" i="1" s="1"/>
  <c r="J150" i="1"/>
  <c r="M150" i="1" s="1"/>
  <c r="J149" i="1"/>
  <c r="M149" i="1" s="1"/>
  <c r="J148" i="1"/>
  <c r="M148" i="1" s="1"/>
  <c r="J147" i="1"/>
  <c r="M147" i="1" s="1"/>
  <c r="J146" i="1"/>
  <c r="M146" i="1" s="1"/>
  <c r="J145" i="1"/>
  <c r="M145" i="1" s="1"/>
  <c r="J144" i="1"/>
  <c r="M144" i="1" s="1"/>
  <c r="J143" i="1"/>
  <c r="M143" i="1" s="1"/>
  <c r="J142" i="1"/>
  <c r="M142" i="1" s="1"/>
  <c r="J141" i="1"/>
  <c r="M141" i="1" s="1"/>
  <c r="J140" i="1"/>
  <c r="M140" i="1" s="1"/>
  <c r="J139" i="1"/>
  <c r="M139" i="1" s="1"/>
  <c r="J138" i="1"/>
  <c r="M138" i="1" s="1"/>
  <c r="J137" i="1"/>
  <c r="M137" i="1" s="1"/>
  <c r="J136" i="1"/>
  <c r="M136" i="1" s="1"/>
  <c r="J135" i="1"/>
  <c r="M135" i="1" s="1"/>
  <c r="J134" i="1"/>
  <c r="M134" i="1" s="1"/>
  <c r="J133" i="1"/>
  <c r="M133" i="1" s="1"/>
  <c r="J132" i="1"/>
  <c r="J131" i="1"/>
  <c r="M131" i="1" s="1"/>
  <c r="J130" i="1"/>
  <c r="M130" i="1" s="1"/>
  <c r="J129" i="1"/>
  <c r="M129" i="1" s="1"/>
  <c r="J128" i="1"/>
  <c r="M128" i="1" s="1"/>
  <c r="J127" i="1"/>
  <c r="M127" i="1" s="1"/>
  <c r="J126" i="1"/>
  <c r="J125" i="1"/>
  <c r="M125" i="1" s="1"/>
  <c r="J124" i="1"/>
  <c r="J123" i="1"/>
  <c r="M123" i="1" s="1"/>
  <c r="J122" i="1"/>
  <c r="M122" i="1" s="1"/>
  <c r="J121" i="1"/>
  <c r="M121" i="1" s="1"/>
  <c r="J120" i="1"/>
  <c r="M120" i="1" s="1"/>
  <c r="J119" i="1"/>
  <c r="M119" i="1" s="1"/>
  <c r="J117" i="1"/>
  <c r="M117" i="1" s="1"/>
  <c r="J116" i="1"/>
  <c r="M116" i="1" s="1"/>
  <c r="J115" i="1"/>
  <c r="M115" i="1" s="1"/>
  <c r="J114" i="1"/>
  <c r="M114" i="1" s="1"/>
  <c r="J113" i="1"/>
  <c r="M113" i="1" s="1"/>
  <c r="J112" i="1"/>
  <c r="M112" i="1" s="1"/>
  <c r="J111" i="1"/>
  <c r="M111" i="1" s="1"/>
  <c r="J110" i="1"/>
  <c r="M110" i="1" s="1"/>
  <c r="J109" i="1"/>
  <c r="M109" i="1" s="1"/>
  <c r="J108" i="1"/>
  <c r="M108" i="1" s="1"/>
  <c r="J107" i="1"/>
  <c r="M107" i="1" s="1"/>
  <c r="J106" i="1"/>
  <c r="M106" i="1" s="1"/>
  <c r="J105" i="1"/>
  <c r="M105" i="1" s="1"/>
  <c r="J104" i="1"/>
  <c r="M104" i="1" s="1"/>
  <c r="J103" i="1"/>
  <c r="M103" i="1" s="1"/>
  <c r="J102" i="1"/>
  <c r="M102" i="1" s="1"/>
  <c r="J101" i="1"/>
  <c r="M101" i="1" s="1"/>
  <c r="J100" i="1"/>
  <c r="M100" i="1" s="1"/>
  <c r="J99" i="1"/>
  <c r="M99" i="1" s="1"/>
  <c r="J98" i="1"/>
  <c r="M98" i="1" s="1"/>
  <c r="J97" i="1"/>
  <c r="M97" i="1" s="1"/>
  <c r="J96" i="1"/>
  <c r="M96" i="1" s="1"/>
  <c r="J95" i="1"/>
  <c r="M95" i="1" s="1"/>
  <c r="J94" i="1"/>
  <c r="M94" i="1" s="1"/>
  <c r="J93" i="1"/>
  <c r="M93" i="1" s="1"/>
  <c r="J92" i="1"/>
  <c r="M92" i="1" s="1"/>
  <c r="J91" i="1"/>
  <c r="M91" i="1" s="1"/>
  <c r="J90" i="1"/>
  <c r="M90" i="1" s="1"/>
  <c r="J89" i="1"/>
  <c r="M89" i="1" s="1"/>
  <c r="J88" i="1"/>
  <c r="M88" i="1" s="1"/>
  <c r="J87" i="1"/>
  <c r="M87" i="1" s="1"/>
  <c r="J86" i="1"/>
  <c r="M86" i="1" s="1"/>
  <c r="J85" i="1"/>
  <c r="M85" i="1" s="1"/>
  <c r="J84" i="1"/>
  <c r="M84" i="1" s="1"/>
  <c r="J83" i="1"/>
  <c r="M83" i="1" s="1"/>
  <c r="J82" i="1"/>
  <c r="M82" i="1" s="1"/>
  <c r="J81" i="1"/>
  <c r="M81" i="1" s="1"/>
  <c r="J80" i="1"/>
  <c r="M80" i="1" s="1"/>
  <c r="J79" i="1"/>
  <c r="M79" i="1" s="1"/>
  <c r="J78" i="1"/>
  <c r="M78" i="1" s="1"/>
  <c r="J77" i="1"/>
  <c r="M77" i="1" s="1"/>
  <c r="J76" i="1"/>
  <c r="M76" i="1" s="1"/>
  <c r="J75" i="1"/>
  <c r="M75" i="1" s="1"/>
  <c r="J74" i="1"/>
  <c r="M74" i="1" s="1"/>
  <c r="J73" i="1"/>
  <c r="M73" i="1" s="1"/>
  <c r="J72" i="1"/>
  <c r="M72" i="1" s="1"/>
  <c r="J71" i="1"/>
  <c r="M71" i="1" s="1"/>
  <c r="J70" i="1"/>
  <c r="M70" i="1" s="1"/>
  <c r="J69" i="1"/>
  <c r="M69" i="1" s="1"/>
  <c r="J68" i="1"/>
  <c r="M68" i="1" s="1"/>
  <c r="J67" i="1"/>
  <c r="M67" i="1" s="1"/>
  <c r="J66" i="1"/>
  <c r="M66" i="1" s="1"/>
  <c r="J65" i="1"/>
  <c r="M65" i="1" s="1"/>
  <c r="J64" i="1"/>
  <c r="M64" i="1" s="1"/>
  <c r="J63" i="1"/>
  <c r="M63" i="1" s="1"/>
  <c r="J62" i="1"/>
  <c r="M62" i="1" s="1"/>
  <c r="J61" i="1"/>
  <c r="M61" i="1" s="1"/>
  <c r="J60" i="1"/>
  <c r="M60" i="1" s="1"/>
  <c r="J59" i="1"/>
  <c r="M59" i="1" s="1"/>
  <c r="J58" i="1"/>
  <c r="M58" i="1" s="1"/>
  <c r="J57" i="1"/>
  <c r="M57" i="1" s="1"/>
  <c r="J56" i="1"/>
  <c r="M56" i="1" s="1"/>
  <c r="J55" i="1"/>
  <c r="M55" i="1" s="1"/>
  <c r="J54" i="1"/>
  <c r="M54" i="1" s="1"/>
  <c r="J53" i="1"/>
  <c r="M53" i="1" s="1"/>
  <c r="J52" i="1"/>
  <c r="M52" i="1" s="1"/>
  <c r="J51" i="1"/>
  <c r="M51" i="1" s="1"/>
  <c r="J50" i="1"/>
  <c r="M50" i="1" s="1"/>
  <c r="J49" i="1"/>
  <c r="M49" i="1" s="1"/>
  <c r="J48" i="1"/>
  <c r="M48" i="1" s="1"/>
  <c r="J47" i="1"/>
  <c r="M47" i="1" s="1"/>
  <c r="J46" i="1"/>
  <c r="M46" i="1" s="1"/>
  <c r="J45" i="1"/>
  <c r="M45" i="1" s="1"/>
  <c r="J44" i="1"/>
  <c r="M44" i="1" s="1"/>
  <c r="J43" i="1"/>
  <c r="M43" i="1" s="1"/>
  <c r="J42" i="1"/>
  <c r="M42" i="1" s="1"/>
  <c r="J41" i="1"/>
  <c r="M41" i="1" s="1"/>
  <c r="J40" i="1"/>
  <c r="M40" i="1" s="1"/>
  <c r="J39" i="1"/>
  <c r="M39" i="1" s="1"/>
  <c r="J38" i="1"/>
  <c r="M38" i="1" s="1"/>
  <c r="J37" i="1"/>
  <c r="M37" i="1" s="1"/>
  <c r="J36" i="1"/>
  <c r="M36" i="1" s="1"/>
  <c r="J35" i="1"/>
  <c r="M35" i="1" s="1"/>
  <c r="J34" i="1"/>
  <c r="M34" i="1" s="1"/>
  <c r="J33" i="1"/>
  <c r="M33" i="1" s="1"/>
  <c r="J32" i="1"/>
  <c r="M32" i="1" s="1"/>
  <c r="J31" i="1"/>
  <c r="M31" i="1" s="1"/>
  <c r="J30" i="1"/>
  <c r="M30" i="1" s="1"/>
  <c r="J29" i="1"/>
  <c r="M29" i="1" s="1"/>
  <c r="J28" i="1"/>
  <c r="M28" i="1" s="1"/>
  <c r="J27" i="1"/>
  <c r="M27" i="1" s="1"/>
  <c r="J26" i="1"/>
  <c r="M26" i="1" s="1"/>
  <c r="J25" i="1"/>
  <c r="M25" i="1" s="1"/>
  <c r="J23" i="1"/>
  <c r="M23" i="1" s="1"/>
  <c r="J19" i="1"/>
  <c r="M19" i="1" s="1"/>
  <c r="J18" i="1"/>
  <c r="M18" i="1" s="1"/>
  <c r="J17" i="1"/>
  <c r="M17" i="1" s="1"/>
  <c r="J16" i="1"/>
  <c r="M16" i="1" s="1"/>
  <c r="J15" i="1"/>
  <c r="M15" i="1" s="1"/>
  <c r="J14" i="1"/>
  <c r="M14" i="1" s="1"/>
  <c r="J13" i="1"/>
  <c r="M13" i="1" s="1"/>
  <c r="J12" i="1"/>
  <c r="M12" i="1" s="1"/>
  <c r="J11" i="1"/>
  <c r="M11" i="1" s="1"/>
  <c r="J9" i="1"/>
  <c r="M9" i="1" s="1"/>
  <c r="J7" i="1"/>
  <c r="M7" i="1" s="1"/>
  <c r="J6" i="1"/>
  <c r="L2" i="1"/>
  <c r="L3" i="1"/>
  <c r="L4" i="1"/>
  <c r="J124" i="2" l="1"/>
  <c r="J118" i="2"/>
  <c r="J108" i="2"/>
  <c r="J104" i="2"/>
  <c r="K8" i="1" l="1"/>
  <c r="J8" i="1"/>
  <c r="M8" i="1" s="1"/>
  <c r="K24" i="1"/>
  <c r="J24" i="1"/>
  <c r="M24" i="1" s="1"/>
  <c r="J10" i="1"/>
  <c r="M10" i="1" s="1"/>
  <c r="K10" i="1"/>
  <c r="K22" i="1"/>
  <c r="J22" i="1"/>
  <c r="M22" i="1" s="1"/>
  <c r="E34" i="3"/>
  <c r="E33" i="3"/>
  <c r="C20" i="10" l="1"/>
  <c r="C22" i="10" s="1"/>
  <c r="C47" i="3"/>
  <c r="G93" i="5" l="1"/>
  <c r="H93" i="5" s="1"/>
  <c r="I93" i="5" s="1"/>
  <c r="G94" i="5"/>
  <c r="H94" i="5" s="1"/>
  <c r="I94" i="5" s="1"/>
  <c r="G97" i="5"/>
  <c r="H97" i="5" s="1"/>
  <c r="I97" i="5" s="1"/>
  <c r="G99" i="5"/>
  <c r="H99" i="5" s="1"/>
  <c r="I99" i="5" s="1"/>
  <c r="G100" i="5"/>
  <c r="H100" i="5" s="1"/>
  <c r="I100" i="5" s="1"/>
  <c r="G56" i="5"/>
  <c r="H56" i="5" s="1"/>
  <c r="I56" i="5" s="1"/>
  <c r="G57" i="5"/>
  <c r="H57" i="5" s="1"/>
  <c r="I57" i="5" s="1"/>
  <c r="G53" i="5"/>
  <c r="H53" i="5" s="1"/>
  <c r="I53" i="5" s="1"/>
  <c r="G6" i="5"/>
  <c r="H6" i="5" s="1"/>
  <c r="I6" i="5" s="1"/>
  <c r="G8" i="5"/>
  <c r="H8" i="5" s="1"/>
  <c r="I8" i="5" s="1"/>
  <c r="G9" i="5"/>
  <c r="H9" i="5" s="1"/>
  <c r="I9" i="5" s="1"/>
  <c r="G10" i="5"/>
  <c r="H10" i="5" s="1"/>
  <c r="I10" i="5" s="1"/>
  <c r="G12" i="5"/>
  <c r="H12" i="5" s="1"/>
  <c r="I12" i="5" s="1"/>
  <c r="G17" i="5"/>
  <c r="G18" i="5"/>
  <c r="G20" i="5"/>
  <c r="G22" i="5"/>
  <c r="G23" i="5"/>
  <c r="H23" i="5" s="1"/>
  <c r="I23" i="5" s="1"/>
  <c r="G24" i="5"/>
  <c r="G26" i="5"/>
  <c r="H26" i="5" s="1"/>
  <c r="I26" i="5" s="1"/>
  <c r="G54" i="5"/>
  <c r="H54" i="5" s="1"/>
  <c r="I54" i="5" s="1"/>
  <c r="G55" i="5"/>
  <c r="H55" i="5" s="1"/>
  <c r="I55" i="5" s="1"/>
  <c r="G58" i="5"/>
  <c r="H58" i="5" s="1"/>
  <c r="I58" i="5" s="1"/>
  <c r="G60" i="5"/>
  <c r="H60" i="5" s="1"/>
  <c r="I60" i="5" s="1"/>
  <c r="G72" i="5"/>
  <c r="H72" i="5" s="1"/>
  <c r="I72" i="5" s="1"/>
  <c r="G75" i="5"/>
  <c r="H75" i="5" s="1"/>
  <c r="I75" i="5" s="1"/>
  <c r="G86" i="5"/>
  <c r="G90" i="5"/>
  <c r="H90" i="5" s="1"/>
  <c r="I90" i="5" s="1"/>
  <c r="G98" i="5"/>
  <c r="H98" i="5" s="1"/>
  <c r="I98" i="5" s="1"/>
  <c r="G106" i="5"/>
  <c r="H106" i="5" s="1"/>
  <c r="I106" i="5" s="1"/>
  <c r="G109" i="5"/>
  <c r="G117" i="5"/>
  <c r="G125" i="5"/>
  <c r="G128" i="5"/>
  <c r="G129" i="5"/>
  <c r="H129" i="5" s="1"/>
  <c r="I129" i="5" s="1"/>
  <c r="G182" i="5"/>
  <c r="G187" i="5"/>
  <c r="H187" i="5" s="1"/>
  <c r="I187" i="5" s="1"/>
  <c r="G188" i="5"/>
  <c r="G206" i="5"/>
  <c r="H206" i="5" s="1"/>
  <c r="I206" i="5" s="1"/>
  <c r="G207" i="5"/>
  <c r="H207" i="5" s="1"/>
  <c r="I207" i="5" s="1"/>
  <c r="G208" i="5"/>
  <c r="H208" i="5" s="1"/>
  <c r="I208" i="5" s="1"/>
  <c r="G209" i="5"/>
  <c r="G210" i="5"/>
  <c r="G211" i="5"/>
  <c r="G212" i="5"/>
  <c r="H212" i="5" s="1"/>
  <c r="I212" i="5" s="1"/>
  <c r="G213" i="5"/>
  <c r="H213" i="5" s="1"/>
  <c r="I213" i="5" s="1"/>
  <c r="G214" i="5"/>
  <c r="H214" i="5" s="1"/>
  <c r="I214" i="5" s="1"/>
  <c r="G215" i="5"/>
  <c r="H215" i="5" s="1"/>
  <c r="I215" i="5" s="1"/>
  <c r="G216" i="5"/>
  <c r="H216" i="5" s="1"/>
  <c r="I216" i="5" s="1"/>
  <c r="G217" i="5"/>
  <c r="H217" i="5" s="1"/>
  <c r="I217" i="5" s="1"/>
  <c r="G218" i="5"/>
  <c r="H218" i="5" s="1"/>
  <c r="I218" i="5" s="1"/>
  <c r="G219" i="5"/>
  <c r="H219" i="5" s="1"/>
  <c r="I219" i="5" s="1"/>
  <c r="G220" i="5"/>
  <c r="H220" i="5" s="1"/>
  <c r="I220" i="5" s="1"/>
  <c r="G221" i="5"/>
  <c r="H18" i="5"/>
  <c r="I18" i="5" s="1"/>
  <c r="F98" i="5"/>
  <c r="F129" i="5"/>
  <c r="F182" i="5"/>
  <c r="F187" i="5"/>
  <c r="F188" i="5"/>
  <c r="F207" i="5"/>
  <c r="F208" i="5"/>
  <c r="F209" i="5"/>
  <c r="F211" i="5"/>
  <c r="F221" i="5"/>
  <c r="F90" i="5"/>
  <c r="H182" i="5"/>
  <c r="I182" i="5" s="1"/>
  <c r="I2" i="5"/>
  <c r="I3" i="5"/>
  <c r="I4" i="5"/>
  <c r="I7" i="5"/>
  <c r="I11" i="5"/>
  <c r="I13" i="5"/>
  <c r="I14" i="5"/>
  <c r="I15" i="5"/>
  <c r="I16" i="5"/>
  <c r="I19" i="5"/>
  <c r="I20" i="5"/>
  <c r="I21" i="5"/>
  <c r="I25" i="5"/>
  <c r="I27" i="5"/>
  <c r="I28" i="5"/>
  <c r="I29" i="5"/>
  <c r="I30" i="5"/>
  <c r="I31" i="5"/>
  <c r="I32" i="5"/>
  <c r="I33" i="5"/>
  <c r="I34" i="5"/>
  <c r="I35" i="5"/>
  <c r="I36" i="5"/>
  <c r="I37" i="5"/>
  <c r="I38" i="5"/>
  <c r="I39" i="5"/>
  <c r="I40" i="5"/>
  <c r="I41" i="5"/>
  <c r="I42" i="5"/>
  <c r="I43" i="5"/>
  <c r="I44" i="5"/>
  <c r="I45" i="5"/>
  <c r="I46" i="5"/>
  <c r="I47" i="5"/>
  <c r="I48" i="5"/>
  <c r="I49" i="5"/>
  <c r="I50" i="5"/>
  <c r="I51" i="5"/>
  <c r="I52" i="5"/>
  <c r="I59" i="5"/>
  <c r="I61" i="5"/>
  <c r="I62" i="5"/>
  <c r="I63" i="5"/>
  <c r="I64" i="5"/>
  <c r="I65" i="5"/>
  <c r="I66" i="5"/>
  <c r="I67" i="5"/>
  <c r="I68" i="5"/>
  <c r="I69" i="5"/>
  <c r="I70" i="5"/>
  <c r="I71" i="5"/>
  <c r="I73" i="5"/>
  <c r="I74" i="5"/>
  <c r="I76" i="5"/>
  <c r="I77" i="5"/>
  <c r="I78" i="5"/>
  <c r="I79" i="5"/>
  <c r="I80" i="5"/>
  <c r="I81" i="5"/>
  <c r="I82" i="5"/>
  <c r="I83" i="5"/>
  <c r="I84" i="5"/>
  <c r="I85" i="5"/>
  <c r="I86" i="5"/>
  <c r="I87" i="5"/>
  <c r="I88" i="5"/>
  <c r="I89" i="5"/>
  <c r="I91" i="5"/>
  <c r="I92" i="5"/>
  <c r="I95" i="5"/>
  <c r="I96" i="5"/>
  <c r="I101" i="5"/>
  <c r="I102" i="5"/>
  <c r="I103" i="5"/>
  <c r="I104" i="5"/>
  <c r="I105" i="5"/>
  <c r="I107" i="5"/>
  <c r="I108" i="5"/>
  <c r="I110" i="5"/>
  <c r="I111" i="5"/>
  <c r="I112" i="5"/>
  <c r="I113" i="5"/>
  <c r="I114" i="5"/>
  <c r="I115" i="5"/>
  <c r="I116" i="5"/>
  <c r="I117" i="5"/>
  <c r="I118" i="5"/>
  <c r="I119" i="5"/>
  <c r="I120" i="5"/>
  <c r="I121" i="5"/>
  <c r="I122" i="5"/>
  <c r="I123" i="5"/>
  <c r="I124" i="5"/>
  <c r="I126" i="5"/>
  <c r="I127"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3" i="5"/>
  <c r="I184" i="5"/>
  <c r="I185" i="5"/>
  <c r="I186" i="5"/>
  <c r="I189" i="5"/>
  <c r="I190" i="5"/>
  <c r="I191" i="5"/>
  <c r="I192" i="5"/>
  <c r="I193" i="5"/>
  <c r="I194" i="5"/>
  <c r="I195" i="5"/>
  <c r="I196" i="5"/>
  <c r="I197" i="5"/>
  <c r="I198" i="5"/>
  <c r="I199" i="5"/>
  <c r="I200" i="5"/>
  <c r="I201" i="5"/>
  <c r="I202" i="5"/>
  <c r="I203" i="5"/>
  <c r="I204" i="5"/>
  <c r="I205" i="5"/>
  <c r="I222" i="5"/>
  <c r="I223" i="5"/>
  <c r="I224" i="5"/>
  <c r="F225" i="5"/>
  <c r="F224" i="5"/>
  <c r="F54" i="5"/>
  <c r="F219" i="5"/>
  <c r="F218" i="5"/>
  <c r="F217" i="5"/>
  <c r="F216" i="5"/>
  <c r="F215" i="5"/>
  <c r="F214" i="5"/>
  <c r="F213" i="5"/>
  <c r="F212" i="5"/>
  <c r="F210" i="5"/>
  <c r="F206" i="5"/>
  <c r="F128" i="5"/>
  <c r="F125" i="5"/>
  <c r="F117" i="5"/>
  <c r="F109" i="5"/>
  <c r="F106" i="5"/>
  <c r="F86" i="5"/>
  <c r="F75" i="5"/>
  <c r="F72" i="5"/>
  <c r="F60" i="5"/>
  <c r="F58" i="5"/>
  <c r="F55" i="5"/>
  <c r="F26" i="5"/>
  <c r="F24" i="5"/>
  <c r="F23" i="5"/>
  <c r="F22" i="5"/>
  <c r="F20" i="5"/>
  <c r="F17" i="5"/>
  <c r="F12" i="5"/>
  <c r="F10" i="5"/>
  <c r="F9" i="5"/>
  <c r="F8" i="5"/>
  <c r="F6" i="5"/>
  <c r="F5" i="5"/>
  <c r="H209" i="5" l="1"/>
  <c r="I209" i="5" s="1"/>
  <c r="H211" i="5"/>
  <c r="I211" i="5" s="1"/>
  <c r="F18" i="5"/>
  <c r="H17" i="5"/>
  <c r="I17" i="5" s="1"/>
  <c r="H109" i="5"/>
  <c r="I109" i="5" s="1"/>
  <c r="F220" i="5"/>
  <c r="H22" i="5"/>
  <c r="I22" i="5" s="1"/>
  <c r="H128" i="5"/>
  <c r="I128" i="5" s="1"/>
  <c r="H210" i="5"/>
  <c r="I210" i="5" s="1"/>
  <c r="H188" i="5"/>
  <c r="I188" i="5" s="1"/>
  <c r="H221" i="5"/>
  <c r="I221" i="5" s="1"/>
  <c r="H125" i="5"/>
  <c r="I125" i="5" s="1"/>
  <c r="H24" i="5"/>
  <c r="I24" i="5" s="1"/>
  <c r="F226" i="5"/>
  <c r="K226" i="5"/>
  <c r="J226" i="5"/>
  <c r="C27" i="3" l="1"/>
  <c r="K127" i="2"/>
  <c r="M127" i="2"/>
  <c r="M2" i="2"/>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G225" i="5" s="1"/>
  <c r="H225" i="5" s="1"/>
  <c r="I225" i="5" s="1"/>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K2" i="2"/>
  <c r="K3" i="2"/>
  <c r="K4"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G123" i="2"/>
  <c r="G124" i="2"/>
  <c r="G122" i="2"/>
  <c r="G119" i="2"/>
  <c r="G118" i="2"/>
  <c r="G108" i="2"/>
  <c r="G109" i="2"/>
  <c r="G110" i="2"/>
  <c r="G111" i="2"/>
  <c r="G112" i="2"/>
  <c r="G113" i="2"/>
  <c r="G114" i="2"/>
  <c r="G107" i="2"/>
  <c r="G102" i="2"/>
  <c r="G103" i="2"/>
  <c r="G104" i="2"/>
  <c r="G101" i="2"/>
  <c r="G97" i="2"/>
  <c r="C24" i="3" s="1"/>
  <c r="G83" i="2"/>
  <c r="G84" i="2"/>
  <c r="G85" i="2"/>
  <c r="G86" i="2"/>
  <c r="G87" i="2"/>
  <c r="G88" i="2"/>
  <c r="G89" i="2"/>
  <c r="G90" i="2"/>
  <c r="G91" i="2"/>
  <c r="G92" i="2"/>
  <c r="G93" i="2"/>
  <c r="G82" i="2"/>
  <c r="G73" i="2"/>
  <c r="G74" i="2"/>
  <c r="G75" i="2"/>
  <c r="G76" i="2"/>
  <c r="G77" i="2"/>
  <c r="G78" i="2"/>
  <c r="G79" i="2"/>
  <c r="G72" i="2"/>
  <c r="G63" i="2"/>
  <c r="G64" i="2"/>
  <c r="G65" i="2"/>
  <c r="G66" i="2"/>
  <c r="G67" i="2"/>
  <c r="G68" i="2"/>
  <c r="G69" i="2"/>
  <c r="G62" i="2"/>
  <c r="G49" i="2"/>
  <c r="G50" i="2"/>
  <c r="G51" i="2"/>
  <c r="G52" i="2"/>
  <c r="G53" i="2"/>
  <c r="G54" i="2"/>
  <c r="G55" i="2"/>
  <c r="G56" i="2"/>
  <c r="G57" i="2"/>
  <c r="G58" i="2"/>
  <c r="G59" i="2"/>
  <c r="G48" i="2"/>
  <c r="G39" i="2"/>
  <c r="G40" i="2"/>
  <c r="G41" i="2"/>
  <c r="G42" i="2"/>
  <c r="G43" i="2"/>
  <c r="G44" i="2"/>
  <c r="G45" i="2"/>
  <c r="G38" i="2"/>
  <c r="G29" i="2"/>
  <c r="G30" i="2"/>
  <c r="G31" i="2"/>
  <c r="G32" i="2"/>
  <c r="G33" i="2"/>
  <c r="G34" i="2"/>
  <c r="G35" i="2"/>
  <c r="G28" i="2"/>
  <c r="G22" i="2"/>
  <c r="G23" i="2"/>
  <c r="G24" i="2"/>
  <c r="G25" i="2"/>
  <c r="G21" i="2"/>
  <c r="G10" i="2"/>
  <c r="G11" i="2"/>
  <c r="G12" i="2"/>
  <c r="G13" i="2"/>
  <c r="G14" i="2"/>
  <c r="G15" i="2"/>
  <c r="G16" i="2"/>
  <c r="G17" i="2"/>
  <c r="G18" i="2"/>
  <c r="G9" i="2"/>
  <c r="G6" i="2"/>
  <c r="G5" i="2"/>
  <c r="M2" i="1"/>
  <c r="M3" i="1"/>
  <c r="M4" i="1"/>
  <c r="K2" i="1"/>
  <c r="K3" i="1"/>
  <c r="K4" i="1"/>
  <c r="K5" i="1"/>
  <c r="F18" i="3" l="1"/>
  <c r="D18" i="3"/>
  <c r="D12" i="3"/>
  <c r="D11" i="3"/>
  <c r="F16" i="3"/>
  <c r="F13" i="3"/>
  <c r="E13" i="3" s="1"/>
  <c r="F10" i="3"/>
  <c r="F17" i="3"/>
  <c r="E17" i="3" s="1"/>
  <c r="F15" i="3"/>
  <c r="D16" i="3"/>
  <c r="D14" i="3"/>
  <c r="F12" i="3"/>
  <c r="E12" i="3" s="1"/>
  <c r="F11" i="3"/>
  <c r="E11" i="3" s="1"/>
  <c r="F9" i="3"/>
  <c r="E9" i="3" s="1"/>
  <c r="D10" i="3"/>
  <c r="D15" i="3"/>
  <c r="D8" i="3"/>
  <c r="D17" i="3"/>
  <c r="D13" i="3"/>
  <c r="D9" i="3"/>
  <c r="C22" i="3"/>
  <c r="D24" i="3"/>
  <c r="D25" i="3"/>
  <c r="D22" i="3"/>
  <c r="F23" i="3"/>
  <c r="C23" i="3"/>
  <c r="C25" i="3"/>
  <c r="F24" i="3"/>
  <c r="E24" i="3" s="1"/>
  <c r="D23" i="3"/>
  <c r="F26" i="3"/>
  <c r="E26" i="3" s="1"/>
  <c r="C26" i="3"/>
  <c r="F25" i="3"/>
  <c r="E25" i="3" s="1"/>
  <c r="F22" i="3"/>
  <c r="D26" i="3"/>
  <c r="G128" i="2"/>
  <c r="K128" i="2"/>
  <c r="L2" i="2"/>
  <c r="M128" i="2"/>
  <c r="K224" i="1"/>
  <c r="E22" i="3" l="1"/>
  <c r="E16" i="3"/>
  <c r="E15" i="3"/>
  <c r="E10" i="3"/>
  <c r="E18" i="3"/>
  <c r="F27" i="3"/>
  <c r="E27" i="3" s="1"/>
  <c r="E23" i="3"/>
  <c r="D19" i="3"/>
  <c r="C14" i="10" s="1"/>
  <c r="D28" i="3"/>
  <c r="C15" i="10" s="1"/>
  <c r="C28" i="3"/>
  <c r="L128" i="2"/>
  <c r="C18" i="10" l="1"/>
  <c r="C23" i="10" s="1"/>
  <c r="C24" i="10" s="1"/>
  <c r="C31" i="10" s="1"/>
  <c r="E28" i="3"/>
  <c r="D50" i="3"/>
  <c r="F28" i="3"/>
  <c r="G59" i="1"/>
  <c r="G32" i="1"/>
  <c r="G206" i="1"/>
  <c r="G207" i="1"/>
  <c r="G208" i="1"/>
  <c r="G209" i="1"/>
  <c r="G210" i="1"/>
  <c r="G211" i="1"/>
  <c r="G212" i="1"/>
  <c r="G213" i="1"/>
  <c r="G214" i="1"/>
  <c r="G215" i="1"/>
  <c r="G216" i="1"/>
  <c r="G217" i="1"/>
  <c r="G218" i="1"/>
  <c r="G219" i="1"/>
  <c r="G220" i="1"/>
  <c r="G221" i="1"/>
  <c r="G222" i="1"/>
  <c r="G223" i="1"/>
  <c r="G205" i="1"/>
  <c r="G203" i="1"/>
  <c r="G202" i="1"/>
  <c r="G198" i="1"/>
  <c r="G199" i="1"/>
  <c r="G200" i="1"/>
  <c r="G197" i="1"/>
  <c r="G195" i="1"/>
  <c r="G194" i="1"/>
  <c r="G192" i="1"/>
  <c r="G191" i="1"/>
  <c r="G188" i="1"/>
  <c r="G189" i="1"/>
  <c r="G187" i="1"/>
  <c r="G184" i="1"/>
  <c r="G182" i="1"/>
  <c r="G176" i="1"/>
  <c r="G177" i="1"/>
  <c r="G178" i="1"/>
  <c r="G179" i="1"/>
  <c r="G175" i="1"/>
  <c r="G172" i="1"/>
  <c r="G173" i="1"/>
  <c r="G171" i="1"/>
  <c r="G168" i="1"/>
  <c r="G169" i="1"/>
  <c r="G165" i="1"/>
  <c r="G157" i="1"/>
  <c r="G158" i="1"/>
  <c r="G159" i="1"/>
  <c r="G160" i="1"/>
  <c r="G156" i="1"/>
  <c r="G153" i="1"/>
  <c r="G154" i="1"/>
  <c r="G152" i="1"/>
  <c r="G150" i="1"/>
  <c r="G149" i="1"/>
  <c r="G146" i="1"/>
  <c r="G138" i="1"/>
  <c r="G139" i="1"/>
  <c r="G140" i="1"/>
  <c r="G141" i="1"/>
  <c r="G137" i="1"/>
  <c r="G135" i="1"/>
  <c r="G134" i="1"/>
  <c r="G132" i="1"/>
  <c r="G131" i="1"/>
  <c r="G129" i="1"/>
  <c r="G128" i="1"/>
  <c r="G125" i="1"/>
  <c r="G117" i="1"/>
  <c r="G118" i="1"/>
  <c r="G119" i="1"/>
  <c r="G120" i="1"/>
  <c r="G116" i="1"/>
  <c r="G113" i="1"/>
  <c r="G114" i="1"/>
  <c r="G112" i="1"/>
  <c r="G110" i="1"/>
  <c r="G109" i="1"/>
  <c r="G106" i="1"/>
  <c r="G98" i="1"/>
  <c r="G99" i="1"/>
  <c r="G100" i="1"/>
  <c r="G101" i="1"/>
  <c r="G97" i="1"/>
  <c r="G94" i="1"/>
  <c r="G95" i="1"/>
  <c r="G93" i="1"/>
  <c r="G91" i="1"/>
  <c r="G90" i="1"/>
  <c r="G86" i="1"/>
  <c r="G81" i="1"/>
  <c r="C12" i="3" s="1"/>
  <c r="G72" i="1"/>
  <c r="G73" i="1"/>
  <c r="G74" i="1"/>
  <c r="G75" i="1"/>
  <c r="G71" i="1"/>
  <c r="G63" i="1"/>
  <c r="G64" i="1"/>
  <c r="G65" i="1"/>
  <c r="G66" i="1"/>
  <c r="G67" i="1"/>
  <c r="G62" i="1"/>
  <c r="G54" i="1"/>
  <c r="G55" i="1"/>
  <c r="G56" i="1"/>
  <c r="G57" i="1"/>
  <c r="G58" i="1"/>
  <c r="G60" i="1"/>
  <c r="G53" i="1"/>
  <c r="G51" i="1"/>
  <c r="G49" i="1"/>
  <c r="G47" i="1"/>
  <c r="G46" i="1"/>
  <c r="G44" i="1"/>
  <c r="G43" i="1"/>
  <c r="G40" i="1"/>
  <c r="G38" i="1"/>
  <c r="G29" i="1"/>
  <c r="G30" i="1"/>
  <c r="G31" i="1"/>
  <c r="G33" i="1"/>
  <c r="G28" i="1"/>
  <c r="G26" i="1"/>
  <c r="G21" i="1"/>
  <c r="G22" i="1"/>
  <c r="G23" i="1"/>
  <c r="G24" i="1"/>
  <c r="G20" i="1"/>
  <c r="G18" i="1"/>
  <c r="G17" i="1"/>
  <c r="G12" i="1"/>
  <c r="G9" i="1"/>
  <c r="G10" i="1"/>
  <c r="G8" i="1"/>
  <c r="G6" i="1"/>
  <c r="J28" i="3" l="1"/>
  <c r="E15" i="10"/>
  <c r="C11" i="3"/>
  <c r="C15" i="3"/>
  <c r="C9" i="3"/>
  <c r="C13" i="3"/>
  <c r="C18" i="3"/>
  <c r="C16" i="3"/>
  <c r="C14" i="3"/>
  <c r="C10" i="3"/>
  <c r="C17" i="3"/>
  <c r="G5" i="1"/>
  <c r="L5" i="1"/>
  <c r="M5" i="1"/>
  <c r="D15" i="10" l="1"/>
  <c r="C8" i="3"/>
  <c r="C19" i="3" s="1"/>
  <c r="G224" i="1"/>
  <c r="G5" i="5"/>
  <c r="H5" i="5" s="1"/>
  <c r="I5" i="5" s="1"/>
  <c r="I226" i="5" s="1"/>
  <c r="F30" i="3" s="1"/>
  <c r="F8" i="3"/>
  <c r="E8" i="3" s="1"/>
  <c r="J30" i="3" l="1"/>
  <c r="E16" i="10"/>
  <c r="D16" i="10" s="1"/>
  <c r="I229" i="5"/>
  <c r="K228" i="5"/>
  <c r="E30" i="3"/>
  <c r="J118" i="1"/>
  <c r="M118" i="1" s="1"/>
  <c r="F14" i="3" l="1"/>
  <c r="M224" i="1"/>
  <c r="L224" i="1"/>
  <c r="F19" i="3" l="1"/>
  <c r="E14" i="10" s="1"/>
  <c r="D14" i="10" s="1"/>
  <c r="D18" i="10" s="1"/>
  <c r="E14" i="3"/>
  <c r="E19" i="3" s="1"/>
  <c r="P19" i="3" s="1"/>
  <c r="J19" i="3"/>
  <c r="K19" i="3" s="1"/>
  <c r="N19" i="3"/>
  <c r="E40" i="3"/>
  <c r="E18" i="10" l="1"/>
  <c r="D26" i="10"/>
  <c r="M400" i="12"/>
  <c r="Q400" i="12"/>
  <c r="P400" i="12" s="1"/>
  <c r="P589" i="12" s="1"/>
  <c r="Q589" i="12"/>
  <c r="F44" i="3" s="1"/>
  <c r="F47" i="3" l="1"/>
  <c r="E44" i="3"/>
  <c r="E47" i="3" s="1"/>
  <c r="E50" i="3" s="1"/>
  <c r="E29" i="10"/>
  <c r="D29" i="10" s="1"/>
  <c r="J44" i="3"/>
  <c r="F50" i="3" l="1"/>
  <c r="E20" i="10"/>
  <c r="E22" i="10" l="1"/>
  <c r="E23" i="10" s="1"/>
  <c r="D20" i="10"/>
  <c r="D22" i="10" s="1"/>
  <c r="E24" i="10" l="1"/>
  <c r="D24" i="10" s="1"/>
  <c r="D23" i="10"/>
  <c r="D31" i="10" l="1"/>
  <c r="E3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J8" authorId="0" shapeId="0" xr:uid="{44333077-9ADC-4D27-8851-D1C2508B1277}">
      <text>
        <r>
          <rPr>
            <b/>
            <sz val="9"/>
            <color indexed="81"/>
            <rFont val="Tahoma"/>
            <family val="2"/>
          </rPr>
          <t>Himal Kosala:</t>
        </r>
        <r>
          <rPr>
            <sz val="9"/>
            <color indexed="81"/>
            <rFont val="Tahoma"/>
            <family val="2"/>
          </rPr>
          <t xml:space="preserve">
only 95% done, 90% until total area WIR approval</t>
        </r>
      </text>
    </comment>
    <comment ref="I65" authorId="0" shapeId="0" xr:uid="{5908811A-FF4C-43D3-8FB0-CC41CA4C737C}">
      <text>
        <r>
          <rPr>
            <b/>
            <sz val="9"/>
            <color indexed="81"/>
            <rFont val="Tahoma"/>
            <family val="2"/>
          </rPr>
          <t>Himal Kosala:</t>
        </r>
        <r>
          <rPr>
            <sz val="9"/>
            <color indexed="81"/>
            <rFont val="Tahoma"/>
            <family val="2"/>
          </rPr>
          <t xml:space="preserve">
only 90%</t>
        </r>
      </text>
    </comment>
    <comment ref="I66" authorId="0" shapeId="0" xr:uid="{7680A787-0E5E-4E2D-9D9A-D54BC5EBE4FC}">
      <text>
        <r>
          <rPr>
            <b/>
            <sz val="9"/>
            <color indexed="81"/>
            <rFont val="Tahoma"/>
            <family val="2"/>
          </rPr>
          <t>Himal Kosala:</t>
        </r>
        <r>
          <rPr>
            <sz val="9"/>
            <color indexed="81"/>
            <rFont val="Tahoma"/>
            <family val="2"/>
          </rPr>
          <t xml:space="preserve">
only 90%</t>
        </r>
      </text>
    </comment>
    <comment ref="I150" authorId="0" shapeId="0" xr:uid="{4692D9CD-703B-4FA2-862A-F97A517F0965}">
      <text>
        <r>
          <rPr>
            <b/>
            <sz val="9"/>
            <color indexed="81"/>
            <rFont val="Tahoma"/>
            <family val="2"/>
          </rPr>
          <t>Himal Kosala:</t>
        </r>
        <r>
          <rPr>
            <sz val="9"/>
            <color indexed="81"/>
            <rFont val="Tahoma"/>
            <family val="2"/>
          </rPr>
          <t xml:space="preserve">
only 90%</t>
        </r>
      </text>
    </comment>
    <comment ref="I182" authorId="0" shapeId="0" xr:uid="{BF7E5CEE-634D-4EC7-8485-5CEA0B6A7A69}">
      <text>
        <r>
          <rPr>
            <b/>
            <sz val="9"/>
            <color indexed="81"/>
            <rFont val="Tahoma"/>
            <family val="2"/>
          </rPr>
          <t>Himal Kosala:</t>
        </r>
        <r>
          <rPr>
            <sz val="9"/>
            <color indexed="81"/>
            <rFont val="Tahoma"/>
            <family val="2"/>
          </rPr>
          <t xml:space="preserve">
No Supporting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5" authorId="0" shapeId="0" xr:uid="{AAC273BF-D770-45F1-BA57-836072AEA4E6}">
      <text>
        <r>
          <rPr>
            <b/>
            <sz val="9"/>
            <color indexed="81"/>
            <rFont val="Tahoma"/>
            <family val="2"/>
          </rPr>
          <t>Himal Kosala:</t>
        </r>
        <r>
          <rPr>
            <sz val="9"/>
            <color indexed="81"/>
            <rFont val="Tahoma"/>
            <family val="2"/>
          </rPr>
          <t xml:space="preserve">
80% only, no WIR, some of the areas incompleted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J46" authorId="0" shapeId="0" xr:uid="{E55D185C-DABB-4A58-892F-CD362306B88B}">
      <text>
        <r>
          <rPr>
            <b/>
            <sz val="9"/>
            <color indexed="81"/>
            <rFont val="Tahoma"/>
            <family val="2"/>
          </rPr>
          <t>Himal Kosala:</t>
        </r>
        <r>
          <rPr>
            <sz val="9"/>
            <color indexed="81"/>
            <rFont val="Tahoma"/>
            <family val="2"/>
          </rPr>
          <t xml:space="preserve">
80% only grouting not done and WIR not approved</t>
        </r>
      </text>
    </comment>
    <comment ref="I57" authorId="0" shapeId="0" xr:uid="{1CD59AC9-281C-4D68-AA07-861830A7DC28}">
      <text>
        <r>
          <rPr>
            <b/>
            <sz val="9"/>
            <color indexed="81"/>
            <rFont val="Tahoma"/>
            <family val="2"/>
          </rPr>
          <t>Himal Kosala:</t>
        </r>
        <r>
          <rPr>
            <sz val="9"/>
            <color indexed="81"/>
            <rFont val="Tahoma"/>
            <family val="2"/>
          </rPr>
          <t xml:space="preserve">
90% until WIR approval</t>
        </r>
      </text>
    </comment>
    <comment ref="I58" authorId="0" shapeId="0" xr:uid="{A283215E-D369-4B4A-A6D4-5B2EBDB0883F}">
      <text>
        <r>
          <rPr>
            <b/>
            <sz val="9"/>
            <color indexed="81"/>
            <rFont val="Tahoma"/>
            <family val="2"/>
          </rPr>
          <t>Himal Kosala:</t>
        </r>
        <r>
          <rPr>
            <sz val="9"/>
            <color indexed="81"/>
            <rFont val="Tahoma"/>
            <family val="2"/>
          </rPr>
          <t xml:space="preserve">
90% until WIR approval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M36" authorId="0" shapeId="0" xr:uid="{AAAFF8F2-C5D3-4A3F-8107-5AF98D07B9BB}">
      <text>
        <r>
          <rPr>
            <b/>
            <sz val="9"/>
            <color indexed="81"/>
            <rFont val="Tahoma"/>
            <family val="2"/>
          </rPr>
          <t>Himal Kosala:</t>
        </r>
        <r>
          <rPr>
            <sz val="9"/>
            <color indexed="81"/>
            <rFont val="Tahoma"/>
            <family val="2"/>
          </rPr>
          <t xml:space="preserve">
No supporting</t>
        </r>
      </text>
    </comment>
    <comment ref="M52" authorId="0" shapeId="0" xr:uid="{56E82DCC-0FCF-44CB-9A03-D3AD3B773A5B}">
      <text>
        <r>
          <rPr>
            <b/>
            <sz val="9"/>
            <color indexed="81"/>
            <rFont val="Tahoma"/>
            <family val="2"/>
          </rPr>
          <t>Himal Kosala:</t>
        </r>
        <r>
          <rPr>
            <sz val="9"/>
            <color indexed="81"/>
            <rFont val="Tahoma"/>
            <family val="2"/>
          </rPr>
          <t xml:space="preserve">
No supporting</t>
        </r>
      </text>
    </comment>
    <comment ref="M53" authorId="0" shapeId="0" xr:uid="{EE8E43D1-764E-4308-8DA1-38B85100386C}">
      <text>
        <r>
          <rPr>
            <b/>
            <sz val="9"/>
            <color indexed="81"/>
            <rFont val="Tahoma"/>
            <family val="2"/>
          </rPr>
          <t>Himal Kosala:</t>
        </r>
        <r>
          <rPr>
            <sz val="9"/>
            <color indexed="81"/>
            <rFont val="Tahoma"/>
            <family val="2"/>
          </rPr>
          <t xml:space="preserve">
No supporting</t>
        </r>
      </text>
    </comment>
    <comment ref="M54" authorId="0" shapeId="0" xr:uid="{7922BB18-1C27-49C7-B607-97910F8839C7}">
      <text>
        <r>
          <rPr>
            <b/>
            <sz val="9"/>
            <color indexed="81"/>
            <rFont val="Tahoma"/>
            <family val="2"/>
          </rPr>
          <t>Himal Kosala:</t>
        </r>
        <r>
          <rPr>
            <sz val="9"/>
            <color indexed="81"/>
            <rFont val="Tahoma"/>
            <family val="2"/>
          </rPr>
          <t xml:space="preserve">
No supporting</t>
        </r>
      </text>
    </comment>
    <comment ref="M55" authorId="0" shapeId="0" xr:uid="{579A5853-326C-403B-9818-51593D83CF0B}">
      <text>
        <r>
          <rPr>
            <b/>
            <sz val="9"/>
            <color indexed="81"/>
            <rFont val="Tahoma"/>
            <family val="2"/>
          </rPr>
          <t>Himal Kosala:</t>
        </r>
        <r>
          <rPr>
            <sz val="9"/>
            <color indexed="81"/>
            <rFont val="Tahoma"/>
            <family val="2"/>
          </rPr>
          <t xml:space="preserve">
No supporting</t>
        </r>
      </text>
    </comment>
    <comment ref="M57" authorId="0" shapeId="0" xr:uid="{58F37B28-8487-4354-B4F5-19220524503A}">
      <text>
        <r>
          <rPr>
            <b/>
            <sz val="9"/>
            <color indexed="81"/>
            <rFont val="Tahoma"/>
            <family val="2"/>
          </rPr>
          <t>Himal Kosala:</t>
        </r>
        <r>
          <rPr>
            <sz val="9"/>
            <color indexed="81"/>
            <rFont val="Tahoma"/>
            <family val="2"/>
          </rPr>
          <t xml:space="preserve">
No supporting</t>
        </r>
      </text>
    </comment>
    <comment ref="M60" authorId="0" shapeId="0" xr:uid="{E889187F-F92F-4118-B9BD-16D37A9F5C9B}">
      <text>
        <r>
          <rPr>
            <b/>
            <sz val="9"/>
            <color indexed="81"/>
            <rFont val="Tahoma"/>
            <family val="2"/>
          </rPr>
          <t>Himal Kosala:</t>
        </r>
        <r>
          <rPr>
            <sz val="9"/>
            <color indexed="81"/>
            <rFont val="Tahoma"/>
            <family val="2"/>
          </rPr>
          <t xml:space="preserve">
No supporting</t>
        </r>
      </text>
    </comment>
    <comment ref="M61" authorId="0" shapeId="0" xr:uid="{AF58DD06-03B0-486D-8A83-ED12C8898D87}">
      <text>
        <r>
          <rPr>
            <b/>
            <sz val="9"/>
            <color indexed="81"/>
            <rFont val="Tahoma"/>
            <family val="2"/>
          </rPr>
          <t>Himal Kosala:</t>
        </r>
        <r>
          <rPr>
            <sz val="9"/>
            <color indexed="81"/>
            <rFont val="Tahoma"/>
            <family val="2"/>
          </rPr>
          <t xml:space="preserve">
No supporting</t>
        </r>
      </text>
    </comment>
    <comment ref="M63" authorId="0" shapeId="0" xr:uid="{C3A53052-F3D0-455E-8107-4FE5806E3C3C}">
      <text>
        <r>
          <rPr>
            <b/>
            <sz val="9"/>
            <color indexed="81"/>
            <rFont val="Tahoma"/>
            <family val="2"/>
          </rPr>
          <t>Himal Kosala:</t>
        </r>
        <r>
          <rPr>
            <sz val="9"/>
            <color indexed="81"/>
            <rFont val="Tahoma"/>
            <family val="2"/>
          </rPr>
          <t xml:space="preserve">
No supporting</t>
        </r>
      </text>
    </comment>
    <comment ref="M66" authorId="0" shapeId="0" xr:uid="{0F330B6E-5B9D-46DE-9A8D-A6876B5CF231}">
      <text>
        <r>
          <rPr>
            <b/>
            <sz val="9"/>
            <color indexed="81"/>
            <rFont val="Tahoma"/>
            <family val="2"/>
          </rPr>
          <t>Himal Kosala:</t>
        </r>
        <r>
          <rPr>
            <sz val="9"/>
            <color indexed="81"/>
            <rFont val="Tahoma"/>
            <family val="2"/>
          </rPr>
          <t xml:space="preserve">
No supporting</t>
        </r>
      </text>
    </comment>
    <comment ref="M67" authorId="0" shapeId="0" xr:uid="{BAAFFFE0-E37A-43F9-BAF7-82672078BFEC}">
      <text>
        <r>
          <rPr>
            <b/>
            <sz val="9"/>
            <color indexed="81"/>
            <rFont val="Tahoma"/>
            <family val="2"/>
          </rPr>
          <t>Himal Kosala:</t>
        </r>
        <r>
          <rPr>
            <sz val="9"/>
            <color indexed="81"/>
            <rFont val="Tahoma"/>
            <family val="2"/>
          </rPr>
          <t xml:space="preserve">
No supporting</t>
        </r>
      </text>
    </comment>
  </commentList>
</comments>
</file>

<file path=xl/sharedStrings.xml><?xml version="1.0" encoding="utf-8"?>
<sst xmlns="http://schemas.openxmlformats.org/spreadsheetml/2006/main" count="3031" uniqueCount="937">
  <si>
    <t>Item</t>
  </si>
  <si>
    <t>Description</t>
  </si>
  <si>
    <t>Qty</t>
  </si>
  <si>
    <t>Unit</t>
  </si>
  <si>
    <t>Supply Rate</t>
  </si>
  <si>
    <t>Install Rate</t>
  </si>
  <si>
    <t>Amount</t>
  </si>
  <si>
    <t>Ground Floor</t>
  </si>
  <si>
    <t>Paving</t>
  </si>
  <si>
    <t>Type HS-01</t>
  </si>
  <si>
    <t>m</t>
  </si>
  <si>
    <t>Type HS-02</t>
  </si>
  <si>
    <t xml:space="preserve">Type HS-01-A; Flush Kerb, 300x130mm, Black Granite </t>
  </si>
  <si>
    <t>Type HS-01-C; Upstand Kerb, 200x330mm, Black Granite</t>
  </si>
  <si>
    <t>Type HS-02-A; Field Pattern, 100x100x50mm, Granite Cobble</t>
  </si>
  <si>
    <t>Type HS-02-B; Field Pattern, 600x300x80mm, Black Granite</t>
  </si>
  <si>
    <t>Type HS-02-C; Banding, 600x300x80mm, Black Granite</t>
  </si>
  <si>
    <t>m2</t>
  </si>
  <si>
    <t>Type HS-04</t>
  </si>
  <si>
    <t>Type HS-04-A; Field Pattern, 100x100x50mm, Granite cobble</t>
  </si>
  <si>
    <t>Level 02</t>
  </si>
  <si>
    <t>Type HS-02-A; Field Pattern; 100x100x50mm;  Granite cobble</t>
  </si>
  <si>
    <t>Type HS-02-B; Banding; 600x300x80mm; Basalt</t>
  </si>
  <si>
    <t>Type HS-04-A; Driveway Field Pattern; 100x100x50mm; Granite cobble</t>
  </si>
  <si>
    <t>Type HS-04-B; Brass Inlay; 35x10mm; Solid Brass</t>
  </si>
  <si>
    <t>Type HS-04-C; Banding; 600x300x50mm; Basalt</t>
  </si>
  <si>
    <t>Type HS-04-D; Upstand Kerb; 300x300mm; Basalt</t>
  </si>
  <si>
    <t>Type HS-04-E; Field Pattern; 100x100x50mm; Granite cobble</t>
  </si>
  <si>
    <t>Type HS-06</t>
  </si>
  <si>
    <t>Type HS-06-B; Banding; 200x100x50mm; Basalt</t>
  </si>
  <si>
    <t>Water Feature</t>
  </si>
  <si>
    <t xml:space="preserve">WF-02-A; Ledge coping, 1300x900x90-30mm (cut to fit in radius), Basalt </t>
  </si>
  <si>
    <t xml:space="preserve">WF-02-B; Suspended Floor, 550x1100x20mm, Basalt </t>
  </si>
  <si>
    <t xml:space="preserve">WF-02-C; External Wall Cladding, 380x300x20mm, Basalt </t>
  </si>
  <si>
    <t xml:space="preserve">WF-02-D; Overflow Channel Coping, 300x300x50mm, Black Granite cobble </t>
  </si>
  <si>
    <t>m²</t>
  </si>
  <si>
    <t xml:space="preserve">m </t>
  </si>
  <si>
    <t xml:space="preserve">Buzon Pedestal </t>
  </si>
  <si>
    <t>Level 04</t>
  </si>
  <si>
    <t>Paving (Hotel)</t>
  </si>
  <si>
    <t>Type HS-02-A; Ornamental Gravel; 10-30mm;  Sandstone</t>
  </si>
  <si>
    <t>Type HS-03</t>
  </si>
  <si>
    <t>Type HS-03-A; Ornamental Gravel; 10-30mm;  Sandstone</t>
  </si>
  <si>
    <t>Paving (Resi)</t>
  </si>
  <si>
    <t>Type BS-01</t>
  </si>
  <si>
    <t>Type BS-01-A; Wall Cladding; Sandstone</t>
  </si>
  <si>
    <t>Type BS-01-B; Seat Finish; 20mm; Light Grey Omani marble</t>
  </si>
  <si>
    <t>Type BS-02</t>
  </si>
  <si>
    <t>Type BS-02-A; Wall claddding; Sandstone</t>
  </si>
  <si>
    <t>Type BS-02-B; Seat Finish; 20mm Ligth Grey Omani Marble</t>
  </si>
  <si>
    <t>Type EC-03</t>
  </si>
  <si>
    <t>Type EC-03-A; Wall Cladding; Sandstone</t>
  </si>
  <si>
    <t>Type EC-10</t>
  </si>
  <si>
    <t>Type EC-10-B; Wall Coping; 200x20mm; Omani Marble</t>
  </si>
  <si>
    <t>Swimming Pool</t>
  </si>
  <si>
    <t>SP-04-A; Overflow Coping, 300mmWx20mmm, Omani Limestone</t>
  </si>
  <si>
    <t>SP-04-B; Wall FInish, 20mm, Omani Limestone</t>
  </si>
  <si>
    <t>SP-04-C; Floor FInish, 20mm, Omani Limestone</t>
  </si>
  <si>
    <t>SP-04-D; Step Tread, 420mmWx20mm, Omani Limestone</t>
  </si>
  <si>
    <t>SP-04-E; Step Riser, 130mmHx20mm, Omani Limestone</t>
  </si>
  <si>
    <t>SP-04-F; Overflow Pool Wall, 20mm, Omani Limestone</t>
  </si>
  <si>
    <t>SP-04-H; Overflow channel wall &amp; floor; Omani Limestone</t>
  </si>
  <si>
    <t>WF-04B-A; Chef's Table Coping, 13900x1400x20mm, Silestone</t>
  </si>
  <si>
    <t>WF-04B-B; Wall &amp; Floor Finish,20mm, Natural Stone</t>
  </si>
  <si>
    <t>WF-04B-D; Wall Cladding,20mm, Natural Stone</t>
  </si>
  <si>
    <t>WF-04B-E; Water Drain Channel Wall &amp; Floor, 20mm, Natural Stone</t>
  </si>
  <si>
    <t>WF-04B-F; Water Drain Channel Top, 20mm, Natural Stone</t>
  </si>
  <si>
    <t>no</t>
  </si>
  <si>
    <t>WF-04B-C; Stainless Steel Water Channel 225x225x225x3mm as per drawing no. LA-LD-L4-3204 detail 303</t>
  </si>
  <si>
    <t>Level 10</t>
  </si>
  <si>
    <t>SP-10-A; Overflow Coping, 300mmWx20mmm, Omani Limestone</t>
  </si>
  <si>
    <t>SP-10-B; Wall FInish, 20mm, Omani Limestone</t>
  </si>
  <si>
    <t>SP-10-D; Step Tread, 420mmWx20mm, Omani Limestone</t>
  </si>
  <si>
    <t>SP-10-E; Step Riser, 130mmHx20mm, Omani Limestone</t>
  </si>
  <si>
    <t>SP-10-F; Overflow Pool Wall, 20mm, Omani Limestone</t>
  </si>
  <si>
    <t>Level 17</t>
  </si>
  <si>
    <t>Type HS-01-A; Crazy Cut Floor, Bluestone 20mm thick</t>
  </si>
  <si>
    <t>Levl 17- 50mm dia Type HS-02-C, River Pebble, Dark Grey, Washed &amp; tumble finish, 50mm dia (rates taken from Al Reem L29)</t>
  </si>
  <si>
    <t>Rate only</t>
  </si>
  <si>
    <t>Level 24</t>
  </si>
  <si>
    <t>Type HS-01-B; Pool Deck; 1200x600x20mm; Light Grey Omani marble</t>
  </si>
  <si>
    <t>Landscape</t>
  </si>
  <si>
    <t>Type EC-02</t>
  </si>
  <si>
    <t>Type EC-02-A; Pool Deck Wall; 1200x600x20mm; Omani marble</t>
  </si>
  <si>
    <t>Shadow gap - C type; 20x60x20x10mm</t>
  </si>
  <si>
    <t>Type ST-01</t>
  </si>
  <si>
    <t>Type ST-01-A; Step Tread; 660x20mm; Omani marble</t>
  </si>
  <si>
    <t>Type ST-01-B; Step Riser; 170x20mm; Omani marble</t>
  </si>
  <si>
    <t>Type ST-01-C; SS U-type bottom support; 20x60x20x5mm; SS C channel</t>
  </si>
  <si>
    <t xml:space="preserve">Type SP-24-A; Rim flow channel sloped coping; 600x20mm; Omani marble </t>
  </si>
  <si>
    <t>Type SP-24-B; Wall &amp; Floor finish; 20mm; Omani marble</t>
  </si>
  <si>
    <t>Type SP-24-D; Step Tread; 620Wx20mm; Omani marble</t>
  </si>
  <si>
    <t>Type SP-24-E; Step Riser; 200Htx20mm; Omani marble</t>
  </si>
  <si>
    <t xml:space="preserve">Type SP-24-F; Overflow channel wall &amp; floor; 25x25x5mm; Ceramic Mosaic tile </t>
  </si>
  <si>
    <t>Level 25</t>
  </si>
  <si>
    <t>Type HS-01-B; Field Pattern; 1200x600x20mm; Light Grey Omani marble</t>
  </si>
  <si>
    <t>Type ST-01-A; Outdoor Terrace Stair; 600x20mm; Omani marble</t>
  </si>
  <si>
    <t>Type ST-01-B; Outdoor Terrace Stair; 170x20mm; Omani marble</t>
  </si>
  <si>
    <t>Type SP-25-A; Rim flow channel coping; 600x20mm; omani marble</t>
  </si>
  <si>
    <t>Type SP-25-B; wall &amp; floor finish; 1200x600x20mm; omani marble</t>
  </si>
  <si>
    <t>Type SP-25-D; Step Tread; 600Wx20mm; omani marble</t>
  </si>
  <si>
    <t>Type SP-25-E; Step Riser; 200Htx20mm; omani marble</t>
  </si>
  <si>
    <t>Type SP-25F; Overflow channel wall &amp; floor; 25x25x5mm ceramic mosaic tile</t>
  </si>
  <si>
    <t>Level 26</t>
  </si>
  <si>
    <t>Type EC-02-A; Wall Coping; 1200x600x20mm; Omani marble</t>
  </si>
  <si>
    <t>Type EC-02-B; Wall Cladding ; 1200x600x20mm; Omani Marble</t>
  </si>
  <si>
    <t>Type EC-03-A; Wall Coping; 1200x600x20mm; Omani marble</t>
  </si>
  <si>
    <t>Type EC-03-B; Wall Cladding ; 1200x600x20mm; Omani Marble</t>
  </si>
  <si>
    <t>Type ST-01-A; Step Tread; 620x20mm; Omani marble</t>
  </si>
  <si>
    <t>Type ST-01-B; Step Riser; 150x20mm; Omani marble</t>
  </si>
  <si>
    <t>Type SP-26-A; coping; 535x20mm; Omani marble</t>
  </si>
  <si>
    <t>Type SP-26-B; wall &amp; floor finish; 1200x600x20mm; omani marble</t>
  </si>
  <si>
    <t xml:space="preserve">Type SP-26-D; Step Tread; 600x600x20mm; omani marble </t>
  </si>
  <si>
    <t>Type SP-26-E; Step Riser; 600x200x20mm; omani marble</t>
  </si>
  <si>
    <t>Type SP-26-F; Upstand wall finish; 20mm; omani marble</t>
  </si>
  <si>
    <t>Level 27</t>
  </si>
  <si>
    <t>Shadow gap -C Type 20x60x20x10mm</t>
  </si>
  <si>
    <t>Type ST-01-C; SS U-type bottom support; 20x60x20x5mm; SS Cchannel</t>
  </si>
  <si>
    <t>Type SP-27-A; Rim flow channel coping; 600x20mm; omani marble</t>
  </si>
  <si>
    <t>Type SP-27-B; Wall &amp; floor finish; 1200x600x20mm; omani marble</t>
  </si>
  <si>
    <t xml:space="preserve">Type SP-27-D; Step Tread; 600Wx20mm; omani marble </t>
  </si>
  <si>
    <t>Type SP-27-E; Step Riser; 200Htx20mm; omani marble</t>
  </si>
  <si>
    <t xml:space="preserve">Type SP-27-F; Overflow channel wall &amp; floor; 25x25x5mm; ceramic mosaic tile </t>
  </si>
  <si>
    <t>Level 29</t>
  </si>
  <si>
    <t>Type ST-01-A; Step Tread; 660mmWx20mm; Omani marble</t>
  </si>
  <si>
    <t>Type ST-01-B; Step Riser; 170mmHx20mm; Omani marble</t>
  </si>
  <si>
    <t>Type SP-29-A; Rim flow channel coping; 20mm thick; omani marble</t>
  </si>
  <si>
    <t>Type SP-29-B; Wall &amp; floor finish; 1200x600x20mm; omani marble</t>
  </si>
  <si>
    <t xml:space="preserve">Type SP-29-D; Step Tread; 600x400x20mm; omani marble </t>
  </si>
  <si>
    <t>Type SP-29-E; Step Riser; 600x200x20mm; omani marble</t>
  </si>
  <si>
    <t xml:space="preserve">Type SP-29-F; Overflow channel wall &amp; floor; 25x25x5mm; ceramic mosai tile </t>
  </si>
  <si>
    <t>RTP Paving</t>
  </si>
  <si>
    <t>Type HS-01-A; Field Pattern; 600x300x20mm; Omani marble 1200x600mm</t>
  </si>
  <si>
    <t>Type HS-02-A;  Field Pattern; 600x300x20mm; Omani marble 1200x600mm</t>
  </si>
  <si>
    <t>Type BS-01-A; Bar countertop; 635Wx20mm; Calacatta Gold</t>
  </si>
  <si>
    <t>Type BS-01-B; Bar counter wall cladding; 20mm thick; Calacatta Gold</t>
  </si>
  <si>
    <t>Type BS-01-C; Wall coping; 600W; Light Grey</t>
  </si>
  <si>
    <t xml:space="preserve">no. </t>
  </si>
  <si>
    <t>Type EC-01</t>
  </si>
  <si>
    <t>Type EC-01-A; wall coping; 200mmWx20mm; Omani marble</t>
  </si>
  <si>
    <t>Type EC-01-B; wall cladding; 600x300x20mm; Omani marble</t>
  </si>
  <si>
    <t>Type ST-01-A; Step Tread; 295mmWx20mm; omani marble</t>
  </si>
  <si>
    <t>Type ST-01-B; Step Riser; 150mmHx20mm omani marble</t>
  </si>
  <si>
    <t>Type ST-02</t>
  </si>
  <si>
    <t>Type ST-02-A; Step Tread; 295mmWx20mm; omani marble</t>
  </si>
  <si>
    <t>Type ST-02-B; Step Riser; 150mmHx20mm; omani marble</t>
  </si>
  <si>
    <t>Type ST-02-A; Step landing; 20mm thick; omani marble</t>
  </si>
  <si>
    <t>Type ST-02-B; Step Riser; 450mHx20mm omani marble</t>
  </si>
  <si>
    <t>Type ST-06</t>
  </si>
  <si>
    <t>Type ST-06-A; Step tread; 520mmW; omani marble</t>
  </si>
  <si>
    <t>Type ST-06-B; Step Riser; 90mmH x 20mm; omani marble</t>
  </si>
  <si>
    <t>Type SP-29A</t>
  </si>
  <si>
    <t>Type SP-29A-A; Pool coping; 200mmW; Light grey omani limestone</t>
  </si>
  <si>
    <t>Type SP-29A-B; Wall finish;  25x25x10mm; Sky blue natural stone mosaic</t>
  </si>
  <si>
    <t>Type SP-29A-C; Floor finish; 25x25x10mm; Sky blue natural stone mosaic</t>
  </si>
  <si>
    <t>Type SP-29A-D; Pool step tread; 600mmWx10mm; sky blue natural stone mosaic, 600mmWx10mm</t>
  </si>
  <si>
    <t>Type SP-29A-D; Pool step tread; 600mmWx10mm; sky blue natural stone mosaic, 1200mmWx10mm</t>
  </si>
  <si>
    <t>Type SP-29A-D; Pool step tread; 600mmWx10mm; sky blue natural stone mosaic, 400mmWx10mm</t>
  </si>
  <si>
    <t>Type SP-29A-D; Pool step tread; 600mmWx10mm; sky blue natural stone mosaic, 300mmWx10mm</t>
  </si>
  <si>
    <t>Type SP-29A-D; Pool step tread; 600mmWx10mm; sky blue natural stone mosaic, 450mmWx10mm</t>
  </si>
  <si>
    <t>Type SP-29A-D; Pool step tread; 600mmWx10mm; sky blue natural stone mosaic, 1600mmWx10mm</t>
  </si>
  <si>
    <t>Type SP-29A-E; Pool step riser 70mm htx10mm; Sky blue natural stone mosaic, 70mm ht x 10mm</t>
  </si>
  <si>
    <t>Type SP-29A-E; Pool step riser 70mm htx10mm; Sky blue natural stone mosaic, 130mm ht x 10mm</t>
  </si>
  <si>
    <t>Type SP-29A-E; Pool step riser 70mm htx10mm; Sky blue natural stone mosaic, 200mm ht x 10mm</t>
  </si>
  <si>
    <t>Type SP-29A-E; Pool step riser 70mm htx10mm; Sky blue natural stone mosaic, 370mm ht x 10mm</t>
  </si>
  <si>
    <t>Type SP-29A-E; Pool step riser 70mm htx10mm; Sky blue natural stone mosaic, 420mm ht x 10mm</t>
  </si>
  <si>
    <t>Type SP-29A-E; Pool step riser 70mm htx10mm; Sky blue natural stone mosaic, 450mm ht x 10mm</t>
  </si>
  <si>
    <t>Type SP-29A-E; Pool step riser 70mm htx10mm; Sky blue natural stone mosaic ,470mm ht x 10mm</t>
  </si>
  <si>
    <t>Type SP-29A-E; Pool step riser 70mm htx10mm; Sky blue natural stone mosaic, 500mm ht x 10mm</t>
  </si>
  <si>
    <t>Type SP-29A-G; Overflow channel coping; 250mmW x 20mm ; porcelain rakeen (fixing only, material to be supplied by Contractor</t>
  </si>
  <si>
    <t>Type SP-29A-H; Decorative pebble; 50mm dia; river stone
Excluding Type SP-29A-F - GRP pool Table &amp; Coping Support</t>
  </si>
  <si>
    <t>WF-02-E; Internal Wall &amp; Floor, 300x300x5mm, Ceramic mosaic (fixing only, material to be supplied by Contractor)</t>
  </si>
  <si>
    <t>SP-04-G; Overflow channel coping, Porcelaine Tile (Fixing Only, material to be supplied by Contractor)</t>
  </si>
  <si>
    <t>Previous Qty</t>
  </si>
  <si>
    <t>Current Qty</t>
  </si>
  <si>
    <t>Cumulative</t>
  </si>
  <si>
    <t>Previous Amount</t>
  </si>
  <si>
    <t>Current Amount</t>
  </si>
  <si>
    <t>Cumulative Amount</t>
  </si>
  <si>
    <t>Roberts Variation</t>
  </si>
  <si>
    <t>Level 29 RTP</t>
  </si>
  <si>
    <t>Supply and installation of stoneworks at Level 17 terraces</t>
  </si>
  <si>
    <t>Stone Work</t>
  </si>
  <si>
    <t>Extraover for Granite</t>
  </si>
  <si>
    <t>Extraover for Granite Cobbles</t>
  </si>
  <si>
    <t>Discount</t>
  </si>
  <si>
    <t>Total Roberts</t>
  </si>
  <si>
    <t>Total</t>
  </si>
  <si>
    <t>This Month</t>
  </si>
  <si>
    <t>Variations</t>
  </si>
  <si>
    <t>Roberts</t>
  </si>
  <si>
    <t>Revisied stone size L29</t>
  </si>
  <si>
    <t>Revisied Omani stone to pool</t>
  </si>
  <si>
    <t>Stone work to L17 terraces</t>
  </si>
  <si>
    <t>Change for granite</t>
  </si>
  <si>
    <t>Change for granite cobbles</t>
  </si>
  <si>
    <t>Rate</t>
  </si>
  <si>
    <t>Variation</t>
  </si>
  <si>
    <t>Used Qty</t>
  </si>
  <si>
    <t>Balance Qty</t>
  </si>
  <si>
    <t>Material Offsite Amount</t>
  </si>
  <si>
    <t>Plot-18</t>
  </si>
  <si>
    <t>Material on Site</t>
  </si>
  <si>
    <t xml:space="preserve">ARM-AR-A-VAR-001, Change in Design of Level 02 Water Feature </t>
  </si>
  <si>
    <t xml:space="preserve">ARM-AR-A-VAR-008, Supply and Installation of Omani flooring at Level 04 Pool area </t>
  </si>
  <si>
    <t>ARS-1201-0922, Supply and installation of pool overflow channel stone support</t>
  </si>
  <si>
    <t xml:space="preserve">ARM-AR-A-VAR-009, Supply and installation of 400mmL plate SS coping support at Level 24,25,27 &amp; 29 </t>
  </si>
  <si>
    <t>Supply and Installation of Hardlandscape Tiling works at Levels GF,2,4,23 &amp; 29RTP</t>
  </si>
  <si>
    <t xml:space="preserve">Stoneworks in Ballroom, Royal, Presidential Suit, Gym, Prayer Room, Lobbies </t>
  </si>
  <si>
    <t>Variation - KCE</t>
  </si>
  <si>
    <t>Previous - Claim</t>
  </si>
  <si>
    <t>Supply and installation of additional 10x10x5cm black granite cobbles at LPG Truck Delivery</t>
  </si>
  <si>
    <t>Demolition of GF due to design enhancement</t>
  </si>
  <si>
    <t>Variance</t>
  </si>
  <si>
    <t>Al Reem Claim</t>
  </si>
  <si>
    <t>Ok - cobbles Level 02</t>
  </si>
  <si>
    <t>Demolition of existing floor tiles (white granix tile 50mm thick) and tile bed at Level 2</t>
  </si>
  <si>
    <t>Stoneworks at GF and Level 02 Hardlandscape areas due to design change E11/K114/SK/mv/597</t>
  </si>
  <si>
    <t>Previous - Certified</t>
  </si>
  <si>
    <t>This Month Claim</t>
  </si>
  <si>
    <t>ok</t>
  </si>
  <si>
    <t xml:space="preserve">Installation of tiles in Hotel balcony as per E11/K114/SK/mv/581 </t>
  </si>
  <si>
    <t>IPC-Al Reem- February 2023</t>
  </si>
  <si>
    <t xml:space="preserve">Qty </t>
  </si>
  <si>
    <t>ARM-AR-A-VAR-001</t>
  </si>
  <si>
    <t xml:space="preserve">Change in Design of Level 02 Water Feature </t>
  </si>
  <si>
    <t>WF-02-A; Ledge coping, 1300x900x90-30mm (cut to fit in radius) including SS support</t>
  </si>
  <si>
    <t>WF-02-B; Suspended Floor, 550x1100x20mm</t>
  </si>
  <si>
    <t>WF-02-C; External Wall Cladding, 380x300x20mm</t>
  </si>
  <si>
    <t xml:space="preserve">Radial coping 300mmWX30mmT chamfered </t>
  </si>
  <si>
    <t xml:space="preserve">Radial Flooring 3cmT </t>
  </si>
  <si>
    <t>Chiselled Wall 30mmT Black Absoluto</t>
  </si>
  <si>
    <t xml:space="preserve">Stainless steel support at overflow 250x200x5mm flat stainless support </t>
  </si>
  <si>
    <t>Set</t>
  </si>
  <si>
    <t>ARM-AR-A-VAR-008</t>
  </si>
  <si>
    <t xml:space="preserve">Supply and Installation of Omani flooring at Level 04 Pool area </t>
  </si>
  <si>
    <t xml:space="preserve">Supply and installation of   Omani flooring 1200x600x20mm at Level 4 Pool Area </t>
  </si>
  <si>
    <t>Supply and installation of  Stair Thread 400mmWx1700mmL ,Omani 2cmT</t>
  </si>
  <si>
    <t>Supply and installation of  Stair Riser 400mmW x 144mmH, ,Omani 2cmT</t>
  </si>
  <si>
    <t>ARS-1201-0922</t>
  </si>
  <si>
    <t>Supply and installation of pool overflow channel stone support as per KCE-LX-RFI-PW-000146</t>
  </si>
  <si>
    <t xml:space="preserve">Tender </t>
  </si>
  <si>
    <t>Level 04 SP-04-A L-shaped 300x200x100x5mm</t>
  </si>
  <si>
    <t>Level 04 WF-04-B-A L-shaped 300x300x300x5mm</t>
  </si>
  <si>
    <t>Level 24 SS Coping support L-shaped 300x150x100x5mm</t>
  </si>
  <si>
    <t>Level 25 SS Coping support L-shaped 300x150x100x5mm</t>
  </si>
  <si>
    <t>Level 27 SS Coping support L-shaped 300x150x100x5mm</t>
  </si>
  <si>
    <t>Level 29 SS Coping support L-shaped 300x150x100x5mm</t>
  </si>
  <si>
    <t xml:space="preserve">Revised Design 5mm to 10mm </t>
  </si>
  <si>
    <t>Level 04 SP-04-A T-shaped 200x550x100x10mm</t>
  </si>
  <si>
    <t>Level 04 WF-04-B-A L-shaped 200x450x210x10mm</t>
  </si>
  <si>
    <t>Level 24 SS Coping support Straight shaped 200x450x10mm</t>
  </si>
  <si>
    <t>Level 25 SS Coping support Straight shaped 200x450x10mm</t>
  </si>
  <si>
    <t>Level 27 SS Coping support Straight shaped 200x450x10mm</t>
  </si>
  <si>
    <t>Level 29 SS Coping support Straight shaped 200x450x10mm</t>
  </si>
  <si>
    <t>ARM-AR-A-VAR-009</t>
  </si>
  <si>
    <t>Supply and installation of 400mmL plate SS coping support at Level 24,25,27 &amp; 29 as per WIR ref. ARM-AX-WR-L24-00017 Rev 0</t>
  </si>
  <si>
    <t>Refer to claim under EI-244</t>
  </si>
  <si>
    <t xml:space="preserve">Suppply and installation of Straight shaped 200mmLx450mmWx10mm at Level 24 Swimming Pool SS coping support </t>
  </si>
  <si>
    <t>Suppply and installation of Straight shaped 200mmLx450mmWx10mm at Level 25 Swimming Pool SS coping support</t>
  </si>
  <si>
    <t>Suppply and installation of Straight shaped 200mmLx450mmWx10mm at Level 27 Swimming Pool SS coping support</t>
  </si>
  <si>
    <t>Suppply and installation of Straight shaped 200mmLx450mmWx10mm at Level 29 Swimming pool SS coping support</t>
  </si>
  <si>
    <t>Revised claim as per EI-447</t>
  </si>
  <si>
    <t xml:space="preserve">Suppply and installation of Straight shaped 400mmLx450mmWx10mm at Level 24 Swimming Pool SS coping support </t>
  </si>
  <si>
    <t>Suppply and installation of Straight shaped 400mmLx450mmWx10mm at Level 25 Swimming Pool SS coping support</t>
  </si>
  <si>
    <t>Suppply and installation of Straight shaped 400mmLx450mmWx10mm at Level 27 Swimming Pool SS coping support</t>
  </si>
  <si>
    <t>Suppply and installation of Straight shaped 400mmLx450mmWx10mm at Level 29 Swimming pool SS coping support</t>
  </si>
  <si>
    <t>Supply and installation of additional 10x10x5cm black granite cobbles at LPG Truck Delivery as per KCE-LX-RFI-GF-00332 Rev 00</t>
  </si>
  <si>
    <t>ARM-AR-A-VAR-014</t>
  </si>
  <si>
    <t>Demolition of existing floor tiles (White Granix tile 50mm thick) and tile bed due to design changes at GF &amp; Level 2 as per the areas highlighted in the attached sketches</t>
  </si>
  <si>
    <t>ARM-AR-A-VAR-015</t>
  </si>
  <si>
    <t>ARS.1274.1222</t>
  </si>
  <si>
    <t>Supply and installation of Omani Beige 600x300x30mm Sandblasted Finish at GF and Level 02 Hardlandscape</t>
  </si>
  <si>
    <t>Supply and installation of Omani Straight Stair Tread &amp; Riser 30mm</t>
  </si>
  <si>
    <t>Supply and installation of Omani Curved Stair Tread &amp; Riser 30mm</t>
  </si>
  <si>
    <t>Supply and installation of Omani Beige coping 30mm</t>
  </si>
  <si>
    <t>; 150mmWx30mmT</t>
  </si>
  <si>
    <t>; 200mmWx30mmT</t>
  </si>
  <si>
    <t>; 250mmWx30mmT</t>
  </si>
  <si>
    <t>; 300mmWx30mmT</t>
  </si>
  <si>
    <t>; 400mmWx30mmT</t>
  </si>
  <si>
    <t xml:space="preserve">Amount </t>
  </si>
  <si>
    <t xml:space="preserve">Previous </t>
  </si>
  <si>
    <t xml:space="preserve">Current </t>
  </si>
  <si>
    <t>Cummulative</t>
  </si>
  <si>
    <t>VO Ref</t>
  </si>
  <si>
    <t xml:space="preserve">Description </t>
  </si>
  <si>
    <t>PACKAGE -3 - ROYAL SUITE FIT-OUT</t>
  </si>
  <si>
    <t>FLOOR FINISHES - RIGHT WING</t>
  </si>
  <si>
    <t>Stone Works</t>
  </si>
  <si>
    <t>Stone flooring laid on cement and sand screed including grouting, movement joints,pointing, polishing, decoration, dry set mortar or adhesive and the like all in accordance with drawings and specifications.</t>
  </si>
  <si>
    <t>Supply and fixing of Stone flooring; Type HTL-ST-50, Crystal White, Honed + Wet Floor Treatment</t>
  </si>
  <si>
    <t>A</t>
  </si>
  <si>
    <t>Secondary Bathroom</t>
  </si>
  <si>
    <t>B</t>
  </si>
  <si>
    <t>Vestibule</t>
  </si>
  <si>
    <t xml:space="preserve">Supply and fixing of Stone flooring with Herringbone pattern; Type HTL-ST-52 </t>
  </si>
  <si>
    <t>C</t>
  </si>
  <si>
    <t>Secondary Bathroom - Light Travertine</t>
  </si>
  <si>
    <t>Supply and fixing of Stone border/flooring with Herringbone pattern; Type HTL-ST-47, Arabescato Marble, Honed + Wet Floor Treatment</t>
  </si>
  <si>
    <t>D</t>
  </si>
  <si>
    <t>Vestibules, Secondary Bedroom</t>
  </si>
  <si>
    <t>Threshold</t>
  </si>
  <si>
    <t>E</t>
  </si>
  <si>
    <t>Supply and fixing of Stone Threshold, including necessary grouting, polishing, decoration, adhesives, etc and the like  all in accordance with drawings and specifications.</t>
  </si>
  <si>
    <t>175mm wide; Type ST-47,Arabescato Marble, Honed</t>
  </si>
  <si>
    <t>180mm wide; Type ST-47,Arabescato Marble, Honed</t>
  </si>
  <si>
    <t>200mm wide; Type ST-47,Arabescato Marble, Honed</t>
  </si>
  <si>
    <t>285mm wide; Type ST-47,Arabescato Marble, Honed</t>
  </si>
  <si>
    <t>Metal Works</t>
  </si>
  <si>
    <t>Floor Joint/Metal Trim</t>
  </si>
  <si>
    <t>Metal Trim laid on cement and sand screed including all backing support fixing, movement joints,polishing, decoration, adhesive etc and the like all in accordance with drawings and specifications.</t>
  </si>
  <si>
    <t>Metal Trim divider of Type HTL-ME-01</t>
  </si>
  <si>
    <t>FLOOR FINISHES - LEFT WING</t>
  </si>
  <si>
    <t>Supply and fixing of Stone flooring; Type HTL-ST-01, Crystal White, Polished</t>
  </si>
  <si>
    <t>Pantry</t>
  </si>
  <si>
    <t>Supply and fixing of Stone border; Type HTL-ST-10, Saint Laurent Marble, Polished, 85mm wide</t>
  </si>
  <si>
    <t>Powder Room</t>
  </si>
  <si>
    <t xml:space="preserve">Supply and fixing of Stone flooring with Herringbone pattern; Type HTL-ST-21, Viola Marble, Polished </t>
  </si>
  <si>
    <t>Living Room &amp; Corridor</t>
  </si>
  <si>
    <t>Supply and fixing of Stone flooring/border; Type HTL-ST-21, Viola Marble, Polished</t>
  </si>
  <si>
    <t>Master Bathroom, Master Suite Corridor, Dressing 1 &amp; Entry Vestibule</t>
  </si>
  <si>
    <t>Supply and fixing of Stone flooring/border; Type HTL-ST-22, Taj Mahal Quartzite, Honed + Water Treatment</t>
  </si>
  <si>
    <t>Master Bedroom</t>
  </si>
  <si>
    <t>Supply and fixing of Stone flooring with Herringbone pattern; Type HTL-ST-50, Crystal White, Honed + Wet Floor Treatment</t>
  </si>
  <si>
    <t>F</t>
  </si>
  <si>
    <t>Master Bathroom</t>
  </si>
  <si>
    <t>G</t>
  </si>
  <si>
    <t>Supply and fixing of Stone flooring with Herringbone pattern; Type HTL-ST-51, Crystal White, Honed</t>
  </si>
  <si>
    <t>H</t>
  </si>
  <si>
    <t>Entry Vestibule</t>
  </si>
  <si>
    <t>150mm wide; Type ST-01, Crystal White, Polished</t>
  </si>
  <si>
    <t>200mm wide; Type ST-10, Saint Laurent Marble, Polished</t>
  </si>
  <si>
    <t>110mm wide; Type ST-21, Viola Marble, Polished</t>
  </si>
  <si>
    <t>160mm wide; Type ST-21, Viola Marble, Polished</t>
  </si>
  <si>
    <t>190mm wide; Type ST-21, Viola Marble, Polished</t>
  </si>
  <si>
    <t>220mm wide; Type ST-21, Viola Marble, Polished</t>
  </si>
  <si>
    <t>230mm wide; Type ST-21, Viola Marble, Polished</t>
  </si>
  <si>
    <t>235mm wide; Type ST-21, Viola Marble, Polished</t>
  </si>
  <si>
    <t>240mm wide; Type ST-21, Viola Marble, Polished</t>
  </si>
  <si>
    <t>250mm wide; Type ST-21, Viola Marble, Polished</t>
  </si>
  <si>
    <t>270mm wide; Type ST-21, Viola Marble, Polished</t>
  </si>
  <si>
    <t>435mm wide; Type ST-21, Viola Marble, Polished</t>
  </si>
  <si>
    <t>WALL FINISHES - RIGHT WING</t>
  </si>
  <si>
    <t>Stone finishes including all necessary framing, fitting, fixing, backing framing support, decoration,provision of the Niche etc and the like all in accordance with drawings and specifications.</t>
  </si>
  <si>
    <t>Supply and fixing of Stone Wall Cladding; Type HTL-ST-37</t>
  </si>
  <si>
    <t>Supply and fixing of Stone Wall Cladding; Type HTL-ST-51</t>
  </si>
  <si>
    <t>Secondary Bedroom</t>
  </si>
  <si>
    <t>Wall Finishes including all necessary framing, fitting, fixing, backing framing support, decoration, etc and the like  all in accordance with drawings and specifications.</t>
  </si>
  <si>
    <t>Supply and fixing of Wall Panel System including the finishes type; HTL-WC-22</t>
  </si>
  <si>
    <t>Supply and fixing of Wall Panel System including the finishes type; HTL-WC-24</t>
  </si>
  <si>
    <t>Skirting</t>
  </si>
  <si>
    <t>Stone Skirting including all necessary backing support, framing, fittings, fixing, accessories,grouting, movement joints,pointing, polishing, decoration shadow gaps, etc and the like  all in accordance with drawings and specifications.</t>
  </si>
  <si>
    <t>Supply and fixing of Stone Skirting; Type Baseboard HTL-ST-47; 150mm high</t>
  </si>
  <si>
    <t>WALL FINISHES - LEFT WING</t>
  </si>
  <si>
    <t>Supply and fixing of Stone Wall Cladding; Type HTL-ST-01, Crystal White, Polished</t>
  </si>
  <si>
    <t>Living Room</t>
  </si>
  <si>
    <t>Supply and fixing of Stone Wall Cladding; Type HTL-ST-10, Saint Laurent Marble, Polished</t>
  </si>
  <si>
    <t>Supply and fixing of Stone Wall Cladding; Type HTL-ST-21, Viola Marble, Polished</t>
  </si>
  <si>
    <t>Supply and fixing of Stone Wall Cladding; Type HTL-ST-23, Taj Mahal Quartzite, Polished</t>
  </si>
  <si>
    <t>Supply and fixing of Stone Wall Cladding; Type HTL-ST-51, Crystal White, Honed</t>
  </si>
  <si>
    <t>Dining Room</t>
  </si>
  <si>
    <t xml:space="preserve">Supply and fixing of Stone Pilaster; Type Frame HTL-ST-51; </t>
  </si>
  <si>
    <t>130 x 2500mm high</t>
  </si>
  <si>
    <t>nos.</t>
  </si>
  <si>
    <t>300 x 2500mm high</t>
  </si>
  <si>
    <t>575 x 2500mm high</t>
  </si>
  <si>
    <t>565 x 6350mm high</t>
  </si>
  <si>
    <t>Supply and fixing of Stone Trim / Door Frame; Type HTL-ST-51; Crystal White, Honed</t>
  </si>
  <si>
    <t>145 x 1290mm long</t>
  </si>
  <si>
    <t>220 x 1250mm long</t>
  </si>
  <si>
    <t>425 x 2330mm high</t>
  </si>
  <si>
    <t>390 x 2650mm high</t>
  </si>
  <si>
    <t>Supply and fixing of Wall Panel System including the finishes type; HTL-WC-25</t>
  </si>
  <si>
    <t>Supply and fixing of Wall Panel System including the finishes type; HTL-WC-26</t>
  </si>
  <si>
    <t>Supply and fixing of Wall Panel System including the finishes type; HTL-WC-27</t>
  </si>
  <si>
    <t>Supply and fixing of Stone Skirting; Type Baseboard HTL-ST-10; Saint Laurent Marble, 150mm high</t>
  </si>
  <si>
    <t>Supply and fixing of Stone Skirting; Type Baseboard HTL-ST-21; Viola Marble, 150mm high</t>
  </si>
  <si>
    <t>Supply and fixing of Stone Skirting; Type Baseboard HTL-ST-23; Taj Mahal Quartzite, 150mm high</t>
  </si>
  <si>
    <t>Supply and fixing of Stone Skirting; Type Baseboard HTL-ST-51; Crystal White, 150mm high</t>
  </si>
  <si>
    <t>ADDITIONAL ITEMS</t>
  </si>
  <si>
    <t>Supply &amp; fixing of stone wall cladding; type HTL-ST-51, Crystal White Honed</t>
  </si>
  <si>
    <t>A. Living Room</t>
  </si>
  <si>
    <t>B.  Corridor</t>
  </si>
  <si>
    <t>C.  Entry Vestibule</t>
  </si>
  <si>
    <t>Supply &amp; fixing of stone door frame Type HTL-ST-51 at Master Suit corridor as per drawing no. RS-2608-307</t>
  </si>
  <si>
    <t xml:space="preserve">Supply &amp; fixing of stone pilaster; type frame HTL-ST-51 </t>
  </si>
  <si>
    <t>A.  375x2650mm @ corridor as per elev ZZ1 &amp; XX1</t>
  </si>
  <si>
    <t>B.  200x2325mm @ master bathroom as per elev. KK1 &amp; II1</t>
  </si>
  <si>
    <t>C.  221x2325 @ master bathroom as per elev. II1</t>
  </si>
  <si>
    <t>D.  177 x 2325 @ master bathroom as per elev. II1</t>
  </si>
  <si>
    <t>Additional supply &amp; fix of metal support for stone pilaster, baseboard &amp; door frame.</t>
  </si>
  <si>
    <t>L/S</t>
  </si>
  <si>
    <t>PACKAGE -3 - HOTEL LEVEL 19:- PRESIDENTIAL SUITE FIT-OUT</t>
  </si>
  <si>
    <t>Supply and fixing of Stone flooring with Chevron pattern; Type HTL-ST-21, Viola Marble, Polished</t>
  </si>
  <si>
    <t>Twin Bathroom</t>
  </si>
  <si>
    <t>Supply and fixing of Stone flooring Type HTL-ST-21, Viola Marble, Polished</t>
  </si>
  <si>
    <t>Supply and fixing of Stone flooring Type HTL-ST-37, Calacatta Paonazzo</t>
  </si>
  <si>
    <t>Open Kitchen</t>
  </si>
  <si>
    <t>Vanity</t>
  </si>
  <si>
    <t>Supply and fixing of Stone flooring Type HTL-ST-48, Pinta Verde, Honed + Wet Floor Treatment</t>
  </si>
  <si>
    <t>Twin Bedroom</t>
  </si>
  <si>
    <t>Supply and fixing of Stone border/flooring Type HTL-ST-50, Crystal White, Honed + Wet Floor Treatment</t>
  </si>
  <si>
    <t>Threshold &amp; Borders</t>
  </si>
  <si>
    <t>Supply and fixing of Stone Threshold &amp; Borders, including necessary grouting, polishing, decoration, adhesives, etc and the like  all in accordance with drawings and specifications.</t>
  </si>
  <si>
    <t>165mm wide; Type ST-37 Threshold</t>
  </si>
  <si>
    <t>200mm wide; Type ST-37 Threshold</t>
  </si>
  <si>
    <t>330mm wide; Type ST-37 Threshold</t>
  </si>
  <si>
    <t>255mm wide; Type ST-50 Threshold</t>
  </si>
  <si>
    <t>250mm wide; Type ST-48 Border</t>
  </si>
  <si>
    <t>330mm wide; Type ST-48 Border</t>
  </si>
  <si>
    <t>350mm wide; Type ST-48 Border</t>
  </si>
  <si>
    <t>200mm wide; Type ST-50 Border</t>
  </si>
  <si>
    <t>Metal Trim divider of Type HTL-ME-04; Brass, Brushed-matte vernish</t>
  </si>
  <si>
    <t>Supply and fixing of Stone flooring with Chevron pattern; Type HTL-ST-35, Arabescato Marble, Acid Wash</t>
  </si>
  <si>
    <t>Supply and fixing of Stone flooring Type HTL-ST-35, Arabescato Marble, Acid Wash</t>
  </si>
  <si>
    <t>Supply and fixing of Stone flooring; Type HTL-ST-37, Calacatta Paonazzo</t>
  </si>
  <si>
    <t>Living Room, Corridor, Entry Vestibule</t>
  </si>
  <si>
    <t>Supply and fixing of Stone flooring/border; Type HTL-ST-50, Crystal White, Honed + Water Treatment</t>
  </si>
  <si>
    <t>Supply and fixing of Stone Threshold &amp; Border, including necessary grouting, polishing, decoration, adhesives, etc and the like  all in accordance with drawings and specifications.</t>
  </si>
  <si>
    <t>225mm wide; Type ST-37 Threshold</t>
  </si>
  <si>
    <t>315mm wide; Type ST-37 Threshold</t>
  </si>
  <si>
    <t>520mm wide; Type ST-37 Threshold</t>
  </si>
  <si>
    <t>125mm wide; Type ST-37 Threshold</t>
  </si>
  <si>
    <t>155mm wide; Type ST-37 Threshold</t>
  </si>
  <si>
    <t>175mm wide; Type ST-37 Threshold</t>
  </si>
  <si>
    <t>190mm wide; Type ST-37 Threshold</t>
  </si>
  <si>
    <t>175mm wide; Type ST-01 Border</t>
  </si>
  <si>
    <t>350mm wide; Type ST-35 Border</t>
  </si>
  <si>
    <t>240mm wide; Type ST-50 Border</t>
  </si>
  <si>
    <t>200mm wide; Type WD-02 Border</t>
  </si>
  <si>
    <t>100mm wide; Type WD-06 Border</t>
  </si>
  <si>
    <t>200mm wide; Type WD-06 Border</t>
  </si>
  <si>
    <t>260mm wide; Type WD-06 Border</t>
  </si>
  <si>
    <t>265mm wide; Type WD-06 Border</t>
  </si>
  <si>
    <t>325mm wide; Type WD-06 Border</t>
  </si>
  <si>
    <t>90mm wide; Type WD-06 Threshold</t>
  </si>
  <si>
    <t>Stone finishes including all necessary framing, fitting, fixing, backing framing support, decoration,provision of the Niche if any, etc and the like all in accordance with drawings and specifications.</t>
  </si>
  <si>
    <t>Supply and fixing of Stone Wall Cladding; Type HTL-ST-37, Calacatta Paonazzo</t>
  </si>
  <si>
    <t>Corridor, Dining Room, Media Room, Twin Bathroom</t>
  </si>
  <si>
    <t>Supply and fixing of Stone Wainscotting, 1300mm high; Type HTL-ST-37, Calacatta Paonazzo, Twin Bathroom</t>
  </si>
  <si>
    <t>Supply and fixing of Stone Wall Cladding; Type HTL-ST-48, Pinta Verde, Honed + Wet Floor Treatment, Twin Bedroom</t>
  </si>
  <si>
    <t>Supply and fixing of Stone Wainscotting, 300mm high;  Type HTL-ST-48, Pinta Verde, Honed + Wet Floor Treatment, Twin Bedroom</t>
  </si>
  <si>
    <t xml:space="preserve">Supply and fixing of Wall Panel System including the finishes type; HTL-WC-22 </t>
  </si>
  <si>
    <t>Supply and fixing of Stone Skirting; Type Removable Baseboard HTL-ST-16; 150mm high</t>
  </si>
  <si>
    <t>Supply and fixing of Stone Skirting; Type Baseboard HTL-ST-37; 150mm high</t>
  </si>
  <si>
    <t>Supply and fixing of Stone Trim/Stone Door Frame/Architrave; Type HTL-ST-37; Calacatta Paonazzo</t>
  </si>
  <si>
    <t>Pantry - (2.40+0.975+2.40) - 195mm wide</t>
  </si>
  <si>
    <t>Vanity - (2.40+1.26+2.40) - 220mm wide</t>
  </si>
  <si>
    <t>Twin Bedroom - (2.40+1.26+2.40) - 225mm wide</t>
  </si>
  <si>
    <t>Corridor - (2.40+1.26+2.40) - 370mm wide</t>
  </si>
  <si>
    <t>Vestibule - (2.40+1.26+2.40) - 385mm wide</t>
  </si>
  <si>
    <t>Supply and fixing of Stone Trim / Stone Door Frame/Architrave; Type HTL-ST-51; Crystal White, Honed</t>
  </si>
  <si>
    <t>Dressing Room 2 - (2.40+0.975+2.40) - 265mm wide</t>
  </si>
  <si>
    <t>Twin Bathroom - (2.40+0.975+2.40) - 250mm wide</t>
  </si>
  <si>
    <t>Supply and fixing of Stone Wainscotting; Type HTL-ST-21, Viola Marble, Polished, 1050mm high</t>
  </si>
  <si>
    <t>Supply and fixing of Stone Wall Cladding; Type HTL-ST-35, Arabescato Marble, Acid Wash</t>
  </si>
  <si>
    <t>Supply and fixing of Stone Wainscotting; Type HTL-ST-35, Arabescato Marble, Acid Wash</t>
  </si>
  <si>
    <t>300mm high, Master Bedroom</t>
  </si>
  <si>
    <t>1300mm high, Master Bathroom</t>
  </si>
  <si>
    <t>Living Room, Corridor, Study, Entry Vestibule</t>
  </si>
  <si>
    <t xml:space="preserve">Supply and fixing of Wall Panel System including the finishes type; HTL-WC-32 </t>
  </si>
  <si>
    <t>Supply and fixing of Wall Panel System including the finishes type; HTL-WC-23</t>
  </si>
  <si>
    <t>Supply and fixing of Wall Panel System including the finishes type; HTL-WC-31</t>
  </si>
  <si>
    <t>Supply and fixing of Stone Skirting; Type Baseboard HTL-ST-21; 150mm high</t>
  </si>
  <si>
    <t>Supply and fixing of Stone Skirting; Type Baseboard HTL-ST-35; 150mm high</t>
  </si>
  <si>
    <t>Valet Box - (2.40+0.975+2.40) - 200mm wide</t>
  </si>
  <si>
    <t>Master Bathroom - (2.40+0.950+2.40) - 250mm wide</t>
  </si>
  <si>
    <t>Dressing Room 1 - (2.40+0.950+2.40) - 260mm wide</t>
  </si>
  <si>
    <t>Master Bedroom - (2.40+1.26+2.40) - 280mm wide</t>
  </si>
  <si>
    <t>Corridor - (2.40+1.26+2.40) - 560mm wide</t>
  </si>
  <si>
    <t>Supply and fixing of Metal Trim/Metal Door Frame-Architrave; Type HTL-WD-19; US Walnut, Satin Brushed</t>
  </si>
  <si>
    <t>Entry Vestibule - (2.40+1.425+2.40) - 220mm wide</t>
  </si>
  <si>
    <t>RIGHT WING - FLOOR FINISHES</t>
  </si>
  <si>
    <t>Supply and fix of stone threshold as per detail shown in drawing no. 1902-132.</t>
  </si>
  <si>
    <t>180mm wide; Type HTL-ST-37</t>
  </si>
  <si>
    <t>180mm wide; Type HTL-ST-50</t>
  </si>
  <si>
    <t>RIGHT WING - WALL FINISHES</t>
  </si>
  <si>
    <t>Supply and fix of stone wall cladding; Type HTL-ST-16 as per detail shown in drawing no. 1902-210</t>
  </si>
  <si>
    <t>Supply and fix of stone skirting; Type baseboad HTL-ST-48; 150mm high as per detail shown in drawing no. 1902-215</t>
  </si>
  <si>
    <t>Twin bedroom</t>
  </si>
  <si>
    <t>Supply and fix of stone dado; Type HTL-ST-37; 35mm width as per detail shown in drawing no. 1902-210</t>
  </si>
  <si>
    <t>Twin bathroom</t>
  </si>
  <si>
    <t>Supply &amp; fix of stone trim/stone door frame/architrave; Type HTL-ST-37</t>
  </si>
  <si>
    <t>Open kitchen (2.43+2.715+2.43)-290mm wide; as detailed shown on dwg no. 1902-346, Det. 01</t>
  </si>
  <si>
    <t>Dining Room (2.43+2.715+2.43)-290mm wide; as detailed shown on dwg no. 1902-346, Det. 01</t>
  </si>
  <si>
    <t>Media Room (2.43+2.715+2.43)-290mm wide; as detailed shown on dwg no. 1902-346, Det. 01</t>
  </si>
  <si>
    <t>Dressing Room (2.43+0.975+2.43)-265mm; as detailed shown on dwg no. 1902-344, Det. 01.</t>
  </si>
  <si>
    <t>LEFT WING - WALL FINISHES</t>
  </si>
  <si>
    <t>Supply &amp; fix of stone bulkhead cladding; Type HTL-ST-35 as per detail shown in drawing no. 1902-201 &amp; 1902-302</t>
  </si>
  <si>
    <t>Masterbathroom</t>
  </si>
  <si>
    <t>Supply &amp; fix of stone dado; Type HTL-ST-37; 35mm</t>
  </si>
  <si>
    <t>Master bathroom (as per drawing no. 1902-205)</t>
  </si>
  <si>
    <t>Powder Room (as per drawingno. .1902-207)</t>
  </si>
  <si>
    <t>Corridor (2.43+2.245+2.43)-260mm wide; as detailed shown on Dwg. No. 1902-350, Det. 01</t>
  </si>
  <si>
    <t>Corridor (2.43+2.375+2.43)-260mm wide; as detailed shown on Dwg. No. 1902-350, Det. 01</t>
  </si>
  <si>
    <t>Corridor (2.43+2.230+2.43)-26mm wide; as detailed shown on Dwg. No. 1902-350; Det. 01</t>
  </si>
  <si>
    <t>Corridor (2.43+1.16+2.43)-370mm wide; as detailed shown on Dwg. No. 1902-342, Det. 01</t>
  </si>
  <si>
    <t>ADDITIONAL METAL SUPPORT</t>
  </si>
  <si>
    <t>PACKAGE -4 - HOTEL - GYM - L28</t>
  </si>
  <si>
    <t>STONE WORKS (WALLS AND FLOORS)</t>
  </si>
  <si>
    <t>Wall Finishes</t>
  </si>
  <si>
    <t>Wall baseboard : Taj Mahal Quartzite polished stone type HTL-ST-23, 200mm high</t>
  </si>
  <si>
    <t>Piller baseboard :Taj Mahal Quartzite polished stone type HTL-ST-23, 200mm high</t>
  </si>
  <si>
    <t>Stone To Doors</t>
  </si>
  <si>
    <t>ADDITIONAL WORKS</t>
  </si>
  <si>
    <t>The tenderer is to detail below any additional items with quantities and rates not previously included to complete the build up of the lump sum tender price for this section of the works. Should the tendered fail to insert any items hereunder, it will be deemed that his lump sum price for the tender includes all works as required by the tender drawings and specification and no subsequent claim for any additional item will be entertained.</t>
  </si>
  <si>
    <t>Stone;  threshold (assume type HTL-ST-25) 150mm width, refer to RFI 008 response of client</t>
  </si>
  <si>
    <t>Supply and installation architrave Calacatta Vagli Marble type in HTL-ST-25 total size of 240mm  by  2700mm H x 1000mm, refer to RFI 008 response of client</t>
  </si>
  <si>
    <t>DISABLED TOILET</t>
  </si>
  <si>
    <t>Stone Floor: Type HTL-ST-08 as detail shown in drawing no. AHK-ID-SD-L28-01431</t>
  </si>
  <si>
    <t>Stone Wall Cladding:  Type-HTL-ST-27 as detail shown in drawing no. AHK-ID-SD-L28-01446</t>
  </si>
  <si>
    <t>Stone Skirting:  Type-HTL-ST-07 as detail shown in drawing no. AHK-ID-SD-L28-01446</t>
  </si>
  <si>
    <t>Stone Dado:  Type-HTL-ST-07 as detail shown in drawing no. AHK-ID-SD-L28-01446</t>
  </si>
  <si>
    <t>PACKAGE -4 - HOTEL LEVEL 01:- PRAYER ROOM &amp; ABLUTION</t>
  </si>
  <si>
    <t xml:space="preserve">FLOOR FINISHES </t>
  </si>
  <si>
    <t>Supply and fixing of Stone flooring; Type HTL-ST-08, "Pierre de Bourgogne" or travertin, Anti-gliss Treatment</t>
  </si>
  <si>
    <t>Male Ablution</t>
  </si>
  <si>
    <t>Female Ablution</t>
  </si>
  <si>
    <t>Supply and fixing of Stone Seating; Type HTL-ST-16, Volakas Marble, Honed</t>
  </si>
  <si>
    <t>Supply and fixing of Stone Upstand; Type HTL-ST-16, Volakas Marble, Honed</t>
  </si>
  <si>
    <t>200mm wide; Type ST-08, Pierre de Bourgogne, Anti-gliss treatment</t>
  </si>
  <si>
    <t>250mm wide; Type ST-08, Pierre de Bourgogne, Anti-gliss treatment</t>
  </si>
  <si>
    <t>Supply and fixing of Stone Skirting; Type HTL-ST-07; 100mm high</t>
  </si>
  <si>
    <t xml:space="preserve">WALL FINISHES </t>
  </si>
  <si>
    <t>Supply and fixing of Stone Wall Cladding; Type HTL-0T-07</t>
  </si>
  <si>
    <t>Supply and fixing of Stone Wall Recess; Type HTL-ST-24</t>
  </si>
  <si>
    <t>WALL FINISHES</t>
  </si>
  <si>
    <t>Supply &amp; fix of stone wall recess; Type HTL-ST-12; as per drawing no. P18-IDR-H-L1-101A-120</t>
  </si>
  <si>
    <t>Male Prayer Room</t>
  </si>
  <si>
    <t>Femal Prayer Room</t>
  </si>
  <si>
    <t>PACKAGE - 4 - HOTEL GF LOBBY AND L1 CORRIDOR</t>
  </si>
  <si>
    <t>Supply and installation of Stone flooring laid on cement and sand screed including grouting, movement joints,pointing, polishing, decoration, dry set mortar or adhesive and the like all in accordance with drawings and specifications.</t>
  </si>
  <si>
    <t>Dark Granite flooring to GF Lobby, subject to sample approval (considered chelmsford Grey)</t>
  </si>
  <si>
    <t>Light Granite flooring to GF Lobby, subject to sample approval (considered Saudi Bianco)</t>
  </si>
  <si>
    <t>Stone flooring to L1 Corridor; Type HTL-ST-01; Crystal White; Polished</t>
  </si>
  <si>
    <t>Supply and installation of Stone Threshold, including necessary grouting, polishing, decoration, adhesives, etc and the like all in accordance with drawings and specifications.</t>
  </si>
  <si>
    <t xml:space="preserve">Threshold of various sizes to GF Lobby </t>
  </si>
  <si>
    <t>Supply and installation of Metal works in accordance with drawings and specifications.</t>
  </si>
  <si>
    <t xml:space="preserve">Metal trim to GF Lobby; Type HTL-ME-03; Mirror Polished Stainless Steel </t>
  </si>
  <si>
    <t xml:space="preserve">Metal trim to L1 Corridor; Type HTL-ME-03; Mirror Polished Stainless Steel </t>
  </si>
  <si>
    <t>Supply and installation of Skirting finishes including all necessary backing support, framing, fittings, fixing, accessories,grouting, movement joints,pointing, polishing, decoration shadow gaps, etc and the like all in accordance with drawings and specifications.</t>
  </si>
  <si>
    <t>Light Marble Skirting to GF Lobby; subject to sample approval; 150mm high (considered Saudi Bianco)</t>
  </si>
  <si>
    <t>Stone Skirting to L1 Corridor; Type HTL-ST-01; Crystal White; Polished</t>
  </si>
  <si>
    <t>Supply and installation of Stone finishes including all necessary framing, fitting, fixing, backing framing support, decoration, provision of the Niche etc and the like all in accordance with drawings and specifications.</t>
  </si>
  <si>
    <t>Stone Wall Cladding and architrave to L1 Corridor; Type HTL-ST-01, Crystal White, Polished</t>
  </si>
  <si>
    <t>PACKAGE -2 - LEVEL 01 BALL ROOM</t>
  </si>
  <si>
    <t>MARBLE FINISHES</t>
  </si>
  <si>
    <t>Floor Finishes</t>
  </si>
  <si>
    <t>Floor finishes including preparation of substrate, cement and sand  render, bedding or screed or any underlayment for fitted carpets, grout with all necessary fittings, fixings  accessories to complete all in accordance with the drawings and specifications</t>
  </si>
  <si>
    <t>Level 1</t>
  </si>
  <si>
    <t>Ballroom</t>
  </si>
  <si>
    <t>Stone floor ; type HTL-ST-36</t>
  </si>
  <si>
    <t>Meeting Room (1 &amp; 2), Break Out Space, Hall, Corridor and Hallways</t>
  </si>
  <si>
    <t xml:space="preserve">Stone floor ; type HTL-ST-36 </t>
  </si>
  <si>
    <t>Lift Lobby</t>
  </si>
  <si>
    <t>Ballroom male toilet</t>
  </si>
  <si>
    <t>Stone floor; herringbone pattern; type HTL-ST-01</t>
  </si>
  <si>
    <t>7mm wide Brass Strip insert in brushed finish with top layer brass coat (HTL-ME-04)</t>
  </si>
  <si>
    <t>Ballroom female toilet</t>
  </si>
  <si>
    <t>Wall finish including preparation of substrate,  render, filler, primer, undercoat(s), finish coats, all necessary fittings, fixings  accessories to complete all in accordance with the drawings and specifications</t>
  </si>
  <si>
    <t>Supply and fixing of Stone Wall Cladding; Type HTL-ST-36</t>
  </si>
  <si>
    <t>Supply and fixing of Stone Wall Cladding; Type HTL-ST-10</t>
  </si>
  <si>
    <t>Toilet</t>
  </si>
  <si>
    <t>Supply and fixing of stone in female toilet; type HTL-ST-37</t>
  </si>
  <si>
    <t>Supply and fixing of stone in male toilet; type HTL-ST-38</t>
  </si>
  <si>
    <t>Skirting Finishes</t>
  </si>
  <si>
    <t>Stone skirting including all necessary backing support, framing, fittings, fixing, accessories, grouting, movement joints, pointing, polishing, decoration shadow gaps, etc. and the like all in accordance with drawings and specifications</t>
  </si>
  <si>
    <t>Supply and fixing of stone skirting; type stone baseboard HTL-ST-36</t>
  </si>
  <si>
    <t>Supply and fixing of stone skirting; type stone baseboard HTL-ST-10</t>
  </si>
  <si>
    <t>Supply and fixing of stone skirting; 150mm high; type stone baseboard HTL-ST-37 to female toilet</t>
  </si>
  <si>
    <t>Supply and fixing of stone skirting; 150mm high; type stone baseboard HTL-ST-38 to male toilet</t>
  </si>
  <si>
    <t>The tenderer is to detail below any additional items with quantities and rates not previously included to complete the build up of the lump sum tender price for this section of the works. Should the Subcontractor fail to insert any items hereunder, it will be deemed that his lump sum price for the tender includes all works as required by the tender drawings and specification and no subsequent claim for any additional item will be entertained.</t>
  </si>
  <si>
    <t>Stone Treads; to steps, HTL-ST-36, 500mm wide</t>
  </si>
  <si>
    <t>Stone Risers; to steps, HTL-ST-36, 160mm high</t>
  </si>
  <si>
    <t>Stone vanity counter to female toilet, curved, HTL-ST-37, overall size 2580 x 2185 x 880mm high as per Dwg Ref L1-BALL-WC-D-305 &amp; L1-BALL-WC-D-306</t>
  </si>
  <si>
    <t>Stone architrave, 150mm wide, HTL-ST-37 to female toilet doors as per Dwg Ref L1-BALL-WC-D-310 Detail 01A</t>
  </si>
  <si>
    <t>Stone architrave, 210mm wide, HTL-ST-37 to female toilet doors as per Dwg Ref L1-BALL-WC-D-310 Detail 01</t>
  </si>
  <si>
    <t>Stone architrave, 200mm wide, HTL-ST-38 to male toilet urinal as per Dwg Ref L1-BALL-WC-D-307 Detail Top view 1</t>
  </si>
  <si>
    <t>Stone Architrave, 905mm wide, HTL-ST-38 to male toilets</t>
  </si>
  <si>
    <t>Stone Architrave, 150mm wide, HTL-ST-38 to male toilet doors as per Dwg Ref L1-BALL-WC-D-310 Detail 01A</t>
  </si>
  <si>
    <t>Stone Architrave, 210mm wide, HTL-ST-38 to male toilet doors as per Dwg Ref L1-BALL-WC-D-310 Detail 01</t>
  </si>
  <si>
    <t>Stone Urinal shelf, 100mm wide, HTL-ST-38 to male toilet as per Dwg Ref L1-BALL-WC-D-307</t>
  </si>
  <si>
    <t>Stone Vanity Counter to male toilet, curved, HTL-ST-38, overall size 8775 x 1040 x 880mm high as per Dwg Ref L1-BALL-WC-D-302 &amp; L1-BALL-WC-D-303</t>
  </si>
  <si>
    <t>Stone Architrave around Disable Lift Doors, 230mm wide, HTL-ST-36</t>
  </si>
  <si>
    <t>Stone Bar Counter, in fluted HTL-ST-36 stone, overall size 1650 x 840 x 1100mm high</t>
  </si>
  <si>
    <t>Stone Back Bar Counter, in HTL-ST-36 stone, overall size 2970 x 640</t>
  </si>
  <si>
    <t>Stone Architrave around BOH Doors. 240mm wide, HTL-ST-36</t>
  </si>
  <si>
    <t>Stone Architrave to Lift Lobby, HTL-ST-36 stone</t>
  </si>
  <si>
    <t>I</t>
  </si>
  <si>
    <t>Stone Architrave to Lift Doors, 465mm wide, HTL-ST-36 stone</t>
  </si>
  <si>
    <t>J</t>
  </si>
  <si>
    <t>K</t>
  </si>
  <si>
    <t>Supply and fixing of Stone Architrave; Type HTL-ST-10, size 540+770+615 x 20mm for Ballroom</t>
  </si>
  <si>
    <t>FRAMING SUPPORT</t>
  </si>
  <si>
    <t>INTERNAL FINISHES</t>
  </si>
  <si>
    <t>Metal trim ; type HTL-ME-06</t>
  </si>
  <si>
    <t>Meeting Room 1</t>
  </si>
  <si>
    <t xml:space="preserve">Metal strip; type HTL-ME-06 </t>
  </si>
  <si>
    <t>L</t>
  </si>
  <si>
    <t>Stone threshold; type HTL-ST-36  , width 150 mm</t>
  </si>
  <si>
    <t>Meeting Room 2</t>
  </si>
  <si>
    <t>N</t>
  </si>
  <si>
    <t>Q</t>
  </si>
  <si>
    <t>Corridor</t>
  </si>
  <si>
    <t>Metal trim ; type HTL-ME-03</t>
  </si>
  <si>
    <t>Disable lift lobby</t>
  </si>
  <si>
    <t>Hall</t>
  </si>
  <si>
    <t>M</t>
  </si>
  <si>
    <t>Metal floor ; type HTL-ME-06</t>
  </si>
  <si>
    <t>S</t>
  </si>
  <si>
    <t xml:space="preserve"> m </t>
  </si>
  <si>
    <t>To Collection Dhs.</t>
  </si>
  <si>
    <t>Pre-function space</t>
  </si>
  <si>
    <t>Breakout space</t>
  </si>
  <si>
    <t>Stone floor; type HTL-ST-01</t>
  </si>
  <si>
    <t>Brass strip ; type HTL-ME-04</t>
  </si>
  <si>
    <t>T</t>
  </si>
  <si>
    <t>7 mm brass strip ; type HTL-ME-04</t>
  </si>
  <si>
    <t>Ball room</t>
  </si>
  <si>
    <t>400 mm high Stone baseboard  ; type HTL-ST-10</t>
  </si>
  <si>
    <t>Stone wall; type HTL-ST-10</t>
  </si>
  <si>
    <t>P</t>
  </si>
  <si>
    <t>Moveable partition; type HTL-WC-20/ HTL-ME-03</t>
  </si>
  <si>
    <t>Meeting Room -01</t>
  </si>
  <si>
    <t xml:space="preserve">Metal " C" Beam 100 x 200 mm; type HTL-ME-06 </t>
  </si>
  <si>
    <t xml:space="preserve">Metal " L" Beam 130 x 130 mm; type HTL-ME-06 </t>
  </si>
  <si>
    <t xml:space="preserve">200 mm height Stone baseboard; type HTL-ST-36 </t>
  </si>
  <si>
    <t xml:space="preserve">Metal strip 20 mm wide; type HTL-ME-06 </t>
  </si>
  <si>
    <t>Meeting Room -02</t>
  </si>
  <si>
    <t xml:space="preserve">Metal "U" Beam 100 x 200 mm; type HTL-ME-06 </t>
  </si>
  <si>
    <t xml:space="preserve">200 mm height Stone baseboard  ; type HTL-ST-36 </t>
  </si>
  <si>
    <t>Lit skirting 100 mm high; type HTL-ME-03</t>
  </si>
  <si>
    <t>Stringer at staircase side; type HTL-ME-04</t>
  </si>
  <si>
    <t>U</t>
  </si>
  <si>
    <t xml:space="preserve">200 mm high Stone baseboard; type HTL-ST-36 </t>
  </si>
  <si>
    <t>W</t>
  </si>
  <si>
    <t>200 mm high Decorative lit beam; type HTL-WD-19</t>
  </si>
  <si>
    <t>Stone wall ; type HTL-ST-36</t>
  </si>
  <si>
    <t>Stone baseboard 200 mm height; type HTL-ST-36</t>
  </si>
  <si>
    <t>Stone baseboard 200 mm height; type HTL-ST-10</t>
  </si>
  <si>
    <t>Lift lobby</t>
  </si>
  <si>
    <t xml:space="preserve">200 mm high Stone baseboard  ; type HTL-ST-36 </t>
  </si>
  <si>
    <t>Stone wall; type HTL-ST-36</t>
  </si>
  <si>
    <t>Prefunction</t>
  </si>
  <si>
    <t>200 mm height Stone baseboard  ; type HTL-ST-10</t>
  </si>
  <si>
    <t>R</t>
  </si>
  <si>
    <t>400 mm height Stone baseboard ; type  HTL-ST-10</t>
  </si>
  <si>
    <t>Break out space</t>
  </si>
  <si>
    <t>200 mm high Stone baseboard ; type  HTL-ST-10</t>
  </si>
  <si>
    <t>Stone back bar; type HTL-ST-36</t>
  </si>
  <si>
    <t>Wainscotting ; type HTL-ST-38</t>
  </si>
  <si>
    <t>Stone baseboard ; type HTL-ST-38, 150 mm H</t>
  </si>
  <si>
    <t>Stone wall; HTL -ST -37</t>
  </si>
  <si>
    <t>150 mm Stone baseboard; type HTL-ST-37</t>
  </si>
  <si>
    <t>Metal baseboard; HTL -ME -04</t>
  </si>
  <si>
    <t>BOH</t>
  </si>
  <si>
    <t>200 mm height Stone baseboard HTL-ST-36</t>
  </si>
  <si>
    <t>Storage</t>
  </si>
  <si>
    <t>Ballroom Male Toilet</t>
  </si>
  <si>
    <t>ST-01; 205mmW Threshold</t>
  </si>
  <si>
    <t>Ballroom Female Toilet</t>
  </si>
  <si>
    <t>Supply and Installation of vanity with wash hand basin cutout including supporting HDF frame, decoration and the like all in accordance with drawings and specifications.</t>
  </si>
  <si>
    <t>1000mm length</t>
  </si>
  <si>
    <t>Nr</t>
  </si>
  <si>
    <t>2000mm length</t>
  </si>
  <si>
    <t>Stone Bench; Type HTL-ST-37, as detailed shown on Dwg No. 1902-211, SEC. 08</t>
  </si>
  <si>
    <t>Stone Ledge Top</t>
  </si>
  <si>
    <t>Supply and Installation of Stone Ledge Top at WC cistern, including necessary framing, backing board to receive wall tiles, fittings, etc., complete as per Drawings and Specifications</t>
  </si>
  <si>
    <t>230mm wide;Type HTL-ST-35  Stone Ledge Top at WC cistern</t>
  </si>
  <si>
    <t>Wood Shelf, Wooden Panelling/Frame, Vanity, Ledge</t>
  </si>
  <si>
    <t>Stone Bench; Type HTL-ST-35, as detailed shown on Dwg No. 1902-201, SEC. CC,DD</t>
  </si>
  <si>
    <t>Supply and Installation of Stone Ledge Top at WC cistern, including necessary framing, backing board to receive wall tiles, fittings, etc., complete as per Drawings and Specifications, Type: HTL-ST-35; 230mm wide</t>
  </si>
  <si>
    <t>Nr.</t>
  </si>
  <si>
    <t>Stone Vanity</t>
  </si>
  <si>
    <t>Supply and Installation Stone vanity with wash hand basin cutout including supporting HDF frame, decoration and the like all in accordance with drawings and specifications.</t>
  </si>
  <si>
    <t>Backlit Stone Vanity - Secondary Bathroom, as detailed shown on Dwg. No. RS-2608-334, DET. 01</t>
  </si>
  <si>
    <t>Stone Bench; Type HTL-ST-37, as detailed shown on Dwg No. RS-2608-336, DET. 02</t>
  </si>
  <si>
    <t>250mm wide;Type HTL-ST-21  Stone Ledge Top at WC cistern</t>
  </si>
  <si>
    <t>Backlit Stone Vanity - Master Bathroom, as detailed shown on Dwg. No. RS-2608-318, DET. 01</t>
  </si>
  <si>
    <t>Stone Bench; Type HTL-ST-21, as detailed shown on Dwg No. RS-2608-318, DET. 02</t>
  </si>
  <si>
    <t>Supply and Installation of Wash Basin, including necessary framing, backing board to receive wall tiles, fittings, etc and the like all in accordance with drawings and specifications.</t>
  </si>
  <si>
    <t>Supply and fixing of Wash Basin;Type HTL-ST-51, as detailed shown on Dwg No. RS-2608-337, DET. 01</t>
  </si>
  <si>
    <t>Add</t>
  </si>
  <si>
    <t>Bathtub top - size 1950 x 1020mm ST-37</t>
  </si>
  <si>
    <t>Supply &amp; installation of stone at Master Dressing as per drawing no. RS-2608-314; Type ST-21</t>
  </si>
  <si>
    <t>Supply &amp; installation of stone at Master Dressing as per drawing no. RS-2608-315; Type ST-21</t>
  </si>
  <si>
    <t>Supply &amp; installation of stone at Master Dressing as per drawing no. RS-2608-316; Type ST-21</t>
  </si>
  <si>
    <t>Supply &amp; installation of stone at Master Dressing as per drawing no. RS-2608-317; Type ST-21</t>
  </si>
  <si>
    <t>Supply &amp; instalaltion of stone at Pantry as per drawing no. RS-2608-324; Type ST-16</t>
  </si>
  <si>
    <t>Supply &amp; installation of stone at dining sideboard as per drawing no. RS-2608-326; Top Type ST-21 &amp; wall type ST-51</t>
  </si>
  <si>
    <t>Supply &amp; installation of stone at minibars as per drawing no. RS-2608-327; Type ST-21</t>
  </si>
  <si>
    <t>Nos.</t>
  </si>
  <si>
    <t>Grand total</t>
  </si>
  <si>
    <t>EI Ref</t>
  </si>
  <si>
    <t>GF</t>
  </si>
  <si>
    <t>Type-HS-06-A; Field Pattern, 100x300x20mm, Porcelain Black HNT 208</t>
  </si>
  <si>
    <t>Type HS-06-B; Kerb, 200x300x20mm, Porcelain Black HNT 208</t>
  </si>
  <si>
    <t>WF-02-E; Internal Wall &amp; Floor, 300x300x5mm, Ceramic mosaic Ceramic black mosaic</t>
  </si>
  <si>
    <t>Type HS-01-A; Field Pattern; 1200x600x10mm; Porcelain Avorio Strutturato Rettificato</t>
  </si>
  <si>
    <t>Type HS-01-A; Upper &amp; Lower Terrace; 1200x600x10mm; Porcelain Avorio Strutturato Rettificato</t>
  </si>
  <si>
    <t>Type BS-01-C; Wall coping; 10mm; Porcelain Ivory Coem largos</t>
  </si>
  <si>
    <t>Type BS-02-C; Wall Cladding; 10mm; Porcelain Tile Avorio Strutturato Rettificato</t>
  </si>
  <si>
    <t>Type EC-03-B; Wall Coping; 10mm;  Porcelain Ivory Coem largos</t>
  </si>
  <si>
    <t>Type ST-01-A; Step Tread; 420x10mm; Porcelain Avorio Strutturato Rettificato</t>
  </si>
  <si>
    <t>Type ST-01-B; Step Riser; 125x10mm; Porcelain Avorio Strutturato Rettificato</t>
  </si>
  <si>
    <t>Type ST-02-A; Step Tread; 320x10mm; Porcelain Avorio Strutturato Rettificato</t>
  </si>
  <si>
    <t>Type ST-02-B; Step Riser; 188x10mm;  Porcelain Avorio Strutturato Rettificato</t>
  </si>
  <si>
    <t>Type ST-03-A; Step Tread; 430x10mm; Porcelain Avorio Strutturato Rettificato</t>
  </si>
  <si>
    <t>Type ST-03-B; Step Riser; 150x10mm;  Porcelain Avorio Strutturato Rettificato</t>
  </si>
  <si>
    <t>Type ST-04-A; Step Tread; 420x10mm; Porcelain Avorio Strutturato Rettificato</t>
  </si>
  <si>
    <t>Type ST-04-B; Step Riser; 150x10mm;  Porcelain Avorio Strutturato Rettificato</t>
  </si>
  <si>
    <t>Type ST-05-A; Step Tread; 420x10mm; Porcelain Avorio Strutturato Rettificato</t>
  </si>
  <si>
    <t>Type ST-05-B; Step Riser; 150x10mm;  Porcelain Avorio Strutturato Rettificato</t>
  </si>
  <si>
    <t>Type ST-06-A; Step Tread; 420x10mm; Porcelain Avorio Strutturato Rettificato</t>
  </si>
  <si>
    <t>Type ST-06-B; Step Riser; 150x10mm;  Porcelain Avorio Strutturato Rettificato</t>
  </si>
  <si>
    <t>Type ST-01A-A; Upper Terrace Stair; 420x10mm; Porcelain Avorio Strutturato Rettificato</t>
  </si>
  <si>
    <t>Type ST-01A-B; Upper Terrace Stair; 144x10mm; Porcelain Avorio Strutturato Rettificato</t>
  </si>
  <si>
    <t>Type ST-01B-A; Lower Terrace Stair; 420x10mm; Porcelain Avorio Strutturato Rettificato</t>
  </si>
  <si>
    <t>Type ST-01B-B; Lower Terrace Stair; 144x10mm; Porcelain Avorio Strutturato Rettificato</t>
  </si>
  <si>
    <t xml:space="preserve">SP-04-G; Overflow channel coping, Porcelain Avorio Strutturato Rettificato 
Rates for supply and install of tile </t>
  </si>
  <si>
    <t>Type HS-01-A; Field Pattern; 1200x600x10mm; Porcelain; White; Rakeen Collection</t>
  </si>
  <si>
    <t>Type HS-01-B; Field Pattern; 1200x600x10mm; Porcelain; White; Rakeen Collection</t>
  </si>
  <si>
    <t>Type BS-02-A; Wall Finish; 1200x600x10mm; Porcelain; White Rakeen Collection</t>
  </si>
  <si>
    <t>Type BS-02-B; Seat Finish; 1200x600x10mm; Porcelain; White Rakeen Collection</t>
  </si>
  <si>
    <t>Type EC-02-A; Top Wall Finish; 1200x600x10mm; Porcelain; White Rakeen Collection</t>
  </si>
  <si>
    <t>Type EC-02-B; Wall Finish; 1200x600x10mm; Porcelain; White Rakeen Collection</t>
  </si>
  <si>
    <t>Type ST-01-A; Step Tread; 410x10mm; Porcelain; White Rakeen Collection</t>
  </si>
  <si>
    <t>Type ST-01-B; Step Riser; 150x10mm; Porcelain; White Rakeen Collection</t>
  </si>
  <si>
    <t>Level 23</t>
  </si>
  <si>
    <t>Type BS-01-A; Bench Seat Finish; Ivory 10mm Porcelain</t>
  </si>
  <si>
    <t>Type BS-01-B; Seat Finish;  Ivory 10mm Porcelain</t>
  </si>
  <si>
    <t>Type BS-02-A; Wall Finish; Ivory 10mm Porcelain</t>
  </si>
  <si>
    <t>Type BS-02-B; Bench Seat Finish;  Ivory 10mm Porcelain</t>
  </si>
  <si>
    <t>Type BS-03-A; External Wall cladding 1200x600x10mm; Ivory Porcelain</t>
  </si>
  <si>
    <t>Type BS-03-B; Bench Seat Finish;  Ivory 10mm Porcelain</t>
  </si>
  <si>
    <t>Type EC-01-A; Coping 600x400x10mm; Ivory Porcelain</t>
  </si>
  <si>
    <t>Type EC-01-B; Wall cladding 1200x600x10mm; Ivory Porcelain</t>
  </si>
  <si>
    <t>PVC Plaster Stop (Below Bench Seat), 20x20x3mm</t>
  </si>
  <si>
    <t>Type ST-01-A; Step Tread; 400x10mm; Porcelain; White Rakeen Collection</t>
  </si>
  <si>
    <t>Type ST-01-B; Step Riser; 165x10mm; Porcelain; White Rakeen Collection</t>
  </si>
  <si>
    <t>Type ST-02-A; Step Tread; 200x10mm; Porcelain; White Rakeen Collection</t>
  </si>
  <si>
    <t>Type ST-02-B; Step Riser; 165x10mm; Porcelain; White Rakeen Collection</t>
  </si>
  <si>
    <t>Type ST-03-A; Step Tread; 200x10mm; Porcelain; White Rakeen Collection</t>
  </si>
  <si>
    <t>Type ST-03-B; Step Riser; 165x10mm; Porcelain; White Rakeen Collection</t>
  </si>
  <si>
    <t xml:space="preserve">WF-23A-A; Coping, 400mmWx10mmm, Ivory </t>
  </si>
  <si>
    <t xml:space="preserve">WF-23A-A; Coping, 350mmWx10mmm, Ivory </t>
  </si>
  <si>
    <t xml:space="preserve">WF-23A-A; Coping, 200mmWx10mmm, Ivory </t>
  </si>
  <si>
    <t xml:space="preserve">WF-23A-B;Cladding, 1200x600x10mm, Ivory </t>
  </si>
  <si>
    <t>WF-23A-C;Flooring, 1200x600x10mm, Black AQ002</t>
  </si>
  <si>
    <t xml:space="preserve">WF-23A-D;External Wall Cladding, 1200x600x10mm, Ivory </t>
  </si>
  <si>
    <t xml:space="preserve">Corner Bead SS 316 Y Style, 35x30x30x2mm </t>
  </si>
  <si>
    <t xml:space="preserve">WF-23B-A; Coping, 400mmWx10mmm, Ivory </t>
  </si>
  <si>
    <t xml:space="preserve">WF-23B-B;Cladding, 1200x600x10mm, Ivory </t>
  </si>
  <si>
    <t>WF-23B-C;Flooring, 1200x600x10mm, Black AQ002</t>
  </si>
  <si>
    <t xml:space="preserve">WF-23B-D;External Wall Cladding, 1200x600x10mm, Ivory </t>
  </si>
  <si>
    <t xml:space="preserve">WF-23C-A; Coping, 400mmWx10mmm, Ivory </t>
  </si>
  <si>
    <t xml:space="preserve">WF-23C-B;Cladding, 1200x600x10mm, Ivory </t>
  </si>
  <si>
    <t>WF-23C-C;Flooring, 1200x600x10mm, Black AQ002</t>
  </si>
  <si>
    <t xml:space="preserve">Type BS-01-D; Interior wall cladding; 5mm thickness; Magnolia from shading bleds 20 - Excluded </t>
  </si>
  <si>
    <t xml:space="preserve">Project: Dorchester Plot 18 </t>
  </si>
  <si>
    <t>Subject: Variation order register</t>
  </si>
  <si>
    <t xml:space="preserve">Item no. </t>
  </si>
  <si>
    <t xml:space="preserve">Reference </t>
  </si>
  <si>
    <t>Aconex Ref</t>
  </si>
  <si>
    <t xml:space="preserve">Date of Submission </t>
  </si>
  <si>
    <t>ORIGINAL CONTRACT</t>
  </si>
  <si>
    <t>Supply and installation of hardlandscape Stoneworks</t>
  </si>
  <si>
    <t>Variation Order</t>
  </si>
  <si>
    <t>E11-K114-SK-dm-151</t>
  </si>
  <si>
    <t>ARS-1139-0622</t>
  </si>
  <si>
    <t>Addition Support for Level 29 Pool Bar Counter</t>
  </si>
  <si>
    <t>E11-K114-SK-dm-051</t>
  </si>
  <si>
    <t>28/06/2022</t>
  </si>
  <si>
    <t>ARM-AR-A-VAR-002</t>
  </si>
  <si>
    <t>Additional Black Absoluto Banding at Level 02 Drop Off as per KCE-LX-RFI-L2-00073</t>
  </si>
  <si>
    <t>E11/K114/SN/dm/183</t>
  </si>
  <si>
    <t>ARMG-SUBCONLET-000078</t>
  </si>
  <si>
    <t>15/9/2022</t>
  </si>
  <si>
    <t>ARS-1182-0822</t>
  </si>
  <si>
    <t>E11-K114-SK-SR-206</t>
  </si>
  <si>
    <t>ARS-1157-0822</t>
  </si>
  <si>
    <t>Supply and installation of Omani stone 20mm thick cladding for Daybed booth at Level 04 Residential Swimming pool as per mark-up drawing LA-LD-L4-3421.</t>
  </si>
  <si>
    <t>E11/K114/SK/MV/243 &amp; 244</t>
  </si>
  <si>
    <t>21/09/2022</t>
  </si>
  <si>
    <t>ARM-AR-A-VAR-003</t>
  </si>
  <si>
    <t>Submittal of variation order ARM-AR-A-VAR-003 – Supply and     installation of Omani stone 20mm thick planter cladding at Levels 10,24,25,   26,27 &amp; 29 as per EI-303_R0,R1&amp;R2</t>
  </si>
  <si>
    <t>E11K114SCdm303 r0, r1 &amp; r2</t>
  </si>
  <si>
    <t>ARMG-SUBCONLET-000106</t>
  </si>
  <si>
    <t>31/10/2022</t>
  </si>
  <si>
    <t>ARM-AR-A-VAR-004_R1</t>
  </si>
  <si>
    <t>Supply and     installation of additional cobbles, banding and benches at Level 02  drop    off as per revised design</t>
  </si>
  <si>
    <t xml:space="preserve">E11/K114/SC/dm/367 </t>
  </si>
  <si>
    <t>ARMG-SUBCONLET-000137</t>
  </si>
  <si>
    <t>ARM-AR-A-VAR-005</t>
  </si>
  <si>
    <t>Supply and installation of additional Tribeca Sanded Crazy cut HS-01A at Level 17  as per EI-373</t>
  </si>
  <si>
    <t>E11/K114/SC/dm/373</t>
  </si>
  <si>
    <t>ARMG-SUBCONLET-000109</t>
  </si>
  <si>
    <t>ARM-AR-A-VAR-006_R4</t>
  </si>
  <si>
    <t>Supply and Installation of Hardlandscape Tiling works as per EI 306 &amp; 338</t>
  </si>
  <si>
    <t>E11/K114/SC/dm/306 &amp; 338</t>
  </si>
  <si>
    <t>ARMG-SUBCONLET-000133</t>
  </si>
  <si>
    <t>ARM-AR-A-VAR-007</t>
  </si>
  <si>
    <t>Supply and Installation of Omani flooring and stair cladding 20mmT at Level 10 as per EI 306R1</t>
  </si>
  <si>
    <t>E11/K114/SC/dm/306_r1</t>
  </si>
  <si>
    <t>ARMG-SUBCONLET-000113</t>
  </si>
  <si>
    <t>ARM-AR-A-VAR-008_R1</t>
  </si>
  <si>
    <t>E11-K114-SC-MV-438</t>
  </si>
  <si>
    <t>ARMG-SUBCONLET-000128</t>
  </si>
  <si>
    <t>28/11/2022</t>
  </si>
  <si>
    <t>E11/K114/AS/dm/447</t>
  </si>
  <si>
    <t>ARMG-SUBCONLET-000130</t>
  </si>
  <si>
    <t>ARM-AR-A-VAR-010</t>
  </si>
  <si>
    <t>Supply and installation of 10x10x5cm cobbles stone at LPG delivery truck way; Work as per RFI ref. KCE-LX-RFI-GF-00332 Rev 00</t>
  </si>
  <si>
    <t>E11/K114/NA/dm/490</t>
  </si>
  <si>
    <t>ARMG-SUBCONLET-000132</t>
  </si>
  <si>
    <t>ARM-AR-A-VAR-011</t>
  </si>
  <si>
    <t>Supply and installation of 20mm thick black tile to Level 23 (WF-23A-C-WF-23B-C, WF-23C-C) as per the attached material apporval ref  ARM-LX-MT-ET-00045 dated 07.11.22</t>
  </si>
  <si>
    <t>E11-K114-SK-mv-562</t>
  </si>
  <si>
    <t>ARMG-SUBCONLET-000145</t>
  </si>
  <si>
    <t>ARM-AR-A-VAR-012</t>
  </si>
  <si>
    <t xml:space="preserve">Level 17 revised drawing </t>
  </si>
  <si>
    <t>E11/K114/SC/mv/427</t>
  </si>
  <si>
    <t>ARMG-SUBCONLET-000154</t>
  </si>
  <si>
    <t>25/01/2023</t>
  </si>
  <si>
    <t>Supply and installation of Stone/Tile at Level 23  Disabled Toilet</t>
  </si>
  <si>
    <t>E11-K114-SN-SR-499</t>
  </si>
  <si>
    <t>ARS.1272.1222</t>
  </si>
  <si>
    <t xml:space="preserve">Stoneworks at Secret Garden </t>
  </si>
  <si>
    <t>E11/K114/SK/mv/597</t>
  </si>
  <si>
    <t>27/12/2022</t>
  </si>
  <si>
    <t xml:space="preserve">Cost estimate for stoneworks at GF and Level 02 Hardlandscape areas due to design change </t>
  </si>
  <si>
    <t>28/12/2022</t>
  </si>
  <si>
    <t>ARM-AR-A-VAR-013</t>
  </si>
  <si>
    <t xml:space="preserve">Supply and installation of Level 29 Bar counter as per revised ID design  </t>
  </si>
  <si>
    <t>E11-K114-SN-dm-498</t>
  </si>
  <si>
    <t>E11/K114/KD/sk/565</t>
  </si>
  <si>
    <t>ARMG-SUBCONLET-000168</t>
  </si>
  <si>
    <t>23/02/2023</t>
  </si>
  <si>
    <t>E11/K114/HN/MV/701</t>
  </si>
  <si>
    <t>ARMG-SUBCONLET-000169</t>
  </si>
  <si>
    <t>installation of floor tiles at various locations as per highlighted markup drawing including grouting adhesive, trims, accesories , etc... to complete the works - Balcony areas</t>
  </si>
  <si>
    <t>E11/K114/SK/mv/581</t>
  </si>
  <si>
    <t>Omani beige tile at highlighted step on drawing ref. ARM-TL-SD-L4-00410 Rev 00</t>
  </si>
  <si>
    <t>E11/K114/SC/dm/603</t>
  </si>
  <si>
    <t>Supply and installation of granite kerb at GF to L2 ramp</t>
  </si>
  <si>
    <t>E11/K114/SK/SC/646</t>
  </si>
  <si>
    <t>Lift 12 &amp; 13 internal floor stone finish</t>
  </si>
  <si>
    <t>E11/K114/SN/dm/698</t>
  </si>
  <si>
    <t>Installation of tiling at Level 03</t>
  </si>
  <si>
    <t>E11/K114/SK/SR/724</t>
  </si>
  <si>
    <t>Installation of bespoke kerbstone for hardscape works and work as per WIR ref. ARM-AX-WR-L24-00017 Rev 0</t>
  </si>
  <si>
    <t>E11/K114/AS/dm/445</t>
  </si>
  <si>
    <t>Works at GF Ballroom prefunction &amp; GF paving as per Client email</t>
  </si>
  <si>
    <t>E11/K114/AK/dm/774 &amp; 778</t>
  </si>
  <si>
    <t>Total amount - VO</t>
  </si>
  <si>
    <t>Quotations issued to KCE</t>
  </si>
  <si>
    <t>ARS/1311/0223</t>
  </si>
  <si>
    <t>Quotation for Lift 12 &amp; 3 stone flooring, border and skirting</t>
  </si>
  <si>
    <t>ARS/1319/0223</t>
  </si>
  <si>
    <t>Additional stoneworks for L02 Secret Garden inside terrace bar flooring</t>
  </si>
  <si>
    <t>ARMG-SUBCONLET-000166</t>
  </si>
  <si>
    <t>15/2/2023</t>
  </si>
  <si>
    <t xml:space="preserve">Total amount quotation </t>
  </si>
  <si>
    <t xml:space="preserve">Grand Total </t>
  </si>
  <si>
    <t>Invoice No:  ARM-KCE-DHR-011</t>
  </si>
  <si>
    <t>Date:  27/02/2023</t>
  </si>
  <si>
    <t>Cumulative Works Done - Feb 2023</t>
  </si>
  <si>
    <t>Advance paid to Reem</t>
  </si>
  <si>
    <t>M/s Khansaheb Civil Engineering LLC</t>
  </si>
  <si>
    <t>our ref:  ARS/1294/0123</t>
  </si>
  <si>
    <t>Dubai, UAE</t>
  </si>
  <si>
    <t>PROJECT:  Plot 18 BB - Dorchester Hotel</t>
  </si>
  <si>
    <r>
      <t xml:space="preserve">Reference No:  </t>
    </r>
    <r>
      <rPr>
        <b/>
        <u/>
        <sz val="12"/>
        <color theme="1"/>
        <rFont val="Calibri"/>
        <family val="2"/>
        <scheme val="minor"/>
      </rPr>
      <t>ARM/KCE-DHR/010</t>
    </r>
  </si>
  <si>
    <t>SI</t>
  </si>
  <si>
    <t>DESCRIPTION</t>
  </si>
  <si>
    <t>Current</t>
  </si>
  <si>
    <t>I.</t>
  </si>
  <si>
    <t>Hardlandscape Stoneworks</t>
  </si>
  <si>
    <t>Work Done Hardlandscape stoneworks</t>
  </si>
  <si>
    <t>Variations - Roberts</t>
  </si>
  <si>
    <t>Sub-total Amount (A)</t>
  </si>
  <si>
    <t>II.</t>
  </si>
  <si>
    <t>Sub-total Amount (B)</t>
  </si>
  <si>
    <t>III.</t>
  </si>
  <si>
    <t>Grand Total: A+B=C</t>
  </si>
  <si>
    <t>IV.</t>
  </si>
  <si>
    <t>Less Retention: Cx20%</t>
  </si>
  <si>
    <t>V.</t>
  </si>
  <si>
    <t>VI.</t>
  </si>
  <si>
    <t>Total Net claim amount</t>
  </si>
  <si>
    <t>Variations - KCE</t>
  </si>
  <si>
    <t>Advance payment</t>
  </si>
  <si>
    <t>Stoneworks at GF and Level 02 Hardlandscape areas due to design change</t>
  </si>
  <si>
    <t>Less Advance payment recovery 10%</t>
  </si>
  <si>
    <t>date:  28/02/2023</t>
  </si>
  <si>
    <r>
      <t xml:space="preserve">Stoneworks in Ballroom, Royal, Presidential Suit, Gym, Prayer Room, Lobbies </t>
    </r>
    <r>
      <rPr>
        <sz val="14"/>
        <color rgb="FFFF0000"/>
        <rFont val="Calibri"/>
        <family val="2"/>
        <scheme val="minor"/>
      </rPr>
      <t>(AHK Balance)</t>
    </r>
  </si>
  <si>
    <t>Only paid 90% Until VO approval</t>
  </si>
  <si>
    <t xml:space="preserve">Supply and fixing of Wall Panel System including the finishes type; HTL-WC-29 </t>
  </si>
  <si>
    <t xml:space="preserve">Supply and fixing of Wall Panel System including the finishes type; HTL-WC-23 </t>
  </si>
  <si>
    <t>170 x 2650mm high @ dining room as per elev. PP2</t>
  </si>
  <si>
    <t>310 x 2500 2650mm high @ dining room as per elev. 002</t>
  </si>
  <si>
    <t>400 x 2500 2650mm high @ corridor as per elev. ZZ1 &amp; XX1</t>
  </si>
  <si>
    <t>310 x 6350mm high @ living room as per elev SS2 &amp; RR2</t>
  </si>
  <si>
    <t>(375+80) x 6350mm high @ living room as per elev. RR 2</t>
  </si>
  <si>
    <t>220 x 2650mm high @ Master Suite Corridor as per elev TT1 &amp; VV1</t>
  </si>
  <si>
    <t xml:space="preserve">Master Bedroom </t>
  </si>
  <si>
    <t xml:space="preserve">Dressing 1  </t>
  </si>
  <si>
    <t xml:space="preserve">Valet Box 1  </t>
  </si>
  <si>
    <t xml:space="preserve">Master Suite Corridor </t>
  </si>
  <si>
    <t>315 345mm wide; Type ST-37 Threshold (as per detail shown in drawing no. 1902-132)</t>
  </si>
  <si>
    <t>260 265mm wide; Type ST-50 Threshold (as per detail shown in drawing no. 1902-132)</t>
  </si>
  <si>
    <t>Metal Trim divider of Type HTL-ME-04; Brass, Brushed-matte vernish (qty indicated is only items related to stone works)</t>
  </si>
  <si>
    <t>Supply and fixing of Stone Architrave; Type HTL-ST-10, size 770+440 550 x 20mm for Ballroom</t>
  </si>
  <si>
    <t>Supply and fixing of Stone Architrave; Type HTL-ST-10, size 540 550+770+615 x 20mm for Ballroom</t>
  </si>
  <si>
    <t>Stone custom sink and stone top in HTL-ST-37 with wood drawer box at Twin Bathroom, as detailed shown on Dwg. No. 1902-210, SEC. II</t>
  </si>
  <si>
    <t>Built-in metal drawers w/ stone top and fabric panel at back in metal continuous frame, Study Room as detailed shown on Dwg. No. 1902-120, 1902-203 SEC. KK,LL</t>
  </si>
  <si>
    <t>Make-up station with stone top and wood shelf, legs and wood panels on Dressing Room 1 as detailed shown on Dwg. No. 1902-203, SEC. LL</t>
  </si>
  <si>
    <t>Custom stone sink and stone vanity in HTL-ST-35 with wood drawer box, wood shelf at Master Bathroom, as detailed shown on Dwg. No. 1902-200 SEC. AA,BB &amp; 1902-205 SEC. OO,PP</t>
  </si>
  <si>
    <t>Custom stone sink and stone vanity in HTL-ST-21  at Powder Room, as detailed shown on Dwg. No. 1902-203 SEC. KK,LL &amp; 1902-207 SEC. YY</t>
  </si>
  <si>
    <t>Custom stone sink and stone vanity with backsplash in HTL-ST-52 at Open Kitchen as detailed shown on dwg no. 1902-324; Det. 01</t>
  </si>
  <si>
    <t>Custom stone sink and stone vanity with backsplash in HTL-ST-16 at Pantry</t>
  </si>
  <si>
    <t>Stone Island at Open Kitchen:  Type HTL-ST-37, as detailed shown on dwg. No. 1902-325, det. 01: Type HTL-ST-37</t>
  </si>
  <si>
    <t>Wooden drawers with stone top on Media Room, as detailed shown on Dwg. No. 1902-323. Det.01, Type HTL-ST-35</t>
  </si>
  <si>
    <t>Wooden wardrobe with stone top and backsplash on Dressing Room 2, as detailed shown on Dwg. No. 1902-315, Det. 01; Tpe HTL-ST-35</t>
  </si>
  <si>
    <t>Wooden wardrobe with stone top and backsplash on Dressing Room 1, as detailed shown on Dwg. No. 1902-311, Det. 01; Type HTL-ST-35</t>
  </si>
  <si>
    <t>Wooden wardrobe with stone top and backsplash on Dressing room 1, as detailed shown on Dwg. No. 1902-310,Det.01; Type HTL-ST-35</t>
  </si>
  <si>
    <t>Stoneworks in Ballroom, Royal, Presidential Suit, Gym, Prayer Room, Lobbies (AHK Balance)</t>
  </si>
  <si>
    <t>Material @ Site Rate</t>
  </si>
  <si>
    <t>Material Qty</t>
  </si>
  <si>
    <t>Material Balance Qty</t>
  </si>
  <si>
    <t>Material @ Site Amount</t>
  </si>
  <si>
    <t>Residential Swimming pool surround Levels 24,25 &amp; 27 (m2)</t>
  </si>
  <si>
    <t>Installation of bespoke kerbstone for hardscape works and work as per WIR ref. ARM-AX-WR-L24-00017 Rev 0 as per EI 445</t>
  </si>
  <si>
    <t>Hotel balcony area (m2)</t>
  </si>
  <si>
    <t>Installation of floor tiles at various locations as per highlighted markup drawing including grouting adhesive, trims, accesories , etc... to complete the works - Balcony areas</t>
  </si>
  <si>
    <t>80% only until WIR approval, and balance work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</si>
</sst>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38"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i/>
      <sz val="11"/>
      <color theme="1"/>
      <name val="Calibri"/>
      <family val="2"/>
      <scheme val="minor"/>
    </font>
    <font>
      <sz val="11"/>
      <name val="Calibri"/>
      <family val="2"/>
      <scheme val="minor"/>
    </font>
    <font>
      <b/>
      <u/>
      <sz val="11"/>
      <name val="Calibri"/>
      <family val="2"/>
      <scheme val="minor"/>
    </font>
    <font>
      <sz val="8"/>
      <name val="Calibri"/>
      <family val="2"/>
      <scheme val="minor"/>
    </font>
    <font>
      <sz val="11"/>
      <color rgb="FFFF0000"/>
      <name val="Calibri"/>
      <family val="2"/>
      <scheme val="minor"/>
    </font>
    <font>
      <b/>
      <sz val="11"/>
      <color rgb="FF0000FF"/>
      <name val="Calibri"/>
      <family val="2"/>
      <scheme val="minor"/>
    </font>
    <font>
      <b/>
      <sz val="11"/>
      <color rgb="FFFF0000"/>
      <name val="Calibri"/>
      <family val="2"/>
      <scheme val="minor"/>
    </font>
    <font>
      <b/>
      <sz val="16"/>
      <name val="Calibri Light"/>
      <family val="2"/>
      <scheme val="major"/>
    </font>
    <font>
      <b/>
      <sz val="16"/>
      <color theme="0"/>
      <name val="Calibri Light"/>
      <family val="2"/>
      <scheme val="major"/>
    </font>
    <font>
      <b/>
      <sz val="16"/>
      <color theme="1"/>
      <name val="Calibri"/>
      <family val="2"/>
      <scheme val="minor"/>
    </font>
    <font>
      <sz val="16"/>
      <color theme="0"/>
      <name val="Calibri Light"/>
      <family val="2"/>
      <scheme val="major"/>
    </font>
    <font>
      <sz val="12"/>
      <color theme="1"/>
      <name val="Calibri"/>
      <family val="2"/>
      <scheme val="minor"/>
    </font>
    <font>
      <b/>
      <sz val="12"/>
      <name val="Calibri Light"/>
      <family val="2"/>
      <scheme val="major"/>
    </font>
    <font>
      <sz val="12"/>
      <name val="Calibri Light"/>
      <family val="2"/>
      <scheme val="major"/>
    </font>
    <font>
      <b/>
      <sz val="26"/>
      <color theme="1"/>
      <name val="Calibri"/>
      <family val="2"/>
      <scheme val="minor"/>
    </font>
    <font>
      <sz val="26"/>
      <color theme="1"/>
      <name val="Calibri"/>
      <family val="2"/>
      <scheme val="minor"/>
    </font>
    <font>
      <b/>
      <sz val="26"/>
      <color theme="0"/>
      <name val="Calibri"/>
      <family val="2"/>
      <scheme val="minor"/>
    </font>
    <font>
      <sz val="26"/>
      <color theme="0"/>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b/>
      <sz val="12"/>
      <color theme="1"/>
      <name val="Calibri"/>
      <family val="2"/>
      <scheme val="minor"/>
    </font>
    <font>
      <b/>
      <u/>
      <sz val="12"/>
      <color theme="1"/>
      <name val="Calibri"/>
      <family val="2"/>
      <scheme val="minor"/>
    </font>
    <font>
      <sz val="12"/>
      <name val="Calibri"/>
      <family val="2"/>
      <scheme val="minor"/>
    </font>
    <font>
      <b/>
      <sz val="12"/>
      <name val="Calibri"/>
      <family val="2"/>
      <scheme val="minor"/>
    </font>
    <font>
      <b/>
      <u val="singleAccounting"/>
      <sz val="12"/>
      <name val="Calibri"/>
      <family val="2"/>
      <scheme val="minor"/>
    </font>
    <font>
      <sz val="14"/>
      <color rgb="FFFF0000"/>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b/>
      <sz val="11"/>
      <color rgb="FF9C5700"/>
      <name val="Calibri"/>
      <family val="2"/>
      <scheme val="minor"/>
    </font>
    <font>
      <sz val="9"/>
      <color indexed="81"/>
      <name val="Tahoma"/>
      <family val="2"/>
    </font>
    <font>
      <b/>
      <sz val="9"/>
      <color indexed="81"/>
      <name val="Tahoma"/>
      <family val="2"/>
    </font>
  </fonts>
  <fills count="1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8"/>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92D050"/>
        <bgColor indexed="64"/>
      </patternFill>
    </fill>
    <fill>
      <patternFill patternType="solid">
        <fgColor rgb="FFC6EFCE"/>
      </patternFill>
    </fill>
    <fill>
      <patternFill patternType="solid">
        <fgColor rgb="FFFFEB9C"/>
      </patternFill>
    </fill>
    <fill>
      <patternFill patternType="solid">
        <fgColor theme="9"/>
      </patternFill>
    </fill>
    <fill>
      <patternFill patternType="solid">
        <fgColor rgb="FFFFEB9C"/>
        <bgColor indexed="64"/>
      </patternFill>
    </fill>
    <fill>
      <patternFill patternType="solid">
        <fgColor theme="9"/>
        <bgColor indexed="64"/>
      </patternFill>
    </fill>
  </fills>
  <borders count="3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bottom style="thin">
        <color indexed="64"/>
      </bottom>
      <diagonal/>
    </border>
    <border>
      <left style="thin">
        <color auto="1"/>
      </left>
      <right/>
      <top/>
      <bottom style="thin">
        <color indexed="64"/>
      </bottom>
      <diagonal/>
    </border>
    <border>
      <left/>
      <right style="thin">
        <color auto="1"/>
      </right>
      <top style="hair">
        <color auto="1"/>
      </top>
      <bottom style="thin">
        <color indexed="64"/>
      </bottom>
      <diagonal/>
    </border>
    <border>
      <left style="thin">
        <color auto="1"/>
      </left>
      <right/>
      <top style="hair">
        <color auto="1"/>
      </top>
      <bottom style="thin">
        <color indexed="64"/>
      </bottom>
      <diagonal/>
    </border>
    <border>
      <left style="thin">
        <color auto="1"/>
      </left>
      <right style="thin">
        <color auto="1"/>
      </right>
      <top style="thin">
        <color auto="1"/>
      </top>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medium">
        <color auto="1"/>
      </bottom>
      <diagonal/>
    </border>
    <border>
      <left/>
      <right style="thin">
        <color auto="1"/>
      </right>
      <top style="hair">
        <color auto="1"/>
      </top>
      <bottom style="medium">
        <color indexed="64"/>
      </bottom>
      <diagonal/>
    </border>
    <border>
      <left style="thin">
        <color auto="1"/>
      </left>
      <right/>
      <top style="hair">
        <color auto="1"/>
      </top>
      <bottom style="medium">
        <color indexed="64"/>
      </bottom>
      <diagonal/>
    </border>
    <border>
      <left/>
      <right style="thin">
        <color auto="1"/>
      </right>
      <top style="medium">
        <color indexed="64"/>
      </top>
      <bottom style="hair">
        <color auto="1"/>
      </bottom>
      <diagonal/>
    </border>
    <border>
      <left style="thin">
        <color auto="1"/>
      </left>
      <right/>
      <top style="medium">
        <color indexed="64"/>
      </top>
      <bottom style="hair">
        <color auto="1"/>
      </bottom>
      <diagonal/>
    </border>
    <border>
      <left style="thin">
        <color auto="1"/>
      </left>
      <right style="thin">
        <color auto="1"/>
      </right>
      <top/>
      <bottom/>
      <diagonal/>
    </border>
    <border>
      <left style="thin">
        <color auto="1"/>
      </left>
      <right style="thin">
        <color auto="1"/>
      </right>
      <top/>
      <bottom style="double">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style="thin">
        <color auto="1"/>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hair">
        <color auto="1"/>
      </top>
      <bottom/>
      <diagonal/>
    </border>
  </borders>
  <cellStyleXfs count="5">
    <xf numFmtId="0" fontId="0" fillId="0" borderId="0"/>
    <xf numFmtId="43" fontId="1" fillId="0" borderId="0" applyFont="0" applyFill="0" applyBorder="0" applyAlignment="0" applyProtection="0"/>
    <xf numFmtId="0" fontId="31" fillId="14" borderId="0" applyNumberFormat="0" applyBorder="0" applyAlignment="0" applyProtection="0"/>
    <xf numFmtId="0" fontId="32" fillId="15" borderId="0" applyNumberFormat="0" applyBorder="0" applyAlignment="0" applyProtection="0"/>
    <xf numFmtId="0" fontId="34" fillId="16" borderId="0" applyNumberFormat="0" applyBorder="0" applyAlignment="0" applyProtection="0"/>
  </cellStyleXfs>
  <cellXfs count="277">
    <xf numFmtId="0" fontId="0" fillId="0" borderId="0" xfId="0"/>
    <xf numFmtId="43" fontId="0" fillId="0" borderId="0" xfId="1" applyFont="1"/>
    <xf numFmtId="0" fontId="0" fillId="0" borderId="0" xfId="0" applyAlignment="1">
      <alignment horizontal="center"/>
    </xf>
    <xf numFmtId="0" fontId="0" fillId="0" borderId="0" xfId="0" applyAlignment="1">
      <alignment wrapText="1"/>
    </xf>
    <xf numFmtId="0" fontId="2" fillId="0" borderId="0" xfId="0" applyFont="1" applyAlignment="1">
      <alignment horizontal="center" vertical="center" wrapText="1"/>
    </xf>
    <xf numFmtId="43" fontId="2" fillId="0" borderId="0" xfId="0" applyNumberFormat="1" applyFont="1"/>
    <xf numFmtId="0" fontId="0" fillId="0" borderId="1" xfId="0" applyBorder="1" applyAlignment="1">
      <alignment horizontal="center"/>
    </xf>
    <xf numFmtId="0" fontId="2" fillId="0" borderId="1" xfId="0" applyFont="1" applyBorder="1" applyAlignment="1">
      <alignment wrapText="1"/>
    </xf>
    <xf numFmtId="0" fontId="0" fillId="0" borderId="1" xfId="0" applyBorder="1"/>
    <xf numFmtId="43" fontId="0" fillId="0" borderId="1" xfId="1" applyFont="1" applyBorder="1"/>
    <xf numFmtId="0" fontId="3" fillId="0" borderId="1" xfId="0" applyFont="1" applyBorder="1" applyAlignment="1">
      <alignment wrapText="1"/>
    </xf>
    <xf numFmtId="0" fontId="0" fillId="0" borderId="1"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3" xfId="0" applyBorder="1"/>
    <xf numFmtId="43" fontId="0" fillId="0" borderId="3" xfId="1" applyFont="1" applyBorder="1"/>
    <xf numFmtId="0" fontId="0" fillId="0" borderId="7" xfId="0" applyBorder="1"/>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43" fontId="2" fillId="0" borderId="2" xfId="1" applyFont="1" applyBorder="1" applyAlignment="1">
      <alignment horizontal="center" vertical="center" wrapText="1"/>
    </xf>
    <xf numFmtId="43" fontId="2" fillId="0" borderId="10" xfId="1" applyFont="1" applyBorder="1" applyAlignment="1">
      <alignment horizontal="center" vertical="center" wrapText="1"/>
    </xf>
    <xf numFmtId="0" fontId="0" fillId="0" borderId="11" xfId="0" applyBorder="1"/>
    <xf numFmtId="2" fontId="0" fillId="0" borderId="1" xfId="0" applyNumberFormat="1" applyBorder="1"/>
    <xf numFmtId="2" fontId="0" fillId="0" borderId="1" xfId="1" applyNumberFormat="1" applyFont="1" applyBorder="1"/>
    <xf numFmtId="2" fontId="0" fillId="0" borderId="3" xfId="0" applyNumberFormat="1" applyBorder="1"/>
    <xf numFmtId="2" fontId="0" fillId="0" borderId="0" xfId="0" applyNumberFormat="1"/>
    <xf numFmtId="43" fontId="0" fillId="0" borderId="8" xfId="1" applyFont="1" applyBorder="1"/>
    <xf numFmtId="2" fontId="2" fillId="0" borderId="2" xfId="0" applyNumberFormat="1" applyFont="1" applyBorder="1" applyAlignment="1">
      <alignment horizontal="center" vertical="center" wrapText="1"/>
    </xf>
    <xf numFmtId="43" fontId="2" fillId="0" borderId="3" xfId="1" applyFont="1" applyBorder="1"/>
    <xf numFmtId="43" fontId="2" fillId="0" borderId="12" xfId="1" applyFont="1" applyBorder="1"/>
    <xf numFmtId="0" fontId="2" fillId="0" borderId="3" xfId="0" applyFont="1" applyBorder="1" applyAlignment="1">
      <alignment wrapText="1"/>
    </xf>
    <xf numFmtId="0" fontId="5" fillId="2" borderId="5" xfId="0" applyFont="1" applyFill="1" applyBorder="1"/>
    <xf numFmtId="0" fontId="6" fillId="2" borderId="4" xfId="0" applyFont="1" applyFill="1" applyBorder="1" applyAlignment="1">
      <alignment wrapText="1"/>
    </xf>
    <xf numFmtId="2" fontId="5" fillId="2" borderId="4" xfId="0" applyNumberFormat="1" applyFont="1" applyFill="1" applyBorder="1"/>
    <xf numFmtId="0" fontId="5" fillId="2" borderId="4" xfId="0" applyFont="1" applyFill="1" applyBorder="1"/>
    <xf numFmtId="43" fontId="5" fillId="2" borderId="4" xfId="1" applyFont="1" applyFill="1" applyBorder="1"/>
    <xf numFmtId="43" fontId="5" fillId="2" borderId="6" xfId="1" applyFont="1" applyFill="1" applyBorder="1"/>
    <xf numFmtId="0" fontId="2" fillId="0" borderId="0" xfId="0" applyFont="1" applyAlignment="1">
      <alignment horizontal="center"/>
    </xf>
    <xf numFmtId="0" fontId="2" fillId="0" borderId="0" xfId="0" applyFont="1" applyAlignment="1">
      <alignment wrapText="1"/>
    </xf>
    <xf numFmtId="2" fontId="2" fillId="0" borderId="0" xfId="0" applyNumberFormat="1" applyFont="1"/>
    <xf numFmtId="0" fontId="2" fillId="0" borderId="0" xfId="0" applyFont="1"/>
    <xf numFmtId="0" fontId="2" fillId="0" borderId="13" xfId="0" applyFont="1" applyBorder="1" applyAlignment="1">
      <alignment horizontal="center" vertical="center" wrapText="1"/>
    </xf>
    <xf numFmtId="2" fontId="2" fillId="0" borderId="13" xfId="0" applyNumberFormat="1" applyFont="1" applyBorder="1" applyAlignment="1">
      <alignment horizontal="center" vertical="center" wrapText="1"/>
    </xf>
    <xf numFmtId="43" fontId="2" fillId="0" borderId="13" xfId="1" applyFont="1" applyBorder="1" applyAlignment="1">
      <alignment horizontal="center" vertical="center" wrapText="1"/>
    </xf>
    <xf numFmtId="0" fontId="0" fillId="0" borderId="4" xfId="0" applyBorder="1" applyAlignment="1">
      <alignment horizontal="center"/>
    </xf>
    <xf numFmtId="0" fontId="0" fillId="0" borderId="4" xfId="0" applyBorder="1" applyAlignment="1">
      <alignment wrapText="1"/>
    </xf>
    <xf numFmtId="2" fontId="0" fillId="0" borderId="4" xfId="0" applyNumberFormat="1" applyBorder="1"/>
    <xf numFmtId="0" fontId="0" fillId="0" borderId="4" xfId="0" applyBorder="1"/>
    <xf numFmtId="43" fontId="0" fillId="0" borderId="4" xfId="1" applyFont="1" applyBorder="1"/>
    <xf numFmtId="0" fontId="0" fillId="0" borderId="14" xfId="0" applyBorder="1" applyAlignment="1">
      <alignment horizontal="center"/>
    </xf>
    <xf numFmtId="0" fontId="2" fillId="0" borderId="14" xfId="0" applyFont="1" applyBorder="1" applyAlignment="1">
      <alignment wrapText="1"/>
    </xf>
    <xf numFmtId="2" fontId="0" fillId="0" borderId="14" xfId="0" applyNumberFormat="1" applyBorder="1"/>
    <xf numFmtId="0" fontId="0" fillId="0" borderId="14" xfId="0" applyBorder="1"/>
    <xf numFmtId="43" fontId="0" fillId="0" borderId="14" xfId="1" applyFont="1" applyBorder="1"/>
    <xf numFmtId="0" fontId="0" fillId="0" borderId="15" xfId="0" applyBorder="1" applyAlignment="1">
      <alignment horizontal="center"/>
    </xf>
    <xf numFmtId="0" fontId="0" fillId="0" borderId="15" xfId="0" applyBorder="1" applyAlignment="1">
      <alignment wrapText="1"/>
    </xf>
    <xf numFmtId="2" fontId="0" fillId="0" borderId="15" xfId="0" applyNumberFormat="1" applyBorder="1"/>
    <xf numFmtId="0" fontId="0" fillId="0" borderId="15" xfId="0" applyBorder="1"/>
    <xf numFmtId="43" fontId="0" fillId="0" borderId="15" xfId="1" applyFont="1" applyBorder="1"/>
    <xf numFmtId="0" fontId="2" fillId="0" borderId="4" xfId="0" applyFont="1" applyBorder="1" applyAlignment="1">
      <alignment wrapText="1"/>
    </xf>
    <xf numFmtId="0" fontId="0" fillId="0" borderId="5" xfId="0" applyBorder="1"/>
    <xf numFmtId="43" fontId="0" fillId="0" borderId="6" xfId="1" applyFont="1" applyBorder="1"/>
    <xf numFmtId="0" fontId="0" fillId="0" borderId="16" xfId="0" applyBorder="1"/>
    <xf numFmtId="43" fontId="0" fillId="0" borderId="17" xfId="1" applyFont="1" applyBorder="1"/>
    <xf numFmtId="0" fontId="4" fillId="0" borderId="4" xfId="0" applyFont="1" applyBorder="1" applyAlignment="1">
      <alignment wrapText="1"/>
    </xf>
    <xf numFmtId="0" fontId="0" fillId="0" borderId="18" xfId="0" applyBorder="1"/>
    <xf numFmtId="0" fontId="4" fillId="0" borderId="14" xfId="0" applyFont="1" applyBorder="1" applyAlignment="1">
      <alignment wrapText="1"/>
    </xf>
    <xf numFmtId="43" fontId="0" fillId="0" borderId="19" xfId="1" applyFont="1" applyBorder="1"/>
    <xf numFmtId="0" fontId="2" fillId="0" borderId="0" xfId="0" applyFont="1" applyAlignment="1">
      <alignment horizontal="center" vertical="center"/>
    </xf>
    <xf numFmtId="2" fontId="0" fillId="0" borderId="3" xfId="1" applyNumberFormat="1" applyFont="1" applyBorder="1"/>
    <xf numFmtId="43" fontId="0" fillId="0" borderId="0" xfId="0" applyNumberFormat="1"/>
    <xf numFmtId="43" fontId="2" fillId="0" borderId="0" xfId="1" applyFont="1" applyAlignment="1">
      <alignment horizontal="center" vertical="center"/>
    </xf>
    <xf numFmtId="43" fontId="2" fillId="0" borderId="0" xfId="1" applyFont="1" applyBorder="1" applyAlignment="1">
      <alignment horizontal="center" vertical="center"/>
    </xf>
    <xf numFmtId="43" fontId="0" fillId="0" borderId="0" xfId="1" applyFont="1" applyBorder="1"/>
    <xf numFmtId="43" fontId="2" fillId="0" borderId="0" xfId="1" applyFont="1" applyBorder="1"/>
    <xf numFmtId="0" fontId="0" fillId="0" borderId="0" xfId="0" applyAlignment="1">
      <alignment vertical="top"/>
    </xf>
    <xf numFmtId="43" fontId="9" fillId="0" borderId="0" xfId="1" applyFont="1" applyBorder="1"/>
    <xf numFmtId="43" fontId="9" fillId="0" borderId="0" xfId="1" applyFont="1"/>
    <xf numFmtId="43" fontId="2" fillId="0" borderId="0" xfId="1" applyFont="1"/>
    <xf numFmtId="43" fontId="9" fillId="0" borderId="0" xfId="1" applyFont="1" applyBorder="1" applyAlignment="1">
      <alignment vertical="top"/>
    </xf>
    <xf numFmtId="43" fontId="9" fillId="0" borderId="0" xfId="1" applyFont="1" applyAlignment="1">
      <alignment vertical="top"/>
    </xf>
    <xf numFmtId="43" fontId="8" fillId="0" borderId="0" xfId="1" applyFont="1"/>
    <xf numFmtId="43" fontId="10" fillId="0" borderId="0" xfId="1" applyFont="1" applyAlignment="1">
      <alignment horizontal="center" vertical="center"/>
    </xf>
    <xf numFmtId="43" fontId="10" fillId="0" borderId="0" xfId="1" applyFont="1"/>
    <xf numFmtId="43" fontId="10" fillId="0" borderId="0" xfId="1" applyFont="1" applyAlignment="1">
      <alignment vertical="top"/>
    </xf>
    <xf numFmtId="43" fontId="12" fillId="4" borderId="30" xfId="1" applyFont="1" applyFill="1" applyBorder="1" applyAlignment="1">
      <alignment vertical="center" wrapText="1"/>
    </xf>
    <xf numFmtId="43" fontId="12" fillId="4" borderId="30" xfId="1" applyFont="1" applyFill="1" applyBorder="1" applyAlignment="1">
      <alignment horizontal="center" vertical="center"/>
    </xf>
    <xf numFmtId="43" fontId="12" fillId="4" borderId="30" xfId="1" applyFont="1" applyFill="1" applyBorder="1" applyAlignment="1">
      <alignment vertical="center"/>
    </xf>
    <xf numFmtId="43" fontId="14" fillId="4" borderId="30" xfId="1" applyFont="1" applyFill="1" applyBorder="1" applyAlignment="1">
      <alignment vertical="center"/>
    </xf>
    <xf numFmtId="0" fontId="15" fillId="0" borderId="0" xfId="0" applyFont="1"/>
    <xf numFmtId="43" fontId="16" fillId="0" borderId="30" xfId="1" applyFont="1" applyFill="1" applyBorder="1" applyAlignment="1">
      <alignment horizontal="center" vertical="center"/>
    </xf>
    <xf numFmtId="43" fontId="16" fillId="0" borderId="30" xfId="1" applyFont="1" applyFill="1" applyBorder="1" applyAlignment="1">
      <alignment vertical="center" wrapText="1"/>
    </xf>
    <xf numFmtId="43" fontId="17" fillId="0" borderId="4" xfId="1" applyFont="1" applyFill="1" applyBorder="1" applyAlignment="1">
      <alignment vertical="center" wrapText="1"/>
    </xf>
    <xf numFmtId="43" fontId="17" fillId="0" borderId="4" xfId="1" applyFont="1" applyFill="1" applyBorder="1" applyAlignment="1">
      <alignment vertical="center"/>
    </xf>
    <xf numFmtId="43" fontId="17" fillId="0" borderId="4" xfId="1" applyFont="1" applyFill="1" applyBorder="1" applyAlignment="1">
      <alignment horizontal="center" vertical="center"/>
    </xf>
    <xf numFmtId="43" fontId="17" fillId="0" borderId="1" xfId="1" applyFont="1" applyFill="1" applyBorder="1" applyAlignment="1">
      <alignment vertical="center" wrapText="1"/>
    </xf>
    <xf numFmtId="43" fontId="17" fillId="0" borderId="1" xfId="1" applyFont="1" applyFill="1" applyBorder="1" applyAlignment="1">
      <alignment vertical="center"/>
    </xf>
    <xf numFmtId="43" fontId="17" fillId="0" borderId="1" xfId="1" applyFont="1" applyFill="1" applyBorder="1" applyAlignment="1">
      <alignment horizontal="center" vertical="center"/>
    </xf>
    <xf numFmtId="43" fontId="17" fillId="0" borderId="3" xfId="1" applyFont="1" applyFill="1" applyBorder="1" applyAlignment="1">
      <alignment vertical="center" wrapText="1"/>
    </xf>
    <xf numFmtId="43" fontId="17" fillId="0" borderId="3" xfId="1" applyFont="1" applyFill="1" applyBorder="1" applyAlignment="1">
      <alignment vertical="center"/>
    </xf>
    <xf numFmtId="43" fontId="17" fillId="0" borderId="3" xfId="1" applyFont="1" applyFill="1" applyBorder="1" applyAlignment="1">
      <alignment horizontal="center" vertical="center"/>
    </xf>
    <xf numFmtId="43" fontId="17" fillId="0" borderId="2" xfId="1" applyFont="1" applyFill="1" applyBorder="1" applyAlignment="1">
      <alignment vertical="center"/>
    </xf>
    <xf numFmtId="43" fontId="17" fillId="0" borderId="2" xfId="1" applyFont="1" applyFill="1" applyBorder="1" applyAlignment="1">
      <alignment vertical="center" wrapText="1"/>
    </xf>
    <xf numFmtId="43" fontId="17" fillId="0" borderId="2" xfId="1" applyFont="1" applyFill="1" applyBorder="1" applyAlignment="1">
      <alignment horizontal="center" vertical="center"/>
    </xf>
    <xf numFmtId="43" fontId="16" fillId="0" borderId="2" xfId="1" applyFont="1" applyFill="1" applyBorder="1" applyAlignment="1">
      <alignment vertical="center" wrapText="1"/>
    </xf>
    <xf numFmtId="43" fontId="16" fillId="0" borderId="2" xfId="1" applyFont="1" applyFill="1" applyBorder="1" applyAlignment="1">
      <alignment horizontal="center" vertical="center" wrapText="1"/>
    </xf>
    <xf numFmtId="43" fontId="16" fillId="0" borderId="30" xfId="1" applyFont="1" applyFill="1" applyBorder="1" applyAlignment="1">
      <alignment vertical="center"/>
    </xf>
    <xf numFmtId="43" fontId="17" fillId="0" borderId="30" xfId="1" applyFont="1" applyFill="1" applyBorder="1" applyAlignment="1">
      <alignment vertical="center"/>
    </xf>
    <xf numFmtId="43" fontId="16" fillId="5" borderId="30" xfId="1" applyFont="1" applyFill="1" applyBorder="1" applyAlignment="1">
      <alignment vertical="center" wrapText="1"/>
    </xf>
    <xf numFmtId="43" fontId="16" fillId="5" borderId="30" xfId="1" applyFont="1" applyFill="1" applyBorder="1" applyAlignment="1">
      <alignment horizontal="center" vertical="center"/>
    </xf>
    <xf numFmtId="43" fontId="16" fillId="5" borderId="30" xfId="1" applyFont="1" applyFill="1" applyBorder="1" applyAlignment="1">
      <alignment vertical="center"/>
    </xf>
    <xf numFmtId="43" fontId="17" fillId="5" borderId="30" xfId="1" applyFont="1" applyFill="1" applyBorder="1" applyAlignment="1">
      <alignment vertical="center"/>
    </xf>
    <xf numFmtId="43" fontId="11" fillId="6" borderId="30" xfId="1" applyFont="1" applyFill="1" applyBorder="1" applyAlignment="1">
      <alignment horizontal="center" vertical="center"/>
    </xf>
    <xf numFmtId="43" fontId="2" fillId="0" borderId="0" xfId="1" applyFont="1" applyAlignment="1">
      <alignment horizontal="center"/>
    </xf>
    <xf numFmtId="0" fontId="18"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6" borderId="30" xfId="0" applyFont="1" applyFill="1" applyBorder="1" applyAlignment="1">
      <alignment horizontal="center" vertical="center" wrapText="1"/>
    </xf>
    <xf numFmtId="0" fontId="20" fillId="7" borderId="30" xfId="0" applyFont="1" applyFill="1" applyBorder="1" applyAlignment="1">
      <alignment horizontal="left" vertical="center" wrapText="1"/>
    </xf>
    <xf numFmtId="0" fontId="20" fillId="7" borderId="30" xfId="0" applyFont="1" applyFill="1" applyBorder="1" applyAlignment="1">
      <alignment horizontal="center" vertical="center" wrapText="1"/>
    </xf>
    <xf numFmtId="43" fontId="20" fillId="7" borderId="30" xfId="1" applyFont="1" applyFill="1" applyBorder="1" applyAlignment="1">
      <alignment horizontal="left" vertical="center" wrapText="1"/>
    </xf>
    <xf numFmtId="0" fontId="20" fillId="8" borderId="30" xfId="0" applyFont="1" applyFill="1" applyBorder="1" applyAlignment="1">
      <alignment horizontal="left" vertical="center" wrapText="1"/>
    </xf>
    <xf numFmtId="0" fontId="20" fillId="8" borderId="30" xfId="0" applyFont="1" applyFill="1" applyBorder="1" applyAlignment="1">
      <alignment horizontal="center" vertical="center" wrapText="1"/>
    </xf>
    <xf numFmtId="43" fontId="19" fillId="0" borderId="30" xfId="1" applyFont="1" applyFill="1" applyBorder="1" applyAlignment="1">
      <alignment horizontal="left" vertical="center" wrapText="1"/>
    </xf>
    <xf numFmtId="164" fontId="19" fillId="0" borderId="30" xfId="1" applyNumberFormat="1" applyFont="1" applyFill="1" applyBorder="1" applyAlignment="1">
      <alignment horizontal="left" vertical="center" wrapText="1"/>
    </xf>
    <xf numFmtId="0" fontId="19" fillId="0" borderId="30" xfId="0" applyFont="1" applyBorder="1" applyAlignment="1">
      <alignment horizontal="left" vertical="center" wrapText="1"/>
    </xf>
    <xf numFmtId="0" fontId="19" fillId="0" borderId="2" xfId="0" applyFont="1" applyBorder="1" applyAlignment="1">
      <alignment horizontal="center" vertical="center" wrapText="1"/>
    </xf>
    <xf numFmtId="0" fontId="19" fillId="0" borderId="30" xfId="0" applyFont="1" applyBorder="1" applyAlignment="1">
      <alignment horizontal="center" vertical="center" wrapText="1"/>
    </xf>
    <xf numFmtId="14" fontId="19" fillId="0" borderId="30" xfId="0" applyNumberFormat="1" applyFont="1" applyBorder="1" applyAlignment="1">
      <alignment horizontal="center" vertical="center" wrapText="1"/>
    </xf>
    <xf numFmtId="43" fontId="19" fillId="0" borderId="0" xfId="0" applyNumberFormat="1" applyFont="1" applyAlignment="1">
      <alignment horizontal="left" vertical="center"/>
    </xf>
    <xf numFmtId="164" fontId="21" fillId="9" borderId="30" xfId="1" applyNumberFormat="1" applyFont="1" applyFill="1" applyBorder="1" applyAlignment="1">
      <alignment horizontal="left" vertical="center" wrapText="1"/>
    </xf>
    <xf numFmtId="0" fontId="20" fillId="9" borderId="30" xfId="0" applyFont="1" applyFill="1" applyBorder="1" applyAlignment="1">
      <alignment horizontal="left" vertical="center" wrapText="1"/>
    </xf>
    <xf numFmtId="0" fontId="21" fillId="9" borderId="30" xfId="0" applyFont="1" applyFill="1" applyBorder="1" applyAlignment="1">
      <alignment horizontal="left" vertical="center" wrapText="1"/>
    </xf>
    <xf numFmtId="0" fontId="21" fillId="9" borderId="30" xfId="0" applyFont="1" applyFill="1" applyBorder="1" applyAlignment="1">
      <alignment horizontal="center" vertical="center" wrapText="1"/>
    </xf>
    <xf numFmtId="0" fontId="21" fillId="9" borderId="0" xfId="0" applyFont="1" applyFill="1" applyAlignment="1">
      <alignment horizontal="center" vertical="center" wrapText="1"/>
    </xf>
    <xf numFmtId="43" fontId="20" fillId="9" borderId="30" xfId="1" applyFont="1" applyFill="1" applyBorder="1" applyAlignment="1">
      <alignment horizontal="left" vertical="center" wrapText="1"/>
    </xf>
    <xf numFmtId="0" fontId="22" fillId="0" borderId="0" xfId="0" applyFont="1" applyAlignment="1">
      <alignment horizontal="left"/>
    </xf>
    <xf numFmtId="43" fontId="23" fillId="0" borderId="0" xfId="1" applyFont="1"/>
    <xf numFmtId="0" fontId="22" fillId="0" borderId="22" xfId="0" applyFont="1" applyBorder="1" applyAlignment="1">
      <alignment horizontal="center" vertical="center"/>
    </xf>
    <xf numFmtId="43" fontId="22" fillId="0" borderId="23" xfId="1" applyFont="1" applyBorder="1" applyAlignment="1">
      <alignment horizontal="center" vertical="center"/>
    </xf>
    <xf numFmtId="43" fontId="22" fillId="0" borderId="24" xfId="1" applyFont="1" applyBorder="1" applyAlignment="1">
      <alignment horizontal="center" vertical="center"/>
    </xf>
    <xf numFmtId="0" fontId="23" fillId="0" borderId="25" xfId="0" applyFont="1" applyBorder="1" applyAlignment="1">
      <alignment horizontal="center"/>
    </xf>
    <xf numFmtId="43" fontId="23" fillId="0" borderId="20" xfId="1" applyFont="1" applyBorder="1"/>
    <xf numFmtId="43" fontId="23" fillId="0" borderId="26" xfId="1" applyFont="1" applyBorder="1"/>
    <xf numFmtId="43" fontId="22" fillId="0" borderId="20" xfId="1" applyFont="1" applyBorder="1"/>
    <xf numFmtId="43" fontId="22" fillId="0" borderId="26" xfId="1" applyFont="1" applyBorder="1"/>
    <xf numFmtId="43" fontId="23" fillId="0" borderId="20" xfId="1" applyFont="1" applyFill="1" applyBorder="1"/>
    <xf numFmtId="43" fontId="23" fillId="0" borderId="26" xfId="1" applyFont="1" applyFill="1" applyBorder="1"/>
    <xf numFmtId="0" fontId="23" fillId="0" borderId="25" xfId="0" applyFont="1" applyBorder="1" applyAlignment="1">
      <alignment horizontal="center" vertical="top"/>
    </xf>
    <xf numFmtId="0" fontId="23" fillId="0" borderId="20" xfId="0" applyFont="1" applyBorder="1" applyAlignment="1">
      <alignment vertical="top" wrapText="1"/>
    </xf>
    <xf numFmtId="43" fontId="23" fillId="0" borderId="20" xfId="1" applyFont="1" applyFill="1" applyBorder="1" applyAlignment="1">
      <alignment vertical="top"/>
    </xf>
    <xf numFmtId="43" fontId="23" fillId="0" borderId="20" xfId="1" applyFont="1" applyBorder="1" applyAlignment="1">
      <alignment vertical="top"/>
    </xf>
    <xf numFmtId="43" fontId="23" fillId="0" borderId="26" xfId="1" applyFont="1" applyBorder="1" applyAlignment="1">
      <alignment vertical="top"/>
    </xf>
    <xf numFmtId="0" fontId="23" fillId="0" borderId="27" xfId="0" applyFont="1" applyBorder="1" applyAlignment="1">
      <alignment horizontal="center"/>
    </xf>
    <xf numFmtId="43" fontId="23" fillId="0" borderId="28" xfId="1" applyFont="1" applyBorder="1"/>
    <xf numFmtId="43" fontId="23" fillId="0" borderId="29" xfId="1" applyFont="1" applyBorder="1"/>
    <xf numFmtId="0" fontId="23" fillId="0" borderId="0" xfId="0" applyFont="1" applyAlignment="1">
      <alignment wrapText="1"/>
    </xf>
    <xf numFmtId="0" fontId="22" fillId="0" borderId="23" xfId="0" applyFont="1" applyBorder="1" applyAlignment="1">
      <alignment horizontal="center" vertical="center" wrapText="1"/>
    </xf>
    <xf numFmtId="0" fontId="23" fillId="0" borderId="20" xfId="0" applyFont="1" applyBorder="1" applyAlignment="1">
      <alignment wrapText="1"/>
    </xf>
    <xf numFmtId="0" fontId="22" fillId="0" borderId="20" xfId="0" applyFont="1" applyBorder="1" applyAlignment="1">
      <alignment wrapText="1"/>
    </xf>
    <xf numFmtId="0" fontId="24" fillId="0" borderId="20" xfId="0" applyFont="1" applyBorder="1" applyAlignment="1">
      <alignment wrapText="1"/>
    </xf>
    <xf numFmtId="0" fontId="23" fillId="0" borderId="28" xfId="0" applyFont="1" applyBorder="1" applyAlignment="1">
      <alignment wrapText="1"/>
    </xf>
    <xf numFmtId="43" fontId="22" fillId="0" borderId="23" xfId="1" applyFont="1" applyBorder="1" applyAlignment="1">
      <alignment horizontal="center" vertical="center" wrapText="1"/>
    </xf>
    <xf numFmtId="0" fontId="23" fillId="0" borderId="21" xfId="0" applyFont="1" applyBorder="1" applyAlignment="1">
      <alignment horizontal="center" vertical="center"/>
    </xf>
    <xf numFmtId="0" fontId="22" fillId="0" borderId="21" xfId="0" applyFont="1" applyBorder="1" applyAlignment="1">
      <alignment vertical="center" wrapText="1"/>
    </xf>
    <xf numFmtId="43" fontId="23" fillId="0" borderId="21" xfId="1" applyFont="1" applyBorder="1" applyAlignment="1">
      <alignment vertical="center"/>
    </xf>
    <xf numFmtId="43" fontId="22" fillId="0" borderId="21" xfId="1" applyFont="1" applyBorder="1" applyAlignment="1">
      <alignment vertical="center"/>
    </xf>
    <xf numFmtId="43" fontId="2" fillId="0" borderId="0" xfId="1" applyFont="1" applyBorder="1" applyAlignment="1">
      <alignment vertical="center"/>
    </xf>
    <xf numFmtId="43" fontId="0" fillId="0" borderId="0" xfId="1" applyFont="1" applyAlignment="1">
      <alignment vertical="center"/>
    </xf>
    <xf numFmtId="43" fontId="2" fillId="0" borderId="21" xfId="1" applyFont="1" applyBorder="1" applyAlignment="1">
      <alignment vertical="center"/>
    </xf>
    <xf numFmtId="43" fontId="8" fillId="0" borderId="0" xfId="1" applyFont="1" applyAlignment="1">
      <alignment vertical="center"/>
    </xf>
    <xf numFmtId="0" fontId="0" fillId="0" borderId="0" xfId="0" applyAlignment="1">
      <alignment vertical="center"/>
    </xf>
    <xf numFmtId="43" fontId="25" fillId="0" borderId="0" xfId="1" applyFont="1" applyAlignment="1">
      <alignment horizontal="center"/>
    </xf>
    <xf numFmtId="43" fontId="15" fillId="0" borderId="0" xfId="1" applyFont="1"/>
    <xf numFmtId="43" fontId="25" fillId="0" borderId="0" xfId="1" applyFont="1" applyAlignment="1">
      <alignment horizontal="center" vertical="center"/>
    </xf>
    <xf numFmtId="43" fontId="25" fillId="10" borderId="30" xfId="1" applyFont="1" applyFill="1" applyBorder="1" applyAlignment="1">
      <alignment horizontal="center" vertical="center"/>
    </xf>
    <xf numFmtId="43" fontId="25" fillId="11" borderId="30" xfId="1" applyFont="1" applyFill="1" applyBorder="1" applyAlignment="1">
      <alignment horizontal="center" vertical="center"/>
    </xf>
    <xf numFmtId="43" fontId="25" fillId="11" borderId="33" xfId="1" applyFont="1" applyFill="1" applyBorder="1" applyAlignment="1">
      <alignment horizontal="left" vertical="center"/>
    </xf>
    <xf numFmtId="43" fontId="25" fillId="11" borderId="31" xfId="1" applyFont="1" applyFill="1" applyBorder="1" applyAlignment="1">
      <alignment horizontal="left" vertical="center"/>
    </xf>
    <xf numFmtId="43" fontId="25" fillId="11" borderId="32" xfId="1" applyFont="1" applyFill="1" applyBorder="1" applyAlignment="1">
      <alignment horizontal="center" vertical="center"/>
    </xf>
    <xf numFmtId="164" fontId="15" fillId="0" borderId="30" xfId="1" applyNumberFormat="1" applyFont="1" applyFill="1" applyBorder="1" applyAlignment="1">
      <alignment horizontal="center" vertical="center"/>
    </xf>
    <xf numFmtId="43" fontId="15" fillId="0" borderId="30" xfId="1" applyFont="1" applyFill="1" applyBorder="1" applyAlignment="1">
      <alignment horizontal="left" vertical="center"/>
    </xf>
    <xf numFmtId="43" fontId="15" fillId="0" borderId="30" xfId="1" applyFont="1" applyFill="1" applyBorder="1" applyAlignment="1">
      <alignment horizontal="center" vertical="center"/>
    </xf>
    <xf numFmtId="43" fontId="27" fillId="0" borderId="30" xfId="1" applyFont="1" applyFill="1" applyBorder="1" applyAlignment="1">
      <alignment horizontal="center" vertical="center"/>
    </xf>
    <xf numFmtId="43" fontId="25" fillId="12" borderId="30" xfId="1" applyFont="1" applyFill="1" applyBorder="1" applyAlignment="1">
      <alignment horizontal="center" vertical="center"/>
    </xf>
    <xf numFmtId="43" fontId="25" fillId="12" borderId="30" xfId="1" applyFont="1" applyFill="1" applyBorder="1" applyAlignment="1">
      <alignment horizontal="left" vertical="center"/>
    </xf>
    <xf numFmtId="43" fontId="28" fillId="12" borderId="30" xfId="1" applyFont="1" applyFill="1" applyBorder="1" applyAlignment="1">
      <alignment horizontal="center" vertical="center"/>
    </xf>
    <xf numFmtId="43" fontId="25" fillId="0" borderId="30" xfId="1" applyFont="1" applyFill="1" applyBorder="1" applyAlignment="1">
      <alignment horizontal="center" vertical="center"/>
    </xf>
    <xf numFmtId="43" fontId="25" fillId="0" borderId="30" xfId="1" applyFont="1" applyFill="1" applyBorder="1" applyAlignment="1">
      <alignment horizontal="left" vertical="center"/>
    </xf>
    <xf numFmtId="43" fontId="28" fillId="0" borderId="30" xfId="1" applyFont="1" applyFill="1" applyBorder="1" applyAlignment="1">
      <alignment horizontal="center" vertical="center"/>
    </xf>
    <xf numFmtId="43" fontId="25" fillId="6" borderId="30" xfId="1" applyFont="1" applyFill="1" applyBorder="1" applyAlignment="1">
      <alignment horizontal="center" vertical="center"/>
    </xf>
    <xf numFmtId="43" fontId="25" fillId="6" borderId="30" xfId="1" applyFont="1" applyFill="1" applyBorder="1" applyAlignment="1">
      <alignment horizontal="left" vertical="center"/>
    </xf>
    <xf numFmtId="43" fontId="29" fillId="6" borderId="30" xfId="1" applyFont="1" applyFill="1" applyBorder="1" applyAlignment="1">
      <alignment horizontal="center" vertical="center"/>
    </xf>
    <xf numFmtId="43" fontId="10" fillId="0" borderId="0" xfId="0" applyNumberFormat="1" applyFont="1"/>
    <xf numFmtId="43" fontId="15" fillId="0" borderId="30" xfId="1" applyFont="1" applyFill="1" applyBorder="1" applyAlignment="1">
      <alignment horizontal="left" vertical="center" wrapText="1"/>
    </xf>
    <xf numFmtId="2" fontId="0" fillId="3" borderId="1" xfId="0" applyNumberFormat="1" applyFill="1" applyBorder="1"/>
    <xf numFmtId="43" fontId="22" fillId="3" borderId="26" xfId="1" applyFont="1" applyFill="1" applyBorder="1"/>
    <xf numFmtId="2" fontId="0" fillId="0" borderId="0" xfId="0" applyNumberFormat="1" applyAlignment="1">
      <alignment horizontal="center"/>
    </xf>
    <xf numFmtId="0" fontId="31" fillId="14" borderId="0" xfId="2"/>
    <xf numFmtId="0" fontId="35" fillId="15" borderId="0" xfId="3" applyFont="1" applyAlignment="1">
      <alignment horizontal="center" vertical="center"/>
    </xf>
    <xf numFmtId="0" fontId="35" fillId="15" borderId="0" xfId="3" applyFont="1" applyAlignment="1">
      <alignment vertical="center"/>
    </xf>
    <xf numFmtId="0" fontId="31" fillId="14" borderId="1" xfId="2" applyBorder="1" applyAlignment="1">
      <alignment horizontal="left"/>
    </xf>
    <xf numFmtId="0" fontId="31" fillId="14" borderId="1" xfId="2" applyBorder="1" applyAlignment="1">
      <alignment wrapText="1"/>
    </xf>
    <xf numFmtId="0" fontId="31" fillId="14" borderId="1" xfId="2" applyBorder="1" applyAlignment="1">
      <alignment horizontal="center"/>
    </xf>
    <xf numFmtId="43" fontId="31" fillId="14" borderId="1" xfId="2" applyNumberFormat="1" applyBorder="1"/>
    <xf numFmtId="0" fontId="2" fillId="0" borderId="1" xfId="0" applyFont="1" applyBorder="1" applyAlignment="1">
      <alignment horizontal="left"/>
    </xf>
    <xf numFmtId="0" fontId="10" fillId="0" borderId="4" xfId="0" applyFont="1" applyBorder="1" applyAlignment="1">
      <alignment horizontal="left" vertical="center"/>
    </xf>
    <xf numFmtId="0" fontId="2" fillId="0" borderId="4" xfId="0" applyFont="1" applyBorder="1" applyAlignment="1">
      <alignment horizontal="center" vertical="center" wrapText="1"/>
    </xf>
    <xf numFmtId="2" fontId="2" fillId="0" borderId="4" xfId="0" applyNumberFormat="1" applyFont="1" applyBorder="1" applyAlignment="1">
      <alignment horizontal="center" vertical="center" wrapText="1"/>
    </xf>
    <xf numFmtId="43" fontId="2" fillId="0" borderId="4" xfId="1" applyFont="1" applyBorder="1" applyAlignment="1">
      <alignment horizontal="center" vertical="center" wrapText="1"/>
    </xf>
    <xf numFmtId="0" fontId="2" fillId="0" borderId="30" xfId="0" applyFont="1" applyBorder="1" applyAlignment="1">
      <alignment horizontal="center" vertical="center" wrapText="1"/>
    </xf>
    <xf numFmtId="2" fontId="2" fillId="0" borderId="30" xfId="0" applyNumberFormat="1" applyFont="1" applyBorder="1" applyAlignment="1">
      <alignment horizontal="center" vertical="center" wrapText="1"/>
    </xf>
    <xf numFmtId="43" fontId="2" fillId="0" borderId="30" xfId="1" applyFont="1" applyBorder="1" applyAlignment="1">
      <alignment horizontal="center" vertical="center" wrapText="1"/>
    </xf>
    <xf numFmtId="0" fontId="0" fillId="0" borderId="34" xfId="0" applyBorder="1" applyAlignment="1">
      <alignment horizontal="center"/>
    </xf>
    <xf numFmtId="0" fontId="0" fillId="0" borderId="34" xfId="0" applyBorder="1" applyAlignment="1">
      <alignment wrapText="1"/>
    </xf>
    <xf numFmtId="43" fontId="0" fillId="0" borderId="34" xfId="1" applyFont="1" applyBorder="1"/>
    <xf numFmtId="0" fontId="35" fillId="15" borderId="30" xfId="3" applyFont="1" applyBorder="1" applyAlignment="1">
      <alignment horizontal="center" vertical="center"/>
    </xf>
    <xf numFmtId="0" fontId="35" fillId="15" borderId="30" xfId="3" applyFont="1" applyBorder="1" applyAlignment="1">
      <alignment vertical="center" wrapText="1"/>
    </xf>
    <xf numFmtId="43" fontId="35" fillId="15" borderId="30" xfId="3" applyNumberFormat="1" applyFont="1" applyBorder="1" applyAlignment="1">
      <alignment vertical="center"/>
    </xf>
    <xf numFmtId="43" fontId="34" fillId="16" borderId="30" xfId="4" applyNumberFormat="1" applyBorder="1" applyAlignment="1">
      <alignment horizontal="center" vertical="center" wrapText="1"/>
    </xf>
    <xf numFmtId="39" fontId="34" fillId="16" borderId="30" xfId="4" applyNumberFormat="1" applyBorder="1" applyAlignment="1">
      <alignment horizontal="center" vertical="center" wrapText="1"/>
    </xf>
    <xf numFmtId="43" fontId="34" fillId="16" borderId="4" xfId="4" applyNumberFormat="1" applyBorder="1" applyAlignment="1">
      <alignment horizontal="center" vertical="center" wrapText="1"/>
    </xf>
    <xf numFmtId="39" fontId="34" fillId="16" borderId="4" xfId="4" applyNumberFormat="1" applyBorder="1" applyAlignment="1">
      <alignment horizontal="center" vertical="center" wrapText="1"/>
    </xf>
    <xf numFmtId="43" fontId="34" fillId="16" borderId="1" xfId="4" applyNumberFormat="1" applyBorder="1"/>
    <xf numFmtId="39" fontId="34" fillId="16" borderId="1" xfId="4" applyNumberFormat="1" applyBorder="1"/>
    <xf numFmtId="43" fontId="34" fillId="16" borderId="34" xfId="4" applyNumberFormat="1" applyBorder="1"/>
    <xf numFmtId="39" fontId="34" fillId="16" borderId="34" xfId="4" applyNumberFormat="1" applyBorder="1"/>
    <xf numFmtId="43" fontId="34" fillId="16" borderId="30" xfId="4" applyNumberFormat="1" applyBorder="1" applyAlignment="1">
      <alignment vertical="center"/>
    </xf>
    <xf numFmtId="39" fontId="34" fillId="16" borderId="30" xfId="4" applyNumberFormat="1" applyBorder="1" applyAlignment="1">
      <alignment vertical="center"/>
    </xf>
    <xf numFmtId="43" fontId="34" fillId="16" borderId="0" xfId="4" applyNumberFormat="1"/>
    <xf numFmtId="39" fontId="34" fillId="16" borderId="0" xfId="4" applyNumberFormat="1"/>
    <xf numFmtId="2" fontId="34" fillId="16" borderId="2" xfId="4" applyNumberFormat="1" applyBorder="1" applyAlignment="1">
      <alignment horizontal="center" vertical="center" wrapText="1"/>
    </xf>
    <xf numFmtId="2" fontId="2" fillId="0" borderId="2" xfId="1" applyNumberFormat="1" applyFont="1" applyBorder="1" applyAlignment="1">
      <alignment horizontal="center" vertical="center" wrapText="1"/>
    </xf>
    <xf numFmtId="43" fontId="34" fillId="16" borderId="2" xfId="4" applyNumberFormat="1" applyBorder="1" applyAlignment="1">
      <alignment horizontal="center" vertical="center" wrapText="1"/>
    </xf>
    <xf numFmtId="2" fontId="34" fillId="16" borderId="0" xfId="4" applyNumberFormat="1"/>
    <xf numFmtId="0" fontId="35" fillId="17" borderId="0" xfId="0" applyFont="1" applyFill="1" applyAlignment="1">
      <alignment horizontal="center" vertical="center"/>
    </xf>
    <xf numFmtId="0" fontId="35" fillId="17" borderId="0" xfId="0" applyFont="1" applyFill="1" applyAlignment="1">
      <alignment horizontal="center" vertical="center" wrapText="1"/>
    </xf>
    <xf numFmtId="2" fontId="35" fillId="17" borderId="0" xfId="0" applyNumberFormat="1" applyFont="1" applyFill="1" applyAlignment="1">
      <alignment horizontal="center" vertical="center"/>
    </xf>
    <xf numFmtId="43" fontId="35" fillId="17" borderId="0" xfId="0" applyNumberFormat="1" applyFont="1" applyFill="1" applyAlignment="1">
      <alignment horizontal="center" vertical="center"/>
    </xf>
    <xf numFmtId="43" fontId="34" fillId="18" borderId="0" xfId="0" applyNumberFormat="1" applyFont="1" applyFill="1" applyAlignment="1">
      <alignment horizontal="center" vertical="center"/>
    </xf>
    <xf numFmtId="2" fontId="34" fillId="18" borderId="0" xfId="0" applyNumberFormat="1" applyFont="1" applyFill="1" applyAlignment="1">
      <alignment horizontal="center" vertical="center"/>
    </xf>
    <xf numFmtId="2" fontId="34" fillId="16" borderId="0" xfId="4" applyNumberFormat="1" applyAlignment="1">
      <alignment horizontal="center"/>
    </xf>
    <xf numFmtId="43" fontId="33" fillId="18" borderId="0" xfId="0" applyNumberFormat="1" applyFont="1" applyFill="1" applyAlignment="1">
      <alignment horizontal="center" vertical="center"/>
    </xf>
    <xf numFmtId="43" fontId="34" fillId="16" borderId="0" xfId="4" applyNumberFormat="1" applyBorder="1" applyAlignment="1">
      <alignment horizontal="center" vertical="center" wrapText="1"/>
    </xf>
    <xf numFmtId="2" fontId="34" fillId="16" borderId="0" xfId="4" applyNumberFormat="1" applyBorder="1" applyAlignment="1">
      <alignment horizontal="center" vertical="center" wrapText="1"/>
    </xf>
    <xf numFmtId="2" fontId="2" fillId="0" borderId="0" xfId="1" applyNumberFormat="1" applyFont="1" applyBorder="1" applyAlignment="1">
      <alignment horizontal="center" vertical="center" wrapText="1"/>
    </xf>
    <xf numFmtId="43" fontId="0" fillId="0" borderId="0" xfId="1" applyFont="1" applyBorder="1" applyAlignment="1">
      <alignment horizontal="center" vertical="center" wrapText="1"/>
    </xf>
    <xf numFmtId="0" fontId="10" fillId="0" borderId="0" xfId="0" applyFont="1" applyAlignment="1">
      <alignment vertical="center"/>
    </xf>
    <xf numFmtId="2" fontId="2" fillId="0" borderId="0" xfId="0" applyNumberFormat="1" applyFont="1" applyAlignment="1">
      <alignment horizontal="center" vertical="center"/>
    </xf>
    <xf numFmtId="43" fontId="25" fillId="0" borderId="0" xfId="1" applyFont="1" applyAlignment="1">
      <alignment horizontal="left" vertical="center"/>
    </xf>
    <xf numFmtId="43" fontId="15" fillId="0" borderId="0" xfId="1" applyFont="1" applyAlignment="1">
      <alignment horizontal="right"/>
    </xf>
    <xf numFmtId="43" fontId="2" fillId="0" borderId="0" xfId="1" applyFont="1" applyAlignment="1">
      <alignment horizontal="center"/>
    </xf>
    <xf numFmtId="43" fontId="10" fillId="0" borderId="0" xfId="1" applyFont="1" applyAlignment="1">
      <alignment horizontal="center" vertical="center"/>
    </xf>
    <xf numFmtId="43" fontId="0" fillId="0" borderId="0" xfId="1" applyFont="1" applyAlignment="1">
      <alignment horizontal="center" vertical="center"/>
    </xf>
    <xf numFmtId="43" fontId="23" fillId="0" borderId="0" xfId="1" applyFont="1" applyAlignment="1">
      <alignment horizontal="center"/>
    </xf>
    <xf numFmtId="43" fontId="16" fillId="0" borderId="13" xfId="1" applyFont="1" applyFill="1" applyBorder="1" applyAlignment="1">
      <alignment horizontal="center" vertical="center" wrapText="1"/>
    </xf>
    <xf numFmtId="43" fontId="16" fillId="0" borderId="20" xfId="1" applyFont="1" applyFill="1" applyBorder="1" applyAlignment="1">
      <alignment horizontal="center" vertical="center" wrapText="1"/>
    </xf>
    <xf numFmtId="43" fontId="16" fillId="0" borderId="2" xfId="1" applyFont="1" applyFill="1" applyBorder="1" applyAlignment="1">
      <alignment horizontal="center" vertical="center" wrapText="1"/>
    </xf>
    <xf numFmtId="0" fontId="13" fillId="6" borderId="30" xfId="0" applyFont="1" applyFill="1" applyBorder="1" applyAlignment="1">
      <alignment horizontal="center"/>
    </xf>
    <xf numFmtId="43" fontId="11" fillId="6" borderId="13" xfId="1" applyFont="1" applyFill="1" applyBorder="1" applyAlignment="1">
      <alignment horizontal="center" vertical="center"/>
    </xf>
    <xf numFmtId="43" fontId="11" fillId="6" borderId="2" xfId="1" applyFont="1" applyFill="1" applyBorder="1" applyAlignment="1">
      <alignment horizontal="center" vertical="center"/>
    </xf>
    <xf numFmtId="43" fontId="11" fillId="6" borderId="13" xfId="1" applyFont="1" applyFill="1" applyBorder="1" applyAlignment="1">
      <alignment horizontal="center" vertical="center" wrapText="1"/>
    </xf>
    <xf numFmtId="43" fontId="11" fillId="6" borderId="2" xfId="1" applyFont="1" applyFill="1" applyBorder="1" applyAlignment="1">
      <alignment horizontal="center" vertical="center" wrapText="1"/>
    </xf>
    <xf numFmtId="0" fontId="19" fillId="0" borderId="13" xfId="0" applyFont="1" applyBorder="1" applyAlignment="1">
      <alignment horizontal="center" vertical="center" wrapText="1"/>
    </xf>
    <xf numFmtId="0" fontId="19" fillId="0" borderId="2" xfId="0" applyFont="1" applyBorder="1" applyAlignment="1">
      <alignment horizontal="center" vertical="center" wrapText="1"/>
    </xf>
    <xf numFmtId="2" fontId="0" fillId="0" borderId="1" xfId="0" applyNumberFormat="1" applyFill="1" applyBorder="1"/>
    <xf numFmtId="2" fontId="2" fillId="0" borderId="13" xfId="0" applyNumberFormat="1" applyFont="1" applyFill="1" applyBorder="1" applyAlignment="1">
      <alignment horizontal="center" vertical="center" wrapText="1"/>
    </xf>
    <xf numFmtId="2" fontId="0" fillId="0" borderId="14" xfId="0" applyNumberFormat="1" applyFill="1" applyBorder="1"/>
    <xf numFmtId="2" fontId="0" fillId="0" borderId="15" xfId="0" applyNumberFormat="1" applyFill="1" applyBorder="1"/>
    <xf numFmtId="2" fontId="0" fillId="0" borderId="4" xfId="0" applyNumberFormat="1" applyFill="1" applyBorder="1"/>
    <xf numFmtId="2" fontId="0" fillId="0" borderId="3" xfId="0" applyNumberFormat="1" applyFill="1" applyBorder="1"/>
    <xf numFmtId="2" fontId="2" fillId="0" borderId="0" xfId="0" applyNumberFormat="1" applyFont="1" applyFill="1"/>
    <xf numFmtId="2" fontId="0" fillId="0" borderId="0" xfId="0" applyNumberFormat="1" applyFill="1"/>
    <xf numFmtId="2" fontId="8" fillId="0" borderId="0" xfId="0" applyNumberFormat="1" applyFont="1" applyAlignment="1">
      <alignment horizontal="center"/>
    </xf>
    <xf numFmtId="43" fontId="17" fillId="13" borderId="2" xfId="1" applyFont="1" applyFill="1" applyBorder="1" applyAlignment="1">
      <alignment vertical="center"/>
    </xf>
    <xf numFmtId="43" fontId="15" fillId="0" borderId="0" xfId="0" applyNumberFormat="1" applyFont="1"/>
    <xf numFmtId="2" fontId="0" fillId="3" borderId="0" xfId="0" applyNumberFormat="1" applyFill="1" applyAlignment="1">
      <alignment horizontal="center"/>
    </xf>
  </cellXfs>
  <cellStyles count="5">
    <cellStyle name="Accent6" xfId="4" builtinId="49"/>
    <cellStyle name="Comma" xfId="1" builtinId="3"/>
    <cellStyle name="Good" xfId="2" builtinId="26"/>
    <cellStyle name="Neutral" xfId="3" builtinId="28"/>
    <cellStyle name="Normal" xfId="0" builtinId="0"/>
  </cellStyles>
  <dxfs count="129">
    <dxf>
      <numFmt numFmtId="35" formatCode="_(* #,##0.00_);_(* \(#,##0.00\);_(* &quot;-&quot;??_);_(@_)"/>
      <border diagonalUp="0" diagonalDown="0">
        <left style="thin">
          <color auto="1"/>
        </left>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horizontal/>
      </border>
    </dxf>
    <dxf>
      <numFmt numFmtId="7" formatCode="#,##0.00_);\(#,##0.00\)"/>
      <border diagonalUp="0" diagonalDown="0">
        <left style="thin">
          <color auto="1"/>
        </left>
        <right style="thin">
          <color auto="1"/>
        </right>
        <top style="hair">
          <color auto="1"/>
        </top>
        <bottom style="hair">
          <color auto="1"/>
        </bottom>
        <vertical/>
        <horizontal/>
      </border>
    </dxf>
    <dxf>
      <numFmt numFmtId="7" formatCode="#,##0.00_);\(#,##0.00\)"/>
      <border diagonalUp="0" diagonalDown="0">
        <left style="thin">
          <color auto="1"/>
        </left>
        <right style="thin">
          <color auto="1"/>
        </right>
        <top style="hair">
          <color auto="1"/>
        </top>
        <bottom style="hair">
          <color auto="1"/>
        </bottom>
        <vertical/>
        <horizontal/>
      </border>
    </dxf>
    <dxf>
      <numFmt numFmtId="35" formatCode="_(* #,##0.00_);_(* \(#,##0.00\);_(* &quot;-&quot;??_);_(@_)"/>
      <border diagonalUp="0" diagonalDown="0">
        <left style="thin">
          <color auto="1"/>
        </left>
        <right style="thin">
          <color auto="1"/>
        </right>
        <top style="hair">
          <color auto="1"/>
        </top>
        <bottom style="hair">
          <color auto="1"/>
        </bottom>
        <vertical/>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textRotation="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textRotation="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textRotation="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border>
        <bottom style="thin">
          <color indexed="64"/>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35" formatCode="_(* #,##0.00_);_(* \(#,##0.00\);_(* &quot;-&quot;??_);_(@_)"/>
      <fill>
        <patternFill patternType="solid">
          <fgColor indexed="64"/>
          <bgColor theme="9"/>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2" formatCode="0.00"/>
      <fill>
        <patternFill patternType="solid">
          <fgColor indexed="64"/>
          <bgColor theme="9"/>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2" formatCode="0.00"/>
      <fill>
        <patternFill patternType="solid">
          <fgColor indexed="64"/>
          <bgColor theme="9"/>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35" formatCode="_(* #,##0.00_);_(* \(#,##0.00\);_(* &quot;-&quot;??_);_(@_)"/>
      <fill>
        <patternFill patternType="solid">
          <fgColor indexed="64"/>
          <bgColor theme="9"/>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fill>
        <patternFill patternType="solid">
          <fgColor indexed="64"/>
          <bgColor rgb="FFFFEB9C"/>
        </patternFill>
      </fill>
      <alignment horizontal="center" vertical="center" textRotation="0" wrapText="1" indent="0" justifyLastLine="0" shrinkToFit="0" readingOrder="0"/>
    </dxf>
    <dxf>
      <font>
        <b/>
        <i val="0"/>
        <strike val="0"/>
        <condense val="0"/>
        <extend val="0"/>
        <outline val="0"/>
        <shadow val="0"/>
        <u val="none"/>
        <vertAlign val="baseline"/>
        <sz val="11"/>
        <color rgb="FF9C5700"/>
        <name val="Calibri"/>
        <family val="2"/>
        <scheme val="minor"/>
      </font>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numFmt numFmtId="2" formatCode="0.00"/>
    </dxf>
    <dxf>
      <font>
        <b/>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2" formatCode="0.00"/>
    </dxf>
    <dxf>
      <font>
        <b/>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2" formatCode="0.0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fill>
        <patternFill patternType="none">
          <fgColor indexed="64"/>
          <bgColor auto="1"/>
        </patternFill>
      </fill>
      <border diagonalUp="0" diagonalDown="0" outline="0">
        <left style="thin">
          <color auto="1"/>
        </left>
        <right style="thin">
          <color auto="1"/>
        </right>
        <top style="hair">
          <color auto="1"/>
        </top>
        <bottom style="hair">
          <color auto="1"/>
        </bottom>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35" formatCode="_(* #,##0.00_);_(* \(#,##0.00\);_(* &quot;-&quot;??_);_(@_)"/>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general" vertical="bottom" textRotation="0" wrapText="1" indent="0" justifyLastLine="0" shrinkToFit="0" readingOrder="0"/>
    </dxf>
    <dxf>
      <font>
        <b/>
      </font>
      <alignment horizontal="center" vertical="center" textRotation="0" indent="0" justifyLastLine="0" shrinkToFit="0" readingOrder="0"/>
    </dxf>
    <dxf>
      <border outline="0">
        <top style="thin">
          <color auto="1"/>
        </top>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dxf>
    <dxf>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
      <numFmt numFmtId="35" formatCode="_(* #,##0.00_);_(* \(#,##0.00\);_(* &quot;-&quot;??_);_(@_)"/>
      <border diagonalUp="0" diagonalDown="0">
        <left style="thin">
          <color auto="1"/>
        </left>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right style="thin">
          <color auto="1"/>
        </right>
        <top style="hair">
          <color auto="1"/>
        </top>
        <bottom style="hair">
          <color auto="1"/>
        </bottom>
        <vertical style="thin">
          <color auto="1"/>
        </vertical>
        <horizontal style="hair">
          <color auto="1"/>
        </horizontal>
      </border>
    </dxf>
    <dxf>
      <border>
        <top style="hair">
          <color auto="1"/>
        </top>
      </border>
    </dxf>
    <dxf>
      <border diagonalUp="0" diagonalDown="0">
        <left style="thin">
          <color auto="1"/>
        </left>
        <right style="thin">
          <color auto="1"/>
        </right>
        <top style="thin">
          <color auto="1"/>
        </top>
        <bottom style="thin">
          <color auto="1"/>
        </bottom>
      </border>
    </dxf>
    <dxf>
      <border>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
      <font>
        <b/>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s>
  <tableStyles count="0" defaultTableStyle="TableStyleMedium2" defaultPivotStyle="PivotStyleLight16"/>
  <colors>
    <mruColors>
      <color rgb="FFFF00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24" totalsRowCount="1" headerRowDxfId="128" dataDxfId="127" totalsRowDxfId="126" headerRowCellStyle="Comma" dataCellStyle="Comma">
  <autoFilter ref="A1:M223" xr:uid="{00000000-0009-0000-0100-000001000000}"/>
  <tableColumns count="13">
    <tableColumn id="1" xr3:uid="{00000000-0010-0000-0000-000001000000}" name="Item" dataDxfId="62" totalsRowDxfId="49"/>
    <tableColumn id="2" xr3:uid="{00000000-0010-0000-0000-000002000000}" name="Description" totalsRowLabel="Total" dataDxfId="61" totalsRowDxfId="48"/>
    <tableColumn id="3" xr3:uid="{00000000-0010-0000-0000-000003000000}" name="Qty" dataDxfId="60" totalsRowDxfId="47"/>
    <tableColumn id="4" xr3:uid="{00000000-0010-0000-0000-000004000000}" name="Unit" dataDxfId="59" totalsRowDxfId="46"/>
    <tableColumn id="5" xr3:uid="{00000000-0010-0000-0000-000005000000}" name="Supply Rate" dataDxfId="58" totalsRowDxfId="45" dataCellStyle="Comma"/>
    <tableColumn id="6" xr3:uid="{00000000-0010-0000-0000-000006000000}" name="Install Rate" dataDxfId="57" totalsRowDxfId="44" dataCellStyle="Comma"/>
    <tableColumn id="7" xr3:uid="{00000000-0010-0000-0000-000007000000}" name="Amount" totalsRowFunction="sum" dataDxfId="56" totalsRowDxfId="43" dataCellStyle="Comma">
      <calculatedColumnFormula>(E2+F2)*C2</calculatedColumnFormula>
    </tableColumn>
    <tableColumn id="8" xr3:uid="{00000000-0010-0000-0000-000008000000}" name="Previous Qty" dataDxfId="55" totalsRowDxfId="42"/>
    <tableColumn id="9" xr3:uid="{00000000-0010-0000-0000-000009000000}" name="Current Qty" dataDxfId="54" totalsRowDxfId="41"/>
    <tableColumn id="10" xr3:uid="{00000000-0010-0000-0000-00000A000000}" name="Cumulative" dataDxfId="53" totalsRowDxfId="40"/>
    <tableColumn id="11" xr3:uid="{00000000-0010-0000-0000-00000B000000}" name="Previous Amount" totalsRowFunction="sum" dataDxfId="52" totalsRowDxfId="39" dataCellStyle="Comma">
      <calculatedColumnFormula>(Table1[[#This Row],[Supply Rate]]+Table1[[#This Row],[Install Rate]])*Table1[[#This Row],[Previous Qty]]</calculatedColumnFormula>
    </tableColumn>
    <tableColumn id="12" xr3:uid="{00000000-0010-0000-0000-00000C000000}" name="Current Amount" totalsRowFunction="sum" dataDxfId="51" totalsRowDxfId="38" dataCellStyle="Comma">
      <calculatedColumnFormula>+Table1[[#This Row],[Current Qty]]*(Table1[[#This Row],[Supply Rate]]+Table1[[#This Row],[Install Rate]])</calculatedColumnFormula>
    </tableColumn>
    <tableColumn id="13" xr3:uid="{00000000-0010-0000-0000-00000D000000}" name="Cumulative Amount" totalsRowFunction="sum" dataDxfId="50" totalsRowDxfId="37" dataCellStyle="Comma">
      <calculatedColumnFormula>(Table1[[#This Row],[Supply Rate]]+Table1[[#This Row],[Install Rate]])*Table1[[#This Row],[Cumulative]]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M128" totalsRowShown="0" headerRowDxfId="125" headerRowBorderDxfId="124" tableBorderDxfId="123" totalsRowBorderDxfId="122" headerRowCellStyle="Comma">
  <tableColumns count="13">
    <tableColumn id="1" xr3:uid="{00000000-0010-0000-0100-000001000000}" name="Item" dataDxfId="121"/>
    <tableColumn id="2" xr3:uid="{00000000-0010-0000-0100-000002000000}" name="Description" dataDxfId="120"/>
    <tableColumn id="3" xr3:uid="{00000000-0010-0000-0100-000003000000}" name="Qty" dataDxfId="119"/>
    <tableColumn id="4" xr3:uid="{00000000-0010-0000-0100-000004000000}" name="Unit" dataDxfId="118"/>
    <tableColumn id="5" xr3:uid="{00000000-0010-0000-0100-000005000000}" name="Supply Rate" dataDxfId="117" dataCellStyle="Comma"/>
    <tableColumn id="6" xr3:uid="{00000000-0010-0000-0100-000006000000}" name="Install Rate" dataDxfId="116" dataCellStyle="Comma"/>
    <tableColumn id="7" xr3:uid="{00000000-0010-0000-0100-000007000000}" name="Amount" dataDxfId="115" dataCellStyle="Comma"/>
    <tableColumn id="8" xr3:uid="{00000000-0010-0000-0100-000008000000}" name="Previous Qty" dataDxfId="114"/>
    <tableColumn id="9" xr3:uid="{00000000-0010-0000-0100-000009000000}" name="Current Qty" dataDxfId="113"/>
    <tableColumn id="10" xr3:uid="{00000000-0010-0000-0100-00000A000000}" name="Cumulative" dataDxfId="112"/>
    <tableColumn id="11" xr3:uid="{00000000-0010-0000-0100-00000B000000}" name="Previous Amount" dataDxfId="111" dataCellStyle="Comma">
      <calculatedColumnFormula>(Table2[[#This Row],[Supply Rate]]+Table2[[#This Row],[Install Rate]])*Table2[[#This Row],[Previous Qty]]</calculatedColumnFormula>
    </tableColumn>
    <tableColumn id="12" xr3:uid="{00000000-0010-0000-0100-00000C000000}" name="Current Amount" dataDxfId="110" dataCellStyle="Comma">
      <calculatedColumnFormula>Table2[[#This Row],[Cumulative Amount]]-Table2[[#This Row],[Previous Amount]]</calculatedColumnFormula>
    </tableColumn>
    <tableColumn id="13" xr3:uid="{00000000-0010-0000-0100-00000D000000}" name="Cumulative Amount" dataDxfId="109" dataCellStyle="Comma">
      <calculatedColumnFormula>(Table2[[#This Row],[Supply Rate]]+Table2[[#This Row],[Install Rate]])*Table2[[#This Row],[Cumulative]]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K226" totalsRowCount="1" headerRowDxfId="108" dataDxfId="107" totalsRowDxfId="106" headerRowCellStyle="Comma" dataCellStyle="Comma">
  <autoFilter ref="A1:K225" xr:uid="{00000000-0009-0000-0100-000003000000}"/>
  <tableColumns count="11">
    <tableColumn id="1" xr3:uid="{00000000-0010-0000-0200-000001000000}" name="Item" dataDxfId="105" totalsRowDxfId="104"/>
    <tableColumn id="2" xr3:uid="{00000000-0010-0000-0200-000002000000}" name="Description" totalsRowLabel="Total" dataDxfId="103" totalsRowDxfId="102"/>
    <tableColumn id="3" xr3:uid="{00000000-0010-0000-0200-000003000000}" name="Qty" dataDxfId="101" totalsRowDxfId="100"/>
    <tableColumn id="4" xr3:uid="{00000000-0010-0000-0200-000004000000}" name="Unit" dataDxfId="99" totalsRowDxfId="98"/>
    <tableColumn id="5" xr3:uid="{00000000-0010-0000-0200-000005000000}" name="Rate" dataDxfId="97" totalsRowDxfId="96" dataCellStyle="Comma"/>
    <tableColumn id="7" xr3:uid="{00000000-0010-0000-0200-000007000000}" name="Amount" totalsRowFunction="sum" dataDxfId="95" totalsRowDxfId="94" dataCellStyle="Comma">
      <calculatedColumnFormula>(E2+#REF!)*C2</calculatedColumnFormula>
    </tableColumn>
    <tableColumn id="8" xr3:uid="{00000000-0010-0000-0200-000008000000}" name="Used Qty" dataDxfId="93" totalsRowDxfId="92"/>
    <tableColumn id="9" xr3:uid="{00000000-0010-0000-0200-000009000000}" name="Balance Qty" dataDxfId="91" totalsRowDxfId="90">
      <calculatedColumnFormula>Table14[[#This Row],[Qty]]-Table14[[#This Row],[Used Qty]]</calculatedColumnFormula>
    </tableColumn>
    <tableColumn id="11" xr3:uid="{00000000-0010-0000-0200-00000B000000}" name="Material Offsite Amount" totalsRowFunction="sum" dataDxfId="89" totalsRowDxfId="88" dataCellStyle="Comma">
      <calculatedColumnFormula>Table14[[#This Row],[Balance Qty]]*Table14[[#This Row],[Rate]]</calculatedColumnFormula>
    </tableColumn>
    <tableColumn id="12" xr3:uid="{00000000-0010-0000-0200-00000C000000}" name="Current Amount" totalsRowFunction="sum" dataDxfId="87" totalsRowDxfId="86" dataCellStyle="Comma"/>
    <tableColumn id="13" xr3:uid="{00000000-0010-0000-0200-00000D000000}" name="Cumulative Amount" totalsRowFunction="sum" dataDxfId="85" totalsRowDxfId="84"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7F9CD1-E18E-4B17-92C1-B94A45E0AFAC}" name="Table6" displayName="Table6" ref="A1:Q72" totalsRowCount="1" headerRowDxfId="83" dataDxfId="81" totalsRowDxfId="79" headerRowBorderDxfId="82" tableBorderDxfId="80" headerRowCellStyle="Comma" dataCellStyle="Comma" totalsRowCellStyle="Neutral">
  <autoFilter ref="A1:Q71" xr:uid="{CB7F9CD1-E18E-4B17-92C1-B94A45E0AFAC}"/>
  <tableColumns count="17">
    <tableColumn id="1" xr3:uid="{A4CFB1F0-6A9A-40AB-9F95-6B7DAA71CAD8}" name="Item" totalsRowDxfId="36"/>
    <tableColumn id="2" xr3:uid="{762FEE72-0DE4-4831-9C7D-4CC97010D6A2}" name="Description" dataDxfId="78" totalsRowDxfId="35"/>
    <tableColumn id="3" xr3:uid="{2E7074EB-A21E-4170-BD89-985E3C9292B8}" name="Qty" dataDxfId="77" totalsRowDxfId="34"/>
    <tableColumn id="4" xr3:uid="{BAC994A6-D5E9-4601-9437-322256F35FAF}" name="Unit" dataDxfId="76" totalsRowDxfId="33"/>
    <tableColumn id="5" xr3:uid="{C72E685F-B4FA-41E1-BF6E-608F6A1E00CA}" name="Supply Rate" dataDxfId="75" totalsRowDxfId="32" dataCellStyle="Comma"/>
    <tableColumn id="6" xr3:uid="{74F3F6AA-C692-4E1B-8942-8E5AA63811A3}" name="Install Rate" dataDxfId="74" totalsRowDxfId="31" dataCellStyle="Comma"/>
    <tableColumn id="7" xr3:uid="{50588EA5-3806-489A-ADA6-178D277FC13E}" name="Amount" totalsRowFunction="sum" dataDxfId="73" totalsRowDxfId="30" dataCellStyle="Comma">
      <calculatedColumnFormula>(Table6[[#This Row],[Install Rate]]+Table6[[#This Row],[Supply Rate]])*Table6[[#This Row],[Qty]]</calculatedColumnFormula>
    </tableColumn>
    <tableColumn id="8" xr3:uid="{24F833DC-DB12-4A30-8970-D7F8B1499535}" name="Material @ Site Rate" dataDxfId="72" totalsRowDxfId="29" dataCellStyle="Accent6">
      <calculatedColumnFormula>Table6[[#This Row],[Supply Rate]]*80%</calculatedColumnFormula>
    </tableColumn>
    <tableColumn id="9" xr3:uid="{FF5566BC-8AAA-4863-96FC-B374070108DF}" name="Material Qty" dataDxfId="71" totalsRowDxfId="28" dataCellStyle="Accent6"/>
    <tableColumn id="10" xr3:uid="{913CEBD2-568E-40A8-8F4B-0F2875F6C31C}" name="Material Balance Qty" dataDxfId="70" totalsRowDxfId="27" dataCellStyle="Accent6">
      <calculatedColumnFormula>IF(Table6[[#This Row],[Material Qty]]=0,0,Table6[[#This Row],[Material Qty]]-Table6[[#This Row],[Cumulative]])</calculatedColumnFormula>
    </tableColumn>
    <tableColumn id="11" xr3:uid="{BFE554DF-A662-4C3E-A16D-FC7CF41A6120}" name="Material @ Site Amount" totalsRowFunction="sum" dataDxfId="69" totalsRowDxfId="26" dataCellStyle="Accent6">
      <calculatedColumnFormula>Table6[[#This Row],[Material Balance Qty]]*Table6[[#This Row],[Material @ Site Rate]]</calculatedColumnFormula>
    </tableColumn>
    <tableColumn id="12" xr3:uid="{77A35E83-AF1A-466D-A341-4F327267F903}" name="Previous Qty" dataDxfId="68" totalsRowDxfId="25"/>
    <tableColumn id="13" xr3:uid="{947B889A-D3F4-46B9-8FDC-D6EC3870A868}" name="Current Qty" dataDxfId="67" totalsRowDxfId="24">
      <calculatedColumnFormula>Table6[[#This Row],[Cumulative]]-Table6[[#This Row],[Previous Qty]]</calculatedColumnFormula>
    </tableColumn>
    <tableColumn id="14" xr3:uid="{53AE70D8-214F-4E03-A12D-64D2BFE0A39B}" name="Cumulative" dataDxfId="66" totalsRowDxfId="23"/>
    <tableColumn id="15" xr3:uid="{5242F99E-D431-4A4D-94A6-F922E8C01068}" name="Previous Amount" totalsRowFunction="sum" dataDxfId="65" totalsRowDxfId="22" dataCellStyle="Comma">
      <calculatedColumnFormula>(Table6[[#This Row],[Supply Rate]]+Table6[[#This Row],[Install Rate]])*Table6[[#This Row],[Previous Qty]]</calculatedColumnFormula>
    </tableColumn>
    <tableColumn id="16" xr3:uid="{29E9435B-92EE-4631-9CC0-2BC0CE6CFC56}" name="Current Amount" totalsRowFunction="sum" dataDxfId="64" totalsRowDxfId="21" dataCellStyle="Comma">
      <calculatedColumnFormula>Table6[[#This Row],[Cumulative Amount]]-Table6[[#This Row],[Previous Amount]]</calculatedColumnFormula>
    </tableColumn>
    <tableColumn id="17" xr3:uid="{589F5B64-1C6F-4CBB-B311-2060E88009EC}" name="Cumulative Amount" totalsRowFunction="sum" dataDxfId="63" totalsRowDxfId="20" dataCellStyle="Comma">
      <calculatedColumnFormula>(Table6[[#This Row],[Supply Rate]]+Table6[[#This Row],[Install Rate]])*Table6[[#This Row],[Cumulative]]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5170D6-5595-4AB9-82B8-540B4E76E6BD}" name="Table5" displayName="Table5" ref="A1:Q588" totalsRowShown="0" headerRowDxfId="19" headerRowBorderDxfId="17" tableBorderDxfId="18" headerRowCellStyle="Comma">
  <autoFilter ref="A1:Q588" xr:uid="{905170D6-5595-4AB9-82B8-540B4E76E6BD}"/>
  <tableColumns count="17">
    <tableColumn id="1" xr3:uid="{697E0C67-027F-4119-A47B-35607B9322B4}" name="Item" dataDxfId="16"/>
    <tableColumn id="2" xr3:uid="{07C95569-AA22-42D4-817A-C76DB06266B3}" name="Description" dataDxfId="15"/>
    <tableColumn id="3" xr3:uid="{602B60C4-4720-424A-A9F9-A6C9002F87A6}" name="Qty" dataDxfId="14"/>
    <tableColumn id="4" xr3:uid="{14DFD1C4-75C8-437E-9B20-D644B6486D53}" name="Unit" dataDxfId="13"/>
    <tableColumn id="5" xr3:uid="{DF12B28A-EC0F-49C7-B15D-24EEEB4639D2}" name="Supply Rate" dataDxfId="12" dataCellStyle="Comma"/>
    <tableColumn id="6" xr3:uid="{68653FE9-0859-47F4-A1D3-5D64C97E1B09}" name="Install Rate" dataDxfId="11" dataCellStyle="Comma"/>
    <tableColumn id="7" xr3:uid="{3B283F59-25AF-4F7A-A0A5-E224FC90AF4B}" name="Amount" dataDxfId="10" dataCellStyle="Comma"/>
    <tableColumn id="15" xr3:uid="{349B23DA-F041-4CEA-B4D2-31DA539D0446}" name="Material @ Site Rate" dataDxfId="9" dataCellStyle="Accent6">
      <calculatedColumnFormula>Table5[[#This Row],[Supply Rate]]*80%</calculatedColumnFormula>
    </tableColumn>
    <tableColumn id="14" xr3:uid="{36501A73-15A0-410A-9273-E16C133608C6}" name="Material Qty" dataDxfId="8" dataCellStyle="Accent6"/>
    <tableColumn id="16" xr3:uid="{9ED0DC24-2B95-4917-90C1-0ED2F873A95A}" name="Material Balance Qty" dataDxfId="7" dataCellStyle="Accent6">
      <calculatedColumnFormula>IF(Table5[[#This Row],[Material Qty]]=0,0,Table5[[#This Row],[Material Qty]]-Table5[[#This Row],[Cumulative]])</calculatedColumnFormula>
    </tableColumn>
    <tableColumn id="17" xr3:uid="{F33F9DF5-372F-43AF-B025-E85837A9FE06}" name="Material @ Site Amount" dataDxfId="6" dataCellStyle="Accent6">
      <calculatedColumnFormula>Table5[[#This Row],[Material Balance Qty]]*Table5[[#This Row],[Material @ Site Rate]]</calculatedColumnFormula>
    </tableColumn>
    <tableColumn id="8" xr3:uid="{1D7DC6FD-232D-49BC-9F8A-BF682F77E1F3}" name="Previous Qty" dataDxfId="5" dataCellStyle="Comma"/>
    <tableColumn id="9" xr3:uid="{0C804747-D463-4373-93C5-6CF521D872FE}" name="Current Qty" dataDxfId="4" dataCellStyle="Comma">
      <calculatedColumnFormula>Table5[[#This Row],[Cumulative]]-Table5[[#This Row],[Previous Qty]]</calculatedColumnFormula>
    </tableColumn>
    <tableColumn id="10" xr3:uid="{7CF7B968-707E-43AB-8A8A-F07BD1EB8B77}" name="Cumulative" dataDxfId="3" dataCellStyle="Comma"/>
    <tableColumn id="11" xr3:uid="{EA771817-53B3-4FEF-B5FE-54F999434593}" name="Previous Amount" dataDxfId="2" dataCellStyle="Comma">
      <calculatedColumnFormula>(Table5[[#This Row],[Supply Rate]]+Table5[[#This Row],[Install Rate]])*Table5[[#This Row],[Previous Qty]]</calculatedColumnFormula>
    </tableColumn>
    <tableColumn id="12" xr3:uid="{E8948A30-5240-4AC5-8137-C9E06578C64B}" name="Current Amount" dataDxfId="1" dataCellStyle="Comma">
      <calculatedColumnFormula>Table5[[#This Row],[Cumulative Amount]]-Table5[[#This Row],[Previous Amount]]</calculatedColumnFormula>
    </tableColumn>
    <tableColumn id="13" xr3:uid="{901BF6FF-FC7D-4678-A5E0-33F49116C750}" name="Cumulative Amount" dataDxfId="0" dataCellStyle="Comma">
      <calculatedColumnFormula>(Table5[[#This Row],[Supply Rate]]+Table5[[#This Row],[Install Rate]])*Table5[[#This Row],[Cumulative]]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670B-45E9-4D47-90C9-7AE4DC1F72B4}">
  <sheetPr>
    <tabColor rgb="FFFF0000"/>
    <pageSetUpPr fitToPage="1"/>
  </sheetPr>
  <dimension ref="A5:G36"/>
  <sheetViews>
    <sheetView topLeftCell="A22" workbookViewId="0">
      <selection activeCell="E20" sqref="E20"/>
    </sheetView>
  </sheetViews>
  <sheetFormatPr defaultRowHeight="25" customHeight="1" x14ac:dyDescent="0.35"/>
  <cols>
    <col min="1" max="1" width="10.81640625" style="2" customWidth="1"/>
    <col min="2" max="2" width="57.54296875" bestFit="1" customWidth="1"/>
    <col min="3" max="4" width="14.54296875" bestFit="1" customWidth="1"/>
    <col min="5" max="5" width="15.26953125" bestFit="1" customWidth="1"/>
    <col min="7" max="7" width="11.54296875" bestFit="1" customWidth="1"/>
  </cols>
  <sheetData>
    <row r="5" spans="1:5" ht="25" customHeight="1" x14ac:dyDescent="0.35">
      <c r="A5" s="249" t="s">
        <v>869</v>
      </c>
      <c r="B5" s="249"/>
      <c r="C5" s="249"/>
      <c r="D5" s="250" t="s">
        <v>870</v>
      </c>
      <c r="E5" s="250"/>
    </row>
    <row r="6" spans="1:5" ht="25" customHeight="1" x14ac:dyDescent="0.35">
      <c r="A6" s="249" t="s">
        <v>871</v>
      </c>
      <c r="B6" s="249"/>
      <c r="C6" s="249"/>
      <c r="D6" s="250" t="s">
        <v>895</v>
      </c>
      <c r="E6" s="250"/>
    </row>
    <row r="7" spans="1:5" ht="25" customHeight="1" x14ac:dyDescent="0.35">
      <c r="A7" s="172"/>
      <c r="B7" s="173"/>
      <c r="C7" s="173"/>
      <c r="D7" s="173"/>
      <c r="E7" s="173"/>
    </row>
    <row r="8" spans="1:5" ht="25" customHeight="1" x14ac:dyDescent="0.35">
      <c r="A8" s="249" t="s">
        <v>872</v>
      </c>
      <c r="B8" s="249"/>
      <c r="C8" s="249"/>
      <c r="D8" s="249"/>
      <c r="E8" s="249"/>
    </row>
    <row r="9" spans="1:5" ht="25" customHeight="1" x14ac:dyDescent="0.35">
      <c r="A9" s="249" t="s">
        <v>873</v>
      </c>
      <c r="B9" s="249"/>
      <c r="C9" s="249"/>
      <c r="D9" s="249"/>
      <c r="E9" s="249"/>
    </row>
    <row r="10" spans="1:5" ht="25" customHeight="1" x14ac:dyDescent="0.35">
      <c r="A10" s="174"/>
      <c r="B10" s="174"/>
      <c r="C10" s="174"/>
      <c r="D10" s="174"/>
      <c r="E10" s="174"/>
    </row>
    <row r="11" spans="1:5" ht="25" customHeight="1" x14ac:dyDescent="0.35">
      <c r="A11" s="174"/>
      <c r="B11" s="174"/>
      <c r="C11" s="174"/>
      <c r="D11" s="174"/>
      <c r="E11" s="174"/>
    </row>
    <row r="12" spans="1:5" ht="15.5" x14ac:dyDescent="0.35">
      <c r="A12" s="175" t="s">
        <v>874</v>
      </c>
      <c r="B12" s="175" t="s">
        <v>875</v>
      </c>
      <c r="C12" s="175" t="s">
        <v>282</v>
      </c>
      <c r="D12" s="175" t="s">
        <v>876</v>
      </c>
      <c r="E12" s="175" t="s">
        <v>175</v>
      </c>
    </row>
    <row r="13" spans="1:5" ht="25" customHeight="1" x14ac:dyDescent="0.35">
      <c r="A13" s="176" t="s">
        <v>877</v>
      </c>
      <c r="B13" s="177" t="s">
        <v>878</v>
      </c>
      <c r="C13" s="178"/>
      <c r="D13" s="178"/>
      <c r="E13" s="179"/>
    </row>
    <row r="14" spans="1:5" ht="25" customHeight="1" x14ac:dyDescent="0.35">
      <c r="A14" s="180">
        <v>1</v>
      </c>
      <c r="B14" s="181" t="s">
        <v>879</v>
      </c>
      <c r="C14" s="182">
        <f>+Summary!D19</f>
        <v>1469466.6261176467</v>
      </c>
      <c r="D14" s="182">
        <f>+E14-C14</f>
        <v>264181.08260180755</v>
      </c>
      <c r="E14" s="182">
        <f>+Summary!F19</f>
        <v>1733647.7087194542</v>
      </c>
    </row>
    <row r="15" spans="1:5" ht="25" customHeight="1" x14ac:dyDescent="0.35">
      <c r="A15" s="180">
        <v>2</v>
      </c>
      <c r="B15" s="181" t="s">
        <v>880</v>
      </c>
      <c r="C15" s="182">
        <f>+Summary!D28</f>
        <v>499789.60059595801</v>
      </c>
      <c r="D15" s="183">
        <f>+E15-C15</f>
        <v>152525.70668570866</v>
      </c>
      <c r="E15" s="182">
        <f>+Summary!F28</f>
        <v>652315.30728166667</v>
      </c>
    </row>
    <row r="16" spans="1:5" ht="25" customHeight="1" x14ac:dyDescent="0.35">
      <c r="A16" s="180">
        <v>3</v>
      </c>
      <c r="B16" s="181" t="s">
        <v>202</v>
      </c>
      <c r="C16" s="182">
        <f>+Summary!D30</f>
        <v>975313.02464000008</v>
      </c>
      <c r="D16" s="183">
        <f>+E16-C16</f>
        <v>-239649.33679999993</v>
      </c>
      <c r="E16" s="182">
        <f>+Summary!F30</f>
        <v>735663.68784000014</v>
      </c>
    </row>
    <row r="17" spans="1:7" ht="25" customHeight="1" x14ac:dyDescent="0.35">
      <c r="A17" s="180"/>
      <c r="B17" s="181"/>
      <c r="C17" s="182"/>
      <c r="D17" s="183"/>
      <c r="E17" s="182"/>
    </row>
    <row r="18" spans="1:7" ht="25" customHeight="1" x14ac:dyDescent="0.35">
      <c r="A18" s="184"/>
      <c r="B18" s="185" t="s">
        <v>881</v>
      </c>
      <c r="C18" s="186">
        <f>SUM(C14:C17)</f>
        <v>2944569.2513536047</v>
      </c>
      <c r="D18" s="186">
        <f>SUM(D14:D17)</f>
        <v>177057.45248751628</v>
      </c>
      <c r="E18" s="186">
        <f>SUM(E14:E17)</f>
        <v>3121626.7038411214</v>
      </c>
    </row>
    <row r="19" spans="1:7" ht="25" customHeight="1" x14ac:dyDescent="0.35">
      <c r="A19" s="176" t="s">
        <v>882</v>
      </c>
      <c r="B19" s="177" t="s">
        <v>189</v>
      </c>
      <c r="C19" s="178"/>
      <c r="D19" s="178"/>
      <c r="E19" s="179"/>
    </row>
    <row r="20" spans="1:7" ht="25" customHeight="1" x14ac:dyDescent="0.35">
      <c r="A20" s="180">
        <v>1</v>
      </c>
      <c r="B20" s="181" t="s">
        <v>891</v>
      </c>
      <c r="C20" s="182">
        <f>+Summary!D47</f>
        <v>1363601.2758890355</v>
      </c>
      <c r="D20" s="183">
        <f>+E20-C20</f>
        <v>503896.58190000011</v>
      </c>
      <c r="E20" s="182">
        <f>+Summary!F47</f>
        <v>1867497.8577890357</v>
      </c>
    </row>
    <row r="21" spans="1:7" ht="25" customHeight="1" x14ac:dyDescent="0.35">
      <c r="A21" s="180"/>
      <c r="B21" s="181"/>
      <c r="C21" s="182"/>
      <c r="D21" s="183"/>
      <c r="E21" s="182"/>
    </row>
    <row r="22" spans="1:7" ht="25" customHeight="1" x14ac:dyDescent="0.35">
      <c r="A22" s="184"/>
      <c r="B22" s="185" t="s">
        <v>883</v>
      </c>
      <c r="C22" s="186">
        <f>SUM(C20:C21)</f>
        <v>1363601.2758890355</v>
      </c>
      <c r="D22" s="186">
        <f>SUM(D20:D21)</f>
        <v>503896.58190000011</v>
      </c>
      <c r="E22" s="186">
        <f>SUM(E20:E21)</f>
        <v>1867497.8577890357</v>
      </c>
    </row>
    <row r="23" spans="1:7" ht="25" customHeight="1" x14ac:dyDescent="0.35">
      <c r="A23" s="187" t="s">
        <v>884</v>
      </c>
      <c r="B23" s="188" t="s">
        <v>885</v>
      </c>
      <c r="C23" s="189">
        <f>+C18+C22</f>
        <v>4308170.52724264</v>
      </c>
      <c r="D23" s="189">
        <f>+E23-C23</f>
        <v>680954.03438751679</v>
      </c>
      <c r="E23" s="189">
        <f>+E18+E22</f>
        <v>4989124.5616301568</v>
      </c>
    </row>
    <row r="24" spans="1:7" ht="25" customHeight="1" x14ac:dyDescent="0.35">
      <c r="A24" s="187" t="s">
        <v>886</v>
      </c>
      <c r="B24" s="188" t="s">
        <v>887</v>
      </c>
      <c r="C24" s="189">
        <f>-C23*20%</f>
        <v>-861634.10544852808</v>
      </c>
      <c r="D24" s="189">
        <f>+E24-C24</f>
        <v>-136190.80687750329</v>
      </c>
      <c r="E24" s="189">
        <f>-E23*20%</f>
        <v>-997824.91232603136</v>
      </c>
    </row>
    <row r="25" spans="1:7" ht="25" customHeight="1" x14ac:dyDescent="0.35">
      <c r="A25" s="187" t="s">
        <v>888</v>
      </c>
      <c r="B25" s="188" t="s">
        <v>892</v>
      </c>
      <c r="C25" s="189"/>
      <c r="D25" s="189"/>
      <c r="E25" s="189"/>
    </row>
    <row r="26" spans="1:7" ht="31" x14ac:dyDescent="0.35">
      <c r="A26" s="180">
        <v>1</v>
      </c>
      <c r="B26" s="194" t="s">
        <v>208</v>
      </c>
      <c r="C26" s="189">
        <v>216955.15</v>
      </c>
      <c r="D26" s="189">
        <f t="shared" ref="D26:D30" si="0">+E26-C26</f>
        <v>0</v>
      </c>
      <c r="E26" s="189">
        <v>216955.15</v>
      </c>
    </row>
    <row r="27" spans="1:7" ht="31" x14ac:dyDescent="0.35">
      <c r="A27" s="180">
        <v>2</v>
      </c>
      <c r="B27" s="194" t="s">
        <v>893</v>
      </c>
      <c r="C27" s="187">
        <v>126189</v>
      </c>
      <c r="D27" s="189">
        <f t="shared" si="0"/>
        <v>0</v>
      </c>
      <c r="E27" s="187">
        <v>126189</v>
      </c>
    </row>
    <row r="28" spans="1:7" ht="25" customHeight="1" x14ac:dyDescent="0.35">
      <c r="A28" s="187" t="s">
        <v>889</v>
      </c>
      <c r="B28" s="188" t="s">
        <v>894</v>
      </c>
      <c r="C28" s="189"/>
      <c r="D28" s="189"/>
      <c r="E28" s="189"/>
    </row>
    <row r="29" spans="1:7" ht="31" x14ac:dyDescent="0.35">
      <c r="A29" s="180">
        <v>1</v>
      </c>
      <c r="B29" s="194" t="s">
        <v>208</v>
      </c>
      <c r="C29" s="189">
        <f>-Summary!D44*0.1</f>
        <v>-56644.164000000004</v>
      </c>
      <c r="D29" s="189">
        <f t="shared" si="0"/>
        <v>-10222.853600000002</v>
      </c>
      <c r="E29" s="189">
        <f>-Summary!F44*0.1</f>
        <v>-66867.017600000006</v>
      </c>
    </row>
    <row r="30" spans="1:7" ht="35.25" customHeight="1" x14ac:dyDescent="0.35">
      <c r="A30" s="180">
        <v>2</v>
      </c>
      <c r="B30" s="194" t="s">
        <v>893</v>
      </c>
      <c r="C30" s="189">
        <f>-Summary!D40*0.1</f>
        <v>-15680</v>
      </c>
      <c r="D30" s="189">
        <f t="shared" si="0"/>
        <v>-37632</v>
      </c>
      <c r="E30" s="189">
        <f>-Summary!F40*0.1</f>
        <v>-53312</v>
      </c>
    </row>
    <row r="31" spans="1:7" ht="25" customHeight="1" x14ac:dyDescent="0.35">
      <c r="A31" s="190"/>
      <c r="B31" s="191" t="s">
        <v>890</v>
      </c>
      <c r="C31" s="192">
        <f>SUM(C23:C30)</f>
        <v>3717356.4077941119</v>
      </c>
      <c r="D31" s="192">
        <f t="shared" ref="D31:E31" si="1">SUM(D23:D30)</f>
        <v>496908.37391001347</v>
      </c>
      <c r="E31" s="192">
        <f t="shared" si="1"/>
        <v>4214264.7817041259</v>
      </c>
      <c r="G31" s="70"/>
    </row>
    <row r="32" spans="1:7" ht="25" customHeight="1" x14ac:dyDescent="0.35">
      <c r="D32" s="70"/>
    </row>
    <row r="33" spans="4:5" ht="25" customHeight="1" x14ac:dyDescent="0.35">
      <c r="D33" s="1"/>
      <c r="E33" s="1"/>
    </row>
    <row r="34" spans="4:5" ht="25" customHeight="1" x14ac:dyDescent="0.35">
      <c r="D34" s="1"/>
      <c r="E34" s="70"/>
    </row>
    <row r="35" spans="4:5" ht="25" customHeight="1" x14ac:dyDescent="0.35">
      <c r="E35" s="70"/>
    </row>
    <row r="36" spans="4:5" ht="25" customHeight="1" x14ac:dyDescent="0.35">
      <c r="E36" s="193"/>
    </row>
  </sheetData>
  <mergeCells count="6">
    <mergeCell ref="A9:E9"/>
    <mergeCell ref="A5:C5"/>
    <mergeCell ref="D5:E5"/>
    <mergeCell ref="A6:C6"/>
    <mergeCell ref="D6:E6"/>
    <mergeCell ref="A8:E8"/>
  </mergeCells>
  <pageMargins left="0.7" right="0.7" top="1.5" bottom="0.75" header="0.3" footer="0.3"/>
  <pageSetup paperSize="139" scale="7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1"/>
  <sheetViews>
    <sheetView tabSelected="1" topLeftCell="A31" zoomScale="80" zoomScaleNormal="80" workbookViewId="0">
      <selection activeCell="B35" sqref="B35"/>
    </sheetView>
  </sheetViews>
  <sheetFormatPr defaultRowHeight="14.5" x14ac:dyDescent="0.35"/>
  <cols>
    <col min="1" max="1" width="8.7265625" style="2"/>
    <col min="2" max="2" width="76.7265625" style="3" bestFit="1" customWidth="1"/>
    <col min="3" max="3" width="18" style="1" customWidth="1"/>
    <col min="4" max="4" width="18.453125" style="1" customWidth="1"/>
    <col min="5" max="5" width="23.453125" style="1" customWidth="1"/>
    <col min="6" max="6" width="18.26953125" style="1" bestFit="1" customWidth="1"/>
    <col min="7" max="7" width="15.7265625" style="1" hidden="1" customWidth="1"/>
    <col min="8" max="9" width="15.54296875" style="1" hidden="1" customWidth="1"/>
    <col min="10" max="11" width="13.54296875" style="81" hidden="1" customWidth="1"/>
    <col min="12" max="12" width="21.1796875" style="1" hidden="1" customWidth="1"/>
    <col min="13" max="14" width="13.26953125" hidden="1" customWidth="1"/>
    <col min="15" max="15" width="9.1796875" hidden="1" customWidth="1"/>
    <col min="16" max="16" width="13.26953125" hidden="1" customWidth="1"/>
    <col min="18" max="18" width="11.54296875" bestFit="1" customWidth="1"/>
  </cols>
  <sheetData>
    <row r="1" spans="1:18" ht="18.5" x14ac:dyDescent="0.45">
      <c r="A1" s="136" t="s">
        <v>201</v>
      </c>
      <c r="B1" s="156"/>
      <c r="C1" s="137"/>
      <c r="D1" s="137"/>
      <c r="E1" s="137"/>
      <c r="F1" s="137"/>
    </row>
    <row r="2" spans="1:18" ht="18.5" x14ac:dyDescent="0.45">
      <c r="A2" s="136" t="s">
        <v>222</v>
      </c>
      <c r="B2" s="156"/>
      <c r="C2" s="137"/>
      <c r="D2" s="137"/>
      <c r="E2" s="254" t="s">
        <v>866</v>
      </c>
      <c r="F2" s="254"/>
      <c r="G2" s="251" t="s">
        <v>214</v>
      </c>
      <c r="H2" s="251"/>
      <c r="I2" s="251"/>
      <c r="J2" s="82" t="s">
        <v>213</v>
      </c>
      <c r="K2" s="82"/>
    </row>
    <row r="3" spans="1:18" ht="18.5" x14ac:dyDescent="0.45">
      <c r="A3" s="136" t="s">
        <v>865</v>
      </c>
      <c r="B3" s="156"/>
      <c r="C3" s="137"/>
      <c r="D3" s="137"/>
      <c r="E3" s="137"/>
      <c r="F3" s="137"/>
      <c r="G3" s="113"/>
      <c r="H3" s="113"/>
      <c r="I3" s="113"/>
      <c r="J3" s="82"/>
      <c r="K3" s="82"/>
    </row>
    <row r="4" spans="1:18" ht="18.5" x14ac:dyDescent="0.45">
      <c r="A4" s="136"/>
      <c r="B4" s="156"/>
      <c r="C4" s="137"/>
      <c r="D4" s="137"/>
      <c r="E4" s="137"/>
      <c r="F4" s="137"/>
      <c r="G4" s="113"/>
      <c r="H4" s="113"/>
      <c r="I4" s="113"/>
      <c r="J4" s="82"/>
      <c r="K4" s="82"/>
    </row>
    <row r="5" spans="1:18" ht="18.5" x14ac:dyDescent="0.45">
      <c r="A5" s="136"/>
      <c r="B5" s="156"/>
      <c r="C5" s="137"/>
      <c r="D5" s="137"/>
      <c r="E5" s="137"/>
      <c r="F5" s="137"/>
      <c r="G5" s="113"/>
      <c r="H5" s="113"/>
      <c r="I5" s="113"/>
      <c r="J5" s="82"/>
      <c r="K5" s="82"/>
    </row>
    <row r="6" spans="1:18" ht="19" thickBot="1" x14ac:dyDescent="0.5">
      <c r="A6" s="136"/>
      <c r="B6" s="156"/>
      <c r="C6" s="137"/>
      <c r="D6" s="137"/>
      <c r="E6" s="137"/>
      <c r="F6" s="137"/>
      <c r="G6" s="113"/>
      <c r="H6" s="113"/>
      <c r="I6" s="113"/>
      <c r="J6" s="82"/>
      <c r="K6" s="82"/>
    </row>
    <row r="7" spans="1:18" s="68" customFormat="1" ht="37.5" thickBot="1" x14ac:dyDescent="0.4">
      <c r="A7" s="138" t="s">
        <v>0</v>
      </c>
      <c r="B7" s="157" t="s">
        <v>1</v>
      </c>
      <c r="C7" s="139" t="s">
        <v>6</v>
      </c>
      <c r="D7" s="162" t="s">
        <v>218</v>
      </c>
      <c r="E7" s="139" t="s">
        <v>219</v>
      </c>
      <c r="F7" s="140" t="s">
        <v>175</v>
      </c>
      <c r="G7" s="72" t="s">
        <v>210</v>
      </c>
      <c r="H7" s="71" t="s">
        <v>188</v>
      </c>
      <c r="I7" s="71" t="s">
        <v>175</v>
      </c>
      <c r="J7" s="82"/>
      <c r="K7" s="82"/>
      <c r="L7" s="71"/>
    </row>
    <row r="8" spans="1:18" ht="18.5" x14ac:dyDescent="0.45">
      <c r="A8" s="141">
        <v>1</v>
      </c>
      <c r="B8" s="158" t="s">
        <v>7</v>
      </c>
      <c r="C8" s="142">
        <f>SUM('BILL - FEB 23'!G5:G12)</f>
        <v>1060613.5</v>
      </c>
      <c r="D8" s="142">
        <f>SUM('BILL - FEB 23'!K2:K12)</f>
        <v>413255.41000000003</v>
      </c>
      <c r="E8" s="142">
        <f>+F8-D8</f>
        <v>247087.25</v>
      </c>
      <c r="F8" s="143">
        <f>SUM('BILL - FEB 23'!M2:M12)</f>
        <v>660342.66</v>
      </c>
      <c r="G8" s="73"/>
      <c r="R8" s="70"/>
    </row>
    <row r="9" spans="1:18" ht="18.5" x14ac:dyDescent="0.45">
      <c r="A9" s="141">
        <v>2</v>
      </c>
      <c r="B9" s="158" t="s">
        <v>20</v>
      </c>
      <c r="C9" s="142">
        <f>SUM('BILL - FEB 23'!G13:G34)</f>
        <v>673208.15552941186</v>
      </c>
      <c r="D9" s="142">
        <f>SUM('BILL - FEB 23'!K13:K34)</f>
        <v>498258.5576470588</v>
      </c>
      <c r="E9" s="142">
        <f t="shared" ref="E9:E18" si="0">+F9-D9</f>
        <v>0</v>
      </c>
      <c r="F9" s="143">
        <f>SUM('BILL - FEB 23'!M13:M34)</f>
        <v>498258.5576470588</v>
      </c>
      <c r="G9" s="73"/>
      <c r="R9" s="70"/>
    </row>
    <row r="10" spans="1:18" ht="18.5" x14ac:dyDescent="0.45">
      <c r="A10" s="141">
        <v>3</v>
      </c>
      <c r="B10" s="158" t="s">
        <v>38</v>
      </c>
      <c r="C10" s="142">
        <f>SUM('BILL - FEB 23'!G35:G68)</f>
        <v>295974.25427999994</v>
      </c>
      <c r="D10" s="142">
        <f>SUM('BILL - FEB 23'!K35:K68)</f>
        <v>231305.41999999998</v>
      </c>
      <c r="E10" s="142">
        <f t="shared" si="0"/>
        <v>13609.680601807049</v>
      </c>
      <c r="F10" s="143">
        <f>SUM('BILL - FEB 23'!M35:M68)</f>
        <v>244915.10060180703</v>
      </c>
      <c r="G10" s="73"/>
      <c r="R10" s="70"/>
    </row>
    <row r="11" spans="1:18" ht="18.5" x14ac:dyDescent="0.45">
      <c r="A11" s="141">
        <v>4</v>
      </c>
      <c r="B11" s="158" t="s">
        <v>69</v>
      </c>
      <c r="C11" s="142">
        <f>SUM('BILL - FEB 23'!G69:G76)</f>
        <v>45666.68</v>
      </c>
      <c r="D11" s="142">
        <f>SUM('BILL - FEB 23'!K69:K76)</f>
        <v>0</v>
      </c>
      <c r="E11" s="142">
        <f t="shared" si="0"/>
        <v>0</v>
      </c>
      <c r="F11" s="143">
        <f>SUM('BILL - FEB 23'!M69:M76)</f>
        <v>0</v>
      </c>
      <c r="G11" s="73"/>
      <c r="R11" s="70"/>
    </row>
    <row r="12" spans="1:18" ht="18.5" x14ac:dyDescent="0.45">
      <c r="A12" s="141">
        <v>5</v>
      </c>
      <c r="B12" s="158" t="s">
        <v>75</v>
      </c>
      <c r="C12" s="142">
        <f>SUM('BILL - FEB 23'!G77:G82)</f>
        <v>2641.7999999999997</v>
      </c>
      <c r="D12" s="142">
        <f>SUM('BILL - FEB 23'!K77:K82)</f>
        <v>0</v>
      </c>
      <c r="E12" s="142">
        <f t="shared" si="0"/>
        <v>0</v>
      </c>
      <c r="F12" s="143">
        <f>SUM('BILL - FEB 23'!M77:M82)</f>
        <v>0</v>
      </c>
      <c r="G12" s="73"/>
      <c r="R12" s="70"/>
    </row>
    <row r="13" spans="1:18" ht="18.5" x14ac:dyDescent="0.45">
      <c r="A13" s="141">
        <v>6</v>
      </c>
      <c r="B13" s="158" t="s">
        <v>79</v>
      </c>
      <c r="C13" s="142">
        <f>SUM('BILL - FEB 23'!G83:G102)</f>
        <v>83370.774941176467</v>
      </c>
      <c r="D13" s="142">
        <f>SUM('BILL - FEB 23'!K83:K102)</f>
        <v>83371.562941176468</v>
      </c>
      <c r="E13" s="142">
        <f t="shared" si="0"/>
        <v>0</v>
      </c>
      <c r="F13" s="143">
        <f>SUM('BILL - FEB 23'!M83:M102)</f>
        <v>83371.562941176468</v>
      </c>
      <c r="G13" s="73"/>
      <c r="R13" s="70"/>
    </row>
    <row r="14" spans="1:18" ht="18.5" x14ac:dyDescent="0.45">
      <c r="A14" s="141">
        <v>7</v>
      </c>
      <c r="B14" s="158" t="s">
        <v>94</v>
      </c>
      <c r="C14" s="142">
        <f>SUM('BILL - FEB 23'!G103:G121)</f>
        <v>89567.102941176461</v>
      </c>
      <c r="D14" s="142">
        <f>SUM('BILL - FEB 23'!K103:K121)</f>
        <v>85695.822941176462</v>
      </c>
      <c r="E14" s="142">
        <f t="shared" si="0"/>
        <v>0</v>
      </c>
      <c r="F14" s="143">
        <f>SUM('BILL - FEB 23'!M103:M121)</f>
        <v>85695.822941176462</v>
      </c>
      <c r="G14" s="73"/>
      <c r="R14" s="70"/>
    </row>
    <row r="15" spans="1:18" ht="18.5" x14ac:dyDescent="0.45">
      <c r="A15" s="141">
        <v>8</v>
      </c>
      <c r="B15" s="158" t="s">
        <v>103</v>
      </c>
      <c r="C15" s="142">
        <f>SUM('BILL - FEB 23'!G122:G142)</f>
        <v>79999.25999999998</v>
      </c>
      <c r="D15" s="142">
        <f>SUM('BILL - FEB 23'!K122:K142)</f>
        <v>9983.9599999999991</v>
      </c>
      <c r="E15" s="142">
        <f t="shared" si="0"/>
        <v>0</v>
      </c>
      <c r="F15" s="143">
        <f>SUM('BILL - FEB 23'!M122:M142)</f>
        <v>9983.9599999999991</v>
      </c>
      <c r="G15" s="73"/>
      <c r="R15" s="70"/>
    </row>
    <row r="16" spans="1:18" ht="18.5" x14ac:dyDescent="0.45">
      <c r="A16" s="141">
        <v>9</v>
      </c>
      <c r="B16" s="158" t="s">
        <v>115</v>
      </c>
      <c r="C16" s="142">
        <f>SUM('BILL - FEB 23'!G143:G161)</f>
        <v>81316.264588235295</v>
      </c>
      <c r="D16" s="142">
        <f>SUM('BILL - FEB 23'!K143:K161)</f>
        <v>77445.772588235297</v>
      </c>
      <c r="E16" s="142">
        <f>+F16-D16</f>
        <v>3484.1520000000019</v>
      </c>
      <c r="F16" s="143">
        <f>SUM('BILL - FEB 23'!M143:M161)</f>
        <v>80929.924588235299</v>
      </c>
      <c r="G16" s="73"/>
      <c r="R16" s="70"/>
    </row>
    <row r="17" spans="1:18" ht="18.5" x14ac:dyDescent="0.45">
      <c r="A17" s="141">
        <v>10</v>
      </c>
      <c r="B17" s="158" t="s">
        <v>123</v>
      </c>
      <c r="C17" s="142">
        <f>SUM('BILL - FEB 23'!G162:G179)</f>
        <v>86942.154941176472</v>
      </c>
      <c r="D17" s="142">
        <f>SUM('BILL - FEB 23'!K162:K179)</f>
        <v>70150.12</v>
      </c>
      <c r="E17" s="142">
        <f t="shared" si="0"/>
        <v>0</v>
      </c>
      <c r="F17" s="143">
        <f>SUM('BILL - FEB 23'!M162:M179)</f>
        <v>70150.12</v>
      </c>
      <c r="G17" s="73"/>
      <c r="R17" s="70"/>
    </row>
    <row r="18" spans="1:18" ht="18.5" x14ac:dyDescent="0.45">
      <c r="A18" s="141">
        <v>11</v>
      </c>
      <c r="B18" s="158" t="s">
        <v>180</v>
      </c>
      <c r="C18" s="142">
        <f>SUM('BILL - FEB 23'!G181:G223)</f>
        <v>853401.75261426042</v>
      </c>
      <c r="D18" s="142">
        <f>SUM('BILL - FEB 23'!K180:K223)</f>
        <v>0</v>
      </c>
      <c r="E18" s="142">
        <f t="shared" si="0"/>
        <v>0</v>
      </c>
      <c r="F18" s="143">
        <f>SUM('BILL - FEB 23'!M180:M223)</f>
        <v>0</v>
      </c>
      <c r="G18" s="73"/>
      <c r="R18" s="70"/>
    </row>
    <row r="19" spans="1:18" ht="18.5" x14ac:dyDescent="0.45">
      <c r="A19" s="141"/>
      <c r="B19" s="158"/>
      <c r="C19" s="144">
        <f>SUM(C8:C18)</f>
        <v>3352701.6998354373</v>
      </c>
      <c r="D19" s="144">
        <f t="shared" ref="D19:F19" si="1">SUM(D8:D18)</f>
        <v>1469466.6261176467</v>
      </c>
      <c r="E19" s="144">
        <f t="shared" si="1"/>
        <v>264181.08260180708</v>
      </c>
      <c r="F19" s="145">
        <f t="shared" si="1"/>
        <v>1733647.7087194542</v>
      </c>
      <c r="G19" s="76">
        <v>1061914.877647059</v>
      </c>
      <c r="H19" s="77">
        <v>292653.90294117649</v>
      </c>
      <c r="I19" s="77">
        <v>1354568.7805882352</v>
      </c>
      <c r="J19" s="83">
        <f>+F19-I19</f>
        <v>379078.928131219</v>
      </c>
      <c r="K19" s="252">
        <f>+J19+J28+J30</f>
        <v>232806.59761288599</v>
      </c>
      <c r="L19" s="253" t="s">
        <v>215</v>
      </c>
      <c r="M19" s="70" t="s">
        <v>220</v>
      </c>
      <c r="N19" s="70">
        <f>+F19+F28</f>
        <v>2385963.0160011211</v>
      </c>
      <c r="P19" s="70">
        <f>+E19+E28+E30</f>
        <v>177057.45248751587</v>
      </c>
    </row>
    <row r="20" spans="1:18" ht="18.5" x14ac:dyDescent="0.45">
      <c r="A20" s="141"/>
      <c r="B20" s="159" t="s">
        <v>189</v>
      </c>
      <c r="C20" s="142"/>
      <c r="D20" s="142"/>
      <c r="E20" s="142"/>
      <c r="F20" s="143"/>
      <c r="G20" s="76"/>
      <c r="H20" s="77"/>
      <c r="I20" s="77"/>
      <c r="J20" s="81">
        <f t="shared" ref="J20:J46" si="2">+F20-I20</f>
        <v>0</v>
      </c>
      <c r="K20" s="252"/>
      <c r="L20" s="253"/>
    </row>
    <row r="21" spans="1:18" ht="18.5" x14ac:dyDescent="0.45">
      <c r="A21" s="141"/>
      <c r="B21" s="160" t="s">
        <v>190</v>
      </c>
      <c r="C21" s="142"/>
      <c r="D21" s="142"/>
      <c r="E21" s="142"/>
      <c r="F21" s="143"/>
      <c r="G21" s="76"/>
      <c r="H21" s="77"/>
      <c r="I21" s="77"/>
      <c r="J21" s="81">
        <f t="shared" si="2"/>
        <v>0</v>
      </c>
      <c r="K21" s="252"/>
      <c r="L21" s="253"/>
    </row>
    <row r="22" spans="1:18" ht="18.5" x14ac:dyDescent="0.45">
      <c r="A22" s="141">
        <v>1</v>
      </c>
      <c r="B22" s="158" t="s">
        <v>191</v>
      </c>
      <c r="C22" s="142">
        <f>SUM(Variation!G3:G7)</f>
        <v>84491.83</v>
      </c>
      <c r="D22" s="142">
        <f>SUM(Variation!K3:K7)</f>
        <v>0</v>
      </c>
      <c r="E22" s="142">
        <f t="shared" ref="E22:E27" si="3">+F22-D22</f>
        <v>13118.592000000001</v>
      </c>
      <c r="F22" s="143">
        <f>SUM(Variation!M3:M7)</f>
        <v>13118.592000000001</v>
      </c>
      <c r="G22" s="76"/>
      <c r="H22" s="77"/>
      <c r="I22" s="77"/>
      <c r="K22" s="252"/>
      <c r="L22" s="253"/>
    </row>
    <row r="23" spans="1:18" ht="18.5" x14ac:dyDescent="0.45">
      <c r="A23" s="141">
        <v>2</v>
      </c>
      <c r="B23" s="158" t="s">
        <v>192</v>
      </c>
      <c r="C23" s="142">
        <f>SUM(Variation!G8:G94)</f>
        <v>76358.709109135438</v>
      </c>
      <c r="D23" s="142">
        <f>SUM(Variation!K8:K94)</f>
        <v>46665.154500000004</v>
      </c>
      <c r="E23" s="142">
        <f t="shared" si="3"/>
        <v>0</v>
      </c>
      <c r="F23" s="143">
        <f>SUM(Variation!M8:M94)</f>
        <v>46665.154500000004</v>
      </c>
      <c r="G23" s="76"/>
      <c r="H23" s="77"/>
      <c r="I23" s="77"/>
      <c r="K23" s="252"/>
      <c r="L23" s="253"/>
      <c r="R23" s="70"/>
    </row>
    <row r="24" spans="1:18" ht="18.5" x14ac:dyDescent="0.45">
      <c r="A24" s="141">
        <v>3</v>
      </c>
      <c r="B24" s="158" t="s">
        <v>193</v>
      </c>
      <c r="C24" s="142">
        <f>SUM(Variation!G95:G98)</f>
        <v>202707.3</v>
      </c>
      <c r="D24" s="142">
        <f>SUM(Variation!K95:K98)</f>
        <v>0</v>
      </c>
      <c r="E24" s="142">
        <f t="shared" si="3"/>
        <v>0</v>
      </c>
      <c r="F24" s="143">
        <f>SUM(Variation!M95:M98)</f>
        <v>0</v>
      </c>
      <c r="G24" s="76"/>
      <c r="H24" s="77"/>
      <c r="I24" s="77"/>
      <c r="K24" s="252"/>
      <c r="L24" s="253"/>
      <c r="R24" s="70"/>
    </row>
    <row r="25" spans="1:18" ht="18.5" x14ac:dyDescent="0.45">
      <c r="A25" s="141">
        <v>4</v>
      </c>
      <c r="B25" s="158" t="s">
        <v>194</v>
      </c>
      <c r="C25" s="142">
        <f>SUM(Variation!G99:G115)</f>
        <v>164129.82660000003</v>
      </c>
      <c r="D25" s="142">
        <f>SUM(Variation!K99:K115)</f>
        <v>41686.51</v>
      </c>
      <c r="E25" s="142">
        <f t="shared" si="3"/>
        <v>11289.949999999997</v>
      </c>
      <c r="F25" s="143">
        <f>SUM(Variation!M99:M115)</f>
        <v>52976.46</v>
      </c>
      <c r="G25" s="76"/>
      <c r="H25" s="77"/>
      <c r="I25" s="77"/>
      <c r="K25" s="252"/>
      <c r="L25" s="253"/>
      <c r="R25" s="70"/>
    </row>
    <row r="26" spans="1:18" ht="18.5" x14ac:dyDescent="0.45">
      <c r="A26" s="141">
        <v>5</v>
      </c>
      <c r="B26" s="158" t="s">
        <v>195</v>
      </c>
      <c r="C26" s="142">
        <f>SUM(Variation!G116:G125)</f>
        <v>711678.45000000007</v>
      </c>
      <c r="D26" s="142">
        <f>SUM(Variation!K116:K125)</f>
        <v>426211.80000000005</v>
      </c>
      <c r="E26" s="142">
        <f t="shared" si="3"/>
        <v>132625.84999999998</v>
      </c>
      <c r="F26" s="143">
        <f>SUM(Variation!M116:M125)</f>
        <v>558837.65</v>
      </c>
      <c r="G26" s="76"/>
      <c r="H26" s="77"/>
      <c r="I26" s="77"/>
      <c r="K26" s="252"/>
      <c r="L26" s="253"/>
      <c r="R26" s="70"/>
    </row>
    <row r="27" spans="1:18" ht="18.5" x14ac:dyDescent="0.45">
      <c r="A27" s="141">
        <v>6</v>
      </c>
      <c r="B27" s="158" t="s">
        <v>185</v>
      </c>
      <c r="C27" s="142">
        <f>SUM(Variation!G126)</f>
        <v>-35584</v>
      </c>
      <c r="D27" s="142">
        <v>-14773.863904042051</v>
      </c>
      <c r="E27" s="142">
        <f t="shared" si="3"/>
        <v>-4508.6853142912751</v>
      </c>
      <c r="F27" s="143">
        <f>+SUM(F22:F26)/SUM(C22:C26)*C27</f>
        <v>-19282.549218333326</v>
      </c>
      <c r="G27" s="76"/>
      <c r="H27" s="77"/>
      <c r="I27" s="77"/>
      <c r="K27" s="252"/>
      <c r="L27" s="253"/>
      <c r="R27" s="70"/>
    </row>
    <row r="28" spans="1:18" ht="18.5" x14ac:dyDescent="0.45">
      <c r="A28" s="141"/>
      <c r="B28" s="158"/>
      <c r="C28" s="144">
        <f>SUM(C22:C27)</f>
        <v>1203782.1157091355</v>
      </c>
      <c r="D28" s="144">
        <f t="shared" ref="D28:E28" si="4">SUM(D22:D27)</f>
        <v>499789.60059595801</v>
      </c>
      <c r="E28" s="144">
        <f t="shared" si="4"/>
        <v>152525.70668570869</v>
      </c>
      <c r="F28" s="145">
        <f>SUM(F22:F27)</f>
        <v>652315.30728166667</v>
      </c>
      <c r="G28" s="76">
        <v>369940.49650000001</v>
      </c>
      <c r="H28" s="77">
        <v>108357.91650000001</v>
      </c>
      <c r="I28" s="77">
        <v>478298.41300000006</v>
      </c>
      <c r="J28" s="83">
        <f t="shared" si="2"/>
        <v>174016.89428166661</v>
      </c>
      <c r="K28" s="252"/>
      <c r="L28" s="253"/>
      <c r="M28" s="70" t="s">
        <v>220</v>
      </c>
    </row>
    <row r="29" spans="1:18" ht="18.5" x14ac:dyDescent="0.45">
      <c r="A29" s="141"/>
      <c r="B29" s="158"/>
      <c r="C29" s="144"/>
      <c r="D29" s="144"/>
      <c r="E29" s="144"/>
      <c r="F29" s="145"/>
      <c r="G29" s="74"/>
      <c r="H29" s="78"/>
      <c r="I29" s="78"/>
      <c r="J29" s="81">
        <f t="shared" si="2"/>
        <v>0</v>
      </c>
      <c r="K29" s="252"/>
      <c r="L29" s="253"/>
      <c r="M29" s="70"/>
    </row>
    <row r="30" spans="1:18" ht="18.5" x14ac:dyDescent="0.45">
      <c r="A30" s="141">
        <v>1</v>
      </c>
      <c r="B30" s="159" t="s">
        <v>202</v>
      </c>
      <c r="C30" s="144"/>
      <c r="D30" s="144">
        <v>975313.02464000008</v>
      </c>
      <c r="E30" s="144">
        <f>+F30-D30</f>
        <v>-239649.33679999993</v>
      </c>
      <c r="F30" s="145">
        <f>+Table14[[#Totals],[Material Offsite Amount]]</f>
        <v>735663.68784000014</v>
      </c>
      <c r="G30" s="76">
        <v>-573687.43999999971</v>
      </c>
      <c r="H30" s="77">
        <v>-158198.96799999996</v>
      </c>
      <c r="I30" s="77">
        <v>1055952.9126399998</v>
      </c>
      <c r="J30" s="83">
        <f t="shared" si="2"/>
        <v>-320289.22479999962</v>
      </c>
      <c r="K30" s="252"/>
      <c r="L30" s="253"/>
      <c r="M30" s="70" t="s">
        <v>220</v>
      </c>
    </row>
    <row r="31" spans="1:18" ht="18.5" x14ac:dyDescent="0.45">
      <c r="A31" s="141"/>
      <c r="B31" s="158"/>
      <c r="C31" s="144"/>
      <c r="D31" s="144"/>
      <c r="E31" s="144"/>
      <c r="F31" s="145"/>
      <c r="G31" s="74"/>
      <c r="H31" s="78"/>
      <c r="I31" s="78"/>
      <c r="J31" s="81">
        <f t="shared" si="2"/>
        <v>0</v>
      </c>
      <c r="M31" s="70"/>
    </row>
    <row r="32" spans="1:18" ht="18.5" x14ac:dyDescent="0.45">
      <c r="A32" s="141"/>
      <c r="B32" s="160" t="s">
        <v>209</v>
      </c>
      <c r="C32" s="146"/>
      <c r="D32" s="142"/>
      <c r="E32" s="142"/>
      <c r="F32" s="143"/>
      <c r="G32" s="74"/>
      <c r="H32" s="78"/>
      <c r="I32" s="78"/>
      <c r="J32" s="81">
        <f t="shared" si="2"/>
        <v>0</v>
      </c>
    </row>
    <row r="33" spans="1:17" ht="18.5" x14ac:dyDescent="0.45">
      <c r="A33" s="141">
        <v>1</v>
      </c>
      <c r="B33" s="158" t="s">
        <v>203</v>
      </c>
      <c r="C33" s="146">
        <v>4165.433140000001</v>
      </c>
      <c r="D33" s="142">
        <v>4160.8917000000074</v>
      </c>
      <c r="E33" s="142">
        <f>+F33-D33</f>
        <v>0</v>
      </c>
      <c r="F33" s="147">
        <f>+'Variation KCE'!M4</f>
        <v>4160.8917000000074</v>
      </c>
      <c r="G33" s="76"/>
      <c r="H33" s="77"/>
      <c r="I33" s="77">
        <v>4160.8900000000003</v>
      </c>
      <c r="J33" s="83">
        <f t="shared" si="2"/>
        <v>1.7000000070765964E-3</v>
      </c>
      <c r="K33" s="83"/>
      <c r="L33" s="77"/>
    </row>
    <row r="34" spans="1:17" ht="37" x14ac:dyDescent="0.45">
      <c r="A34" s="141">
        <v>2</v>
      </c>
      <c r="B34" s="158" t="s">
        <v>204</v>
      </c>
      <c r="C34" s="146">
        <v>125306.36099999999</v>
      </c>
      <c r="D34" s="142">
        <v>67650</v>
      </c>
      <c r="E34" s="142">
        <f t="shared" ref="E34:E44" si="5">+F34-D34</f>
        <v>4510</v>
      </c>
      <c r="F34" s="147">
        <f>+'Variation KCE'!M12</f>
        <v>72160</v>
      </c>
      <c r="G34" s="76"/>
      <c r="H34" s="77"/>
      <c r="I34" s="77">
        <v>67250</v>
      </c>
      <c r="J34" s="83">
        <f t="shared" si="2"/>
        <v>4910</v>
      </c>
      <c r="K34" s="83"/>
      <c r="L34" s="77"/>
    </row>
    <row r="35" spans="1:17" ht="37" x14ac:dyDescent="0.45">
      <c r="A35" s="141">
        <v>3</v>
      </c>
      <c r="B35" s="158" t="s">
        <v>205</v>
      </c>
      <c r="C35" s="146">
        <v>164783.09519999998</v>
      </c>
      <c r="D35" s="142">
        <v>160184.05919999999</v>
      </c>
      <c r="E35" s="142">
        <f t="shared" si="5"/>
        <v>0</v>
      </c>
      <c r="F35" s="147">
        <f>+'Variation KCE'!M16</f>
        <v>160184.05919999999</v>
      </c>
      <c r="G35" s="76"/>
      <c r="H35" s="77"/>
      <c r="I35" s="77">
        <v>160184.06</v>
      </c>
      <c r="J35" s="83">
        <f t="shared" si="2"/>
        <v>-8.0000000889413059E-4</v>
      </c>
      <c r="K35" s="83"/>
      <c r="L35" s="77"/>
    </row>
    <row r="36" spans="1:17" s="75" customFormat="1" ht="37" x14ac:dyDescent="0.45">
      <c r="A36" s="148">
        <v>4</v>
      </c>
      <c r="B36" s="149" t="s">
        <v>206</v>
      </c>
      <c r="C36" s="150">
        <v>98788.930465594865</v>
      </c>
      <c r="D36" s="151">
        <v>98788.930465594865</v>
      </c>
      <c r="E36" s="151">
        <f t="shared" si="5"/>
        <v>0</v>
      </c>
      <c r="F36" s="147">
        <f>+'Variation KCE'!M31</f>
        <v>98788.930465594865</v>
      </c>
      <c r="G36" s="79"/>
      <c r="H36" s="80"/>
      <c r="I36" s="80">
        <v>98788.93</v>
      </c>
      <c r="J36" s="84">
        <f t="shared" si="2"/>
        <v>4.6559487236663699E-4</v>
      </c>
      <c r="K36" s="84"/>
      <c r="L36" s="80"/>
    </row>
    <row r="37" spans="1:17" s="75" customFormat="1" ht="37" x14ac:dyDescent="0.45">
      <c r="A37" s="148">
        <v>5</v>
      </c>
      <c r="B37" s="149" t="s">
        <v>211</v>
      </c>
      <c r="C37" s="150">
        <v>74930</v>
      </c>
      <c r="D37" s="151">
        <v>74930</v>
      </c>
      <c r="E37" s="151">
        <f t="shared" si="5"/>
        <v>0</v>
      </c>
      <c r="F37" s="147">
        <f>+'Variation KCE'!M42</f>
        <v>74930</v>
      </c>
      <c r="G37" s="79"/>
      <c r="H37" s="80"/>
      <c r="I37" s="80">
        <v>74930</v>
      </c>
      <c r="J37" s="84">
        <f t="shared" si="2"/>
        <v>0</v>
      </c>
      <c r="K37" s="84"/>
      <c r="L37" s="80"/>
    </row>
    <row r="38" spans="1:17" s="75" customFormat="1" ht="18.5" x14ac:dyDescent="0.45">
      <c r="A38" s="148">
        <v>6</v>
      </c>
      <c r="B38" s="149" t="s">
        <v>212</v>
      </c>
      <c r="C38" s="151">
        <v>72577.960000000006</v>
      </c>
      <c r="D38" s="151">
        <v>72577.960000000006</v>
      </c>
      <c r="E38" s="151">
        <f t="shared" si="5"/>
        <v>0</v>
      </c>
      <c r="F38" s="147">
        <f>+'Variation KCE'!M43</f>
        <v>72577.960000000006</v>
      </c>
      <c r="G38" s="79"/>
      <c r="H38" s="80"/>
      <c r="I38" s="80">
        <v>54756</v>
      </c>
      <c r="J38" s="84">
        <f t="shared" si="2"/>
        <v>17821.960000000006</v>
      </c>
      <c r="K38" s="84"/>
      <c r="L38" s="80"/>
    </row>
    <row r="39" spans="1:17" s="75" customFormat="1" ht="37" x14ac:dyDescent="0.35">
      <c r="A39" s="148">
        <v>7</v>
      </c>
      <c r="B39" s="149" t="s">
        <v>216</v>
      </c>
      <c r="C39" s="151">
        <v>8310.64</v>
      </c>
      <c r="D39" s="151">
        <v>8310.64</v>
      </c>
      <c r="E39" s="151">
        <f t="shared" si="5"/>
        <v>0</v>
      </c>
      <c r="F39" s="152">
        <f>+'Variation KCE'!M44</f>
        <v>8310.64</v>
      </c>
      <c r="G39" s="79"/>
      <c r="H39" s="80"/>
      <c r="I39" s="80"/>
      <c r="J39" s="84"/>
      <c r="K39" s="84"/>
      <c r="L39" s="80"/>
    </row>
    <row r="40" spans="1:17" s="75" customFormat="1" ht="37" x14ac:dyDescent="0.35">
      <c r="A40" s="148">
        <v>8</v>
      </c>
      <c r="B40" s="149" t="s">
        <v>217</v>
      </c>
      <c r="C40" s="151">
        <v>1261894.8439999998</v>
      </c>
      <c r="D40" s="151">
        <v>156800</v>
      </c>
      <c r="E40" s="151">
        <f t="shared" si="5"/>
        <v>376320</v>
      </c>
      <c r="F40" s="152">
        <f>+'Variation KCE'!M45</f>
        <v>533120</v>
      </c>
      <c r="G40" s="79"/>
      <c r="H40" s="80"/>
      <c r="I40" s="80"/>
      <c r="J40" s="84"/>
      <c r="K40" s="84"/>
      <c r="L40" s="80"/>
      <c r="Q40" s="75" t="s">
        <v>868</v>
      </c>
    </row>
    <row r="41" spans="1:17" s="75" customFormat="1" ht="18.5" x14ac:dyDescent="0.35">
      <c r="A41" s="148">
        <v>9</v>
      </c>
      <c r="B41" s="149" t="s">
        <v>221</v>
      </c>
      <c r="C41" s="151">
        <v>26597.55</v>
      </c>
      <c r="D41" s="151">
        <v>26597.55</v>
      </c>
      <c r="E41" s="151">
        <f t="shared" si="5"/>
        <v>45167.115000000005</v>
      </c>
      <c r="F41" s="152">
        <f>+'Variation KCE'!M55</f>
        <v>71764.665000000008</v>
      </c>
      <c r="G41" s="79"/>
      <c r="H41" s="80"/>
      <c r="I41" s="80"/>
      <c r="J41" s="84"/>
      <c r="K41" s="84"/>
      <c r="L41" s="80"/>
    </row>
    <row r="42" spans="1:17" s="75" customFormat="1" ht="18.5" x14ac:dyDescent="0.35">
      <c r="A42" s="148"/>
      <c r="B42" s="149"/>
      <c r="C42" s="151"/>
      <c r="D42" s="151"/>
      <c r="E42" s="151">
        <f t="shared" si="5"/>
        <v>26775</v>
      </c>
      <c r="F42" s="152">
        <f>'Variation KCE'!M58</f>
        <v>26775</v>
      </c>
      <c r="G42" s="79"/>
      <c r="H42" s="80"/>
      <c r="I42" s="80"/>
      <c r="J42" s="84">
        <f t="shared" si="2"/>
        <v>26775</v>
      </c>
      <c r="K42" s="84"/>
      <c r="L42" s="80"/>
    </row>
    <row r="43" spans="1:17" ht="37" x14ac:dyDescent="0.45">
      <c r="A43" s="141">
        <v>7</v>
      </c>
      <c r="B43" s="158" t="s">
        <v>207</v>
      </c>
      <c r="C43" s="142">
        <v>534254</v>
      </c>
      <c r="D43" s="142">
        <v>278670.85740000004</v>
      </c>
      <c r="E43" s="142">
        <f t="shared" si="5"/>
        <v>4884.4400000000023</v>
      </c>
      <c r="F43" s="147">
        <f>Table6[[#Totals],[Material @ Site Amount]]+Table6[[#Totals],[Cumulative Amount]]</f>
        <v>283555.29740000004</v>
      </c>
      <c r="G43" s="76">
        <v>43200</v>
      </c>
      <c r="H43" s="77">
        <v>153648.05739999999</v>
      </c>
      <c r="I43" s="77">
        <v>196848.05739999999</v>
      </c>
      <c r="J43" s="84">
        <f t="shared" si="2"/>
        <v>86707.240000000049</v>
      </c>
      <c r="K43" s="84"/>
      <c r="L43" s="77"/>
    </row>
    <row r="44" spans="1:17" ht="37" x14ac:dyDescent="0.45">
      <c r="A44" s="141">
        <v>9</v>
      </c>
      <c r="B44" s="158" t="s">
        <v>896</v>
      </c>
      <c r="C44" s="142">
        <v>2169551.48</v>
      </c>
      <c r="D44" s="142">
        <v>566441.64</v>
      </c>
      <c r="E44" s="142">
        <f t="shared" si="5"/>
        <v>102228.53600000008</v>
      </c>
      <c r="F44" s="147">
        <f>'AHK Balance'!Q589+'AHK Balance'!K589</f>
        <v>668670.17600000009</v>
      </c>
      <c r="G44" s="76">
        <v>107012.16</v>
      </c>
      <c r="H44" s="77">
        <v>337354.73</v>
      </c>
      <c r="I44" s="77">
        <v>444366.89</v>
      </c>
      <c r="J44" s="84">
        <f t="shared" si="2"/>
        <v>224303.28600000008</v>
      </c>
      <c r="K44" s="84"/>
      <c r="Q44" t="s">
        <v>868</v>
      </c>
    </row>
    <row r="45" spans="1:17" ht="18.5" x14ac:dyDescent="0.45">
      <c r="A45" s="141"/>
      <c r="B45" s="158"/>
      <c r="C45" s="142"/>
      <c r="D45" s="142"/>
      <c r="E45" s="142"/>
      <c r="F45" s="143"/>
      <c r="G45" s="73"/>
      <c r="J45" s="81">
        <f t="shared" si="2"/>
        <v>0</v>
      </c>
    </row>
    <row r="46" spans="1:17" ht="18.5" x14ac:dyDescent="0.45">
      <c r="A46" s="141"/>
      <c r="B46" s="158"/>
      <c r="C46" s="142"/>
      <c r="D46" s="142"/>
      <c r="E46" s="142"/>
      <c r="F46" s="143"/>
      <c r="G46" s="73"/>
      <c r="J46" s="81">
        <f t="shared" si="2"/>
        <v>0</v>
      </c>
    </row>
    <row r="47" spans="1:17" ht="18.5" x14ac:dyDescent="0.45">
      <c r="A47" s="141"/>
      <c r="B47" s="158"/>
      <c r="C47" s="144">
        <f>SUM(C33:C46)</f>
        <v>4541160.2938055955</v>
      </c>
      <c r="D47" s="144">
        <v>1363601.2758890355</v>
      </c>
      <c r="E47" s="144">
        <f>SUM(E33:E46)</f>
        <v>559885.09100000001</v>
      </c>
      <c r="F47" s="196">
        <f>SUM(F33:F46)*0.9</f>
        <v>1867497.8577890357</v>
      </c>
      <c r="G47" s="74"/>
      <c r="Q47" t="s">
        <v>897</v>
      </c>
    </row>
    <row r="48" spans="1:17" ht="18.5" x14ac:dyDescent="0.45">
      <c r="A48" s="141"/>
      <c r="B48" s="158"/>
      <c r="C48" s="144"/>
      <c r="D48" s="144"/>
      <c r="E48" s="144"/>
      <c r="F48" s="145"/>
      <c r="G48" s="74"/>
    </row>
    <row r="49" spans="1:12" ht="19" thickBot="1" x14ac:dyDescent="0.5">
      <c r="A49" s="153"/>
      <c r="B49" s="161"/>
      <c r="C49" s="154"/>
      <c r="D49" s="154"/>
      <c r="E49" s="154"/>
      <c r="F49" s="155"/>
      <c r="G49" s="73"/>
    </row>
    <row r="50" spans="1:12" s="171" customFormat="1" ht="35.25" customHeight="1" thickBot="1" x14ac:dyDescent="0.4">
      <c r="A50" s="163"/>
      <c r="B50" s="164" t="s">
        <v>867</v>
      </c>
      <c r="C50" s="165"/>
      <c r="D50" s="166">
        <f>SUM(D47,D28,D19,D30)</f>
        <v>4308170.527242641</v>
      </c>
      <c r="E50" s="166">
        <f>SUM(E47,E28,E19,E30)</f>
        <v>736942.54348751588</v>
      </c>
      <c r="F50" s="166">
        <f>SUM(F47,F28,F19,F30)</f>
        <v>4989124.5616301559</v>
      </c>
      <c r="G50" s="167"/>
      <c r="H50" s="168">
        <f>SUM(H8:H49)</f>
        <v>733815.63884117652</v>
      </c>
      <c r="I50" s="169"/>
      <c r="J50" s="170"/>
      <c r="K50" s="170"/>
      <c r="L50" s="168"/>
    </row>
    <row r="51" spans="1:12" ht="15" thickTop="1" x14ac:dyDescent="0.35"/>
  </sheetData>
  <mergeCells count="4">
    <mergeCell ref="G2:I2"/>
    <mergeCell ref="K19:K30"/>
    <mergeCell ref="L19:L30"/>
    <mergeCell ref="E2:F2"/>
  </mergeCells>
  <phoneticPr fontId="7" type="noConversion"/>
  <pageMargins left="0.7" right="0.7" top="1.5" bottom="0.75" header="0.3" footer="0.3"/>
  <pageSetup paperSize="9" scale="53"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4"/>
  <sheetViews>
    <sheetView view="pageBreakPreview" zoomScaleNormal="100" zoomScaleSheetLayoutView="100" workbookViewId="0">
      <selection activeCell="O8" sqref="O8"/>
    </sheetView>
  </sheetViews>
  <sheetFormatPr defaultRowHeight="14.5" x14ac:dyDescent="0.35"/>
  <cols>
    <col min="1" max="1" width="8.7265625" style="2"/>
    <col min="2" max="2" width="43.54296875" style="3" customWidth="1"/>
    <col min="3" max="3" width="8.7265625" style="25" customWidth="1"/>
    <col min="4" max="4" width="8.7265625" customWidth="1"/>
    <col min="5" max="5" width="13.54296875" style="1" customWidth="1"/>
    <col min="6" max="6" width="13.1796875" style="1" customWidth="1"/>
    <col min="7" max="7" width="13.26953125" style="1" customWidth="1"/>
    <col min="8" max="8" width="13.453125" style="25" customWidth="1"/>
    <col min="9" max="9" width="12.7265625" style="272" customWidth="1"/>
    <col min="10" max="10" width="12.26953125" style="25" customWidth="1"/>
    <col min="11" max="11" width="18.26953125" style="1" customWidth="1"/>
    <col min="12" max="12" width="17.453125" style="1" customWidth="1"/>
    <col min="13" max="13" width="20.453125" style="1" customWidth="1"/>
  </cols>
  <sheetData>
    <row r="1" spans="1:16" s="4" customFormat="1" ht="40.15" customHeight="1" thickBot="1" x14ac:dyDescent="0.4">
      <c r="A1" s="41" t="s">
        <v>0</v>
      </c>
      <c r="B1" s="41" t="s">
        <v>1</v>
      </c>
      <c r="C1" s="42" t="s">
        <v>2</v>
      </c>
      <c r="D1" s="41" t="s">
        <v>3</v>
      </c>
      <c r="E1" s="43" t="s">
        <v>4</v>
      </c>
      <c r="F1" s="43" t="s">
        <v>5</v>
      </c>
      <c r="G1" s="43" t="s">
        <v>6</v>
      </c>
      <c r="H1" s="42" t="s">
        <v>173</v>
      </c>
      <c r="I1" s="266" t="s">
        <v>174</v>
      </c>
      <c r="J1" s="42" t="s">
        <v>175</v>
      </c>
      <c r="K1" s="43" t="s">
        <v>176</v>
      </c>
      <c r="L1" s="43" t="s">
        <v>177</v>
      </c>
      <c r="M1" s="43" t="s">
        <v>178</v>
      </c>
    </row>
    <row r="2" spans="1:16" x14ac:dyDescent="0.35">
      <c r="A2" s="49"/>
      <c r="B2" s="50" t="s">
        <v>7</v>
      </c>
      <c r="C2" s="51"/>
      <c r="D2" s="52"/>
      <c r="E2" s="53"/>
      <c r="F2" s="53"/>
      <c r="G2" s="53"/>
      <c r="H2" s="51"/>
      <c r="I2" s="267"/>
      <c r="J2" s="51"/>
      <c r="K2" s="53">
        <f>(Table1[[#This Row],[Supply Rate]]+Table1[[#This Row],[Install Rate]])*Table1[[#This Row],[Previous Qty]]</f>
        <v>0</v>
      </c>
      <c r="L2" s="53">
        <f>+Table1[[#This Row],[Current Qty]]*(Table1[[#This Row],[Supply Rate]]+Table1[[#This Row],[Install Rate]])</f>
        <v>0</v>
      </c>
      <c r="M2" s="53">
        <f>(Table1[[#This Row],[Supply Rate]]+Table1[[#This Row],[Install Rate]])*Table1[[#This Row],[Cumulative]]</f>
        <v>0</v>
      </c>
    </row>
    <row r="3" spans="1:16" ht="22.15" customHeight="1" x14ac:dyDescent="0.35">
      <c r="A3" s="6"/>
      <c r="B3" s="10" t="s">
        <v>8</v>
      </c>
      <c r="C3" s="22"/>
      <c r="D3" s="8"/>
      <c r="E3" s="9"/>
      <c r="F3" s="9"/>
      <c r="G3" s="9"/>
      <c r="H3" s="22"/>
      <c r="I3" s="265"/>
      <c r="J3" s="22"/>
      <c r="K3" s="9">
        <f>(Table1[[#This Row],[Supply Rate]]+Table1[[#This Row],[Install Rate]])*Table1[[#This Row],[Previous Qty]]</f>
        <v>0</v>
      </c>
      <c r="L3" s="9">
        <f>+Table1[[#This Row],[Current Qty]]*(Table1[[#This Row],[Supply Rate]]+Table1[[#This Row],[Install Rate]])</f>
        <v>0</v>
      </c>
      <c r="M3" s="9">
        <f>(Table1[[#This Row],[Supply Rate]]+Table1[[#This Row],[Install Rate]])*Table1[[#This Row],[Cumulative]]</f>
        <v>0</v>
      </c>
    </row>
    <row r="4" spans="1:16" x14ac:dyDescent="0.35">
      <c r="A4" s="6"/>
      <c r="B4" s="11" t="s">
        <v>9</v>
      </c>
      <c r="C4" s="22"/>
      <c r="D4" s="8"/>
      <c r="E4" s="9"/>
      <c r="F4" s="9"/>
      <c r="G4" s="9"/>
      <c r="H4" s="22"/>
      <c r="I4" s="265"/>
      <c r="J4" s="22"/>
      <c r="K4" s="9">
        <f>(Table1[[#This Row],[Supply Rate]]+Table1[[#This Row],[Install Rate]])*Table1[[#This Row],[Previous Qty]]</f>
        <v>0</v>
      </c>
      <c r="L4" s="9">
        <f>+Table1[[#This Row],[Current Qty]]*(Table1[[#This Row],[Supply Rate]]+Table1[[#This Row],[Install Rate]])</f>
        <v>0</v>
      </c>
      <c r="M4" s="9">
        <f>(Table1[[#This Row],[Supply Rate]]+Table1[[#This Row],[Install Rate]])*Table1[[#This Row],[Cumulative]]</f>
        <v>0</v>
      </c>
    </row>
    <row r="5" spans="1:16" ht="29" x14ac:dyDescent="0.35">
      <c r="A5" s="6">
        <v>1</v>
      </c>
      <c r="B5" s="11" t="s">
        <v>12</v>
      </c>
      <c r="C5" s="22">
        <v>247.5</v>
      </c>
      <c r="D5" s="8" t="s">
        <v>10</v>
      </c>
      <c r="E5" s="9">
        <v>337</v>
      </c>
      <c r="F5" s="9">
        <v>84</v>
      </c>
      <c r="G5" s="9">
        <f>(E5+F5)*C5</f>
        <v>104197.5</v>
      </c>
      <c r="H5" s="23">
        <v>63</v>
      </c>
      <c r="I5" s="265">
        <v>24.85</v>
      </c>
      <c r="J5" s="22">
        <f>+Table1[[#This Row],[Previous Qty]]+Table1[[#This Row],[Current Qty]]</f>
        <v>87.85</v>
      </c>
      <c r="K5" s="9">
        <f>(Table1[[#This Row],[Supply Rate]]+Table1[[#This Row],[Install Rate]])*Table1[[#This Row],[Previous Qty]]</f>
        <v>26523</v>
      </c>
      <c r="L5" s="9">
        <f>+Table1[[#This Row],[Current Qty]]*(Table1[[#This Row],[Supply Rate]]+Table1[[#This Row],[Install Rate]])</f>
        <v>10461.85</v>
      </c>
      <c r="M5" s="9">
        <f>(Table1[[#This Row],[Supply Rate]]+Table1[[#This Row],[Install Rate]])*Table1[[#This Row],[Cumulative]]</f>
        <v>36984.85</v>
      </c>
    </row>
    <row r="6" spans="1:16" ht="29" x14ac:dyDescent="0.35">
      <c r="A6" s="6">
        <v>2</v>
      </c>
      <c r="B6" s="11" t="s">
        <v>13</v>
      </c>
      <c r="C6" s="22">
        <v>270.8</v>
      </c>
      <c r="D6" s="8" t="s">
        <v>10</v>
      </c>
      <c r="E6" s="9">
        <v>470</v>
      </c>
      <c r="F6" s="9">
        <v>113</v>
      </c>
      <c r="G6" s="9">
        <f>(E6+F6)*C6</f>
        <v>157876.4</v>
      </c>
      <c r="H6" s="22">
        <v>0</v>
      </c>
      <c r="I6" s="265"/>
      <c r="J6" s="22">
        <f>+Table1[[#This Row],[Previous Qty]]+Table1[[#This Row],[Current Qty]]</f>
        <v>0</v>
      </c>
      <c r="K6" s="9">
        <f>(Table1[[#This Row],[Supply Rate]]+Table1[[#This Row],[Install Rate]])*Table1[[#This Row],[Previous Qty]]</f>
        <v>0</v>
      </c>
      <c r="L6" s="9">
        <f>+Table1[[#This Row],[Current Qty]]*(Table1[[#This Row],[Supply Rate]]+Table1[[#This Row],[Install Rate]])</f>
        <v>0</v>
      </c>
      <c r="M6" s="9">
        <f>(Table1[[#This Row],[Supply Rate]]+Table1[[#This Row],[Install Rate]])*Table1[[#This Row],[Cumulative]]</f>
        <v>0</v>
      </c>
    </row>
    <row r="7" spans="1:16" x14ac:dyDescent="0.35">
      <c r="A7" s="6"/>
      <c r="B7" s="11" t="s">
        <v>11</v>
      </c>
      <c r="C7" s="22"/>
      <c r="D7" s="8"/>
      <c r="E7" s="9"/>
      <c r="F7" s="9"/>
      <c r="G7" s="9"/>
      <c r="H7" s="22">
        <v>0</v>
      </c>
      <c r="I7" s="265"/>
      <c r="J7" s="22">
        <f>+Table1[[#This Row],[Previous Qty]]+Table1[[#This Row],[Current Qty]]</f>
        <v>0</v>
      </c>
      <c r="K7" s="9">
        <f>(Table1[[#This Row],[Supply Rate]]+Table1[[#This Row],[Install Rate]])*Table1[[#This Row],[Previous Qty]]</f>
        <v>0</v>
      </c>
      <c r="L7" s="9">
        <f>+Table1[[#This Row],[Current Qty]]*(Table1[[#This Row],[Supply Rate]]+Table1[[#This Row],[Install Rate]])</f>
        <v>0</v>
      </c>
      <c r="M7" s="9">
        <f>(Table1[[#This Row],[Supply Rate]]+Table1[[#This Row],[Install Rate]])*Table1[[#This Row],[Cumulative]]</f>
        <v>0</v>
      </c>
    </row>
    <row r="8" spans="1:16" ht="29" x14ac:dyDescent="0.35">
      <c r="A8" s="6">
        <v>3</v>
      </c>
      <c r="B8" s="11" t="s">
        <v>14</v>
      </c>
      <c r="C8" s="22">
        <v>1574.6</v>
      </c>
      <c r="D8" s="8" t="s">
        <v>17</v>
      </c>
      <c r="E8" s="9">
        <v>190</v>
      </c>
      <c r="F8" s="9">
        <v>200</v>
      </c>
      <c r="G8" s="9">
        <f>(E8+F8)*C8</f>
        <v>614094</v>
      </c>
      <c r="H8" s="23">
        <v>942</v>
      </c>
      <c r="I8" s="265">
        <v>475.13999999999987</v>
      </c>
      <c r="J8" s="23">
        <f>+Table1[[#This Row],[Previous Qty]]+Table1[[#This Row],[Current Qty]]</f>
        <v>1417.1399999999999</v>
      </c>
      <c r="K8" s="9">
        <f>(Table1[[#This Row],[Supply Rate]]+Table1[[#This Row],[Install Rate]])*Table1[[#This Row],[Previous Qty]]</f>
        <v>367380</v>
      </c>
      <c r="L8" s="9">
        <f>+Table1[[#This Row],[Current Qty]]*(Table1[[#This Row],[Supply Rate]]+Table1[[#This Row],[Install Rate]])</f>
        <v>185304.59999999995</v>
      </c>
      <c r="M8" s="9">
        <f>(Table1[[#This Row],[Supply Rate]]+Table1[[#This Row],[Install Rate]])*Table1[[#This Row],[Cumulative]]</f>
        <v>552684.6</v>
      </c>
      <c r="O8">
        <f>Table1[[#This Row],[Qty]]*0.9</f>
        <v>1417.1399999999999</v>
      </c>
      <c r="P8" s="25">
        <f>O8-Table1[[#This Row],[Previous Qty]]</f>
        <v>475.13999999999987</v>
      </c>
    </row>
    <row r="9" spans="1:16" ht="29" x14ac:dyDescent="0.35">
      <c r="A9" s="6">
        <v>4</v>
      </c>
      <c r="B9" s="11" t="s">
        <v>15</v>
      </c>
      <c r="C9" s="22">
        <v>72.5</v>
      </c>
      <c r="D9" s="8" t="s">
        <v>17</v>
      </c>
      <c r="E9" s="9">
        <v>663</v>
      </c>
      <c r="F9" s="9">
        <v>218</v>
      </c>
      <c r="G9" s="9">
        <f t="shared" ref="G9:G10" si="0">(E9+F9)*C9</f>
        <v>63872.5</v>
      </c>
      <c r="H9" s="22">
        <v>0</v>
      </c>
      <c r="I9" s="265"/>
      <c r="J9" s="22">
        <f>+Table1[[#This Row],[Previous Qty]]+Table1[[#This Row],[Current Qty]]</f>
        <v>0</v>
      </c>
      <c r="K9" s="9">
        <f>(Table1[[#This Row],[Supply Rate]]+Table1[[#This Row],[Install Rate]])*Table1[[#This Row],[Previous Qty]]</f>
        <v>0</v>
      </c>
      <c r="L9" s="9">
        <f>+Table1[[#This Row],[Current Qty]]*(Table1[[#This Row],[Supply Rate]]+Table1[[#This Row],[Install Rate]])</f>
        <v>0</v>
      </c>
      <c r="M9" s="9">
        <f>(Table1[[#This Row],[Supply Rate]]+Table1[[#This Row],[Install Rate]])*Table1[[#This Row],[Cumulative]]</f>
        <v>0</v>
      </c>
    </row>
    <row r="10" spans="1:16" ht="29" x14ac:dyDescent="0.35">
      <c r="A10" s="6">
        <v>5</v>
      </c>
      <c r="B10" s="11" t="s">
        <v>16</v>
      </c>
      <c r="C10" s="22">
        <v>224.3</v>
      </c>
      <c r="D10" s="8" t="s">
        <v>10</v>
      </c>
      <c r="E10" s="9">
        <v>207</v>
      </c>
      <c r="F10" s="9">
        <v>80</v>
      </c>
      <c r="G10" s="9">
        <f t="shared" si="0"/>
        <v>64374.100000000006</v>
      </c>
      <c r="H10" s="22">
        <v>67.430000000000007</v>
      </c>
      <c r="I10" s="265">
        <v>88.97</v>
      </c>
      <c r="J10" s="22">
        <f>+Table1[[#This Row],[Previous Qty]]+Table1[[#This Row],[Current Qty]]</f>
        <v>156.4</v>
      </c>
      <c r="K10" s="9">
        <f>(Table1[[#This Row],[Supply Rate]]+Table1[[#This Row],[Install Rate]])*Table1[[#This Row],[Previous Qty]]</f>
        <v>19352.410000000003</v>
      </c>
      <c r="L10" s="9">
        <f>+Table1[[#This Row],[Current Qty]]*(Table1[[#This Row],[Supply Rate]]+Table1[[#This Row],[Install Rate]])</f>
        <v>25534.39</v>
      </c>
      <c r="M10" s="9">
        <f>(Table1[[#This Row],[Supply Rate]]+Table1[[#This Row],[Install Rate]])*Table1[[#This Row],[Cumulative]]</f>
        <v>44886.8</v>
      </c>
    </row>
    <row r="11" spans="1:16" x14ac:dyDescent="0.35">
      <c r="A11" s="6"/>
      <c r="B11" s="11" t="s">
        <v>18</v>
      </c>
      <c r="C11" s="22"/>
      <c r="D11" s="8"/>
      <c r="E11" s="9"/>
      <c r="F11" s="9"/>
      <c r="G11" s="9"/>
      <c r="H11" s="22">
        <v>0</v>
      </c>
      <c r="I11" s="265"/>
      <c r="J11" s="22">
        <f>+Table1[[#This Row],[Previous Qty]]+Table1[[#This Row],[Current Qty]]</f>
        <v>0</v>
      </c>
      <c r="K11" s="9">
        <f>(Table1[[#This Row],[Supply Rate]]+Table1[[#This Row],[Install Rate]])*Table1[[#This Row],[Previous Qty]]</f>
        <v>0</v>
      </c>
      <c r="L11" s="9">
        <f>+Table1[[#This Row],[Current Qty]]*(Table1[[#This Row],[Supply Rate]]+Table1[[#This Row],[Install Rate]])</f>
        <v>0</v>
      </c>
      <c r="M11" s="9">
        <f>(Table1[[#This Row],[Supply Rate]]+Table1[[#This Row],[Install Rate]])*Table1[[#This Row],[Cumulative]]</f>
        <v>0</v>
      </c>
    </row>
    <row r="12" spans="1:16" ht="29.5" thickBot="1" x14ac:dyDescent="0.4">
      <c r="A12" s="54">
        <v>6</v>
      </c>
      <c r="B12" s="55" t="s">
        <v>19</v>
      </c>
      <c r="C12" s="56">
        <v>144.1</v>
      </c>
      <c r="D12" s="57" t="s">
        <v>17</v>
      </c>
      <c r="E12" s="58">
        <v>190</v>
      </c>
      <c r="F12" s="58">
        <v>200</v>
      </c>
      <c r="G12" s="58">
        <f t="shared" ref="G12" si="1">(E12+F12)*C12</f>
        <v>56199</v>
      </c>
      <c r="H12" s="56">
        <v>0</v>
      </c>
      <c r="I12" s="268">
        <v>66.119</v>
      </c>
      <c r="J12" s="56">
        <f>+Table1[[#This Row],[Previous Qty]]+Table1[[#This Row],[Current Qty]]</f>
        <v>66.119</v>
      </c>
      <c r="K12" s="58">
        <f>(Table1[[#This Row],[Supply Rate]]+Table1[[#This Row],[Install Rate]])*Table1[[#This Row],[Previous Qty]]</f>
        <v>0</v>
      </c>
      <c r="L12" s="58">
        <f>+Table1[[#This Row],[Current Qty]]*(Table1[[#This Row],[Supply Rate]]+Table1[[#This Row],[Install Rate]])</f>
        <v>25786.41</v>
      </c>
      <c r="M12" s="58">
        <f>(Table1[[#This Row],[Supply Rate]]+Table1[[#This Row],[Install Rate]])*Table1[[#This Row],[Cumulative]]</f>
        <v>25786.41</v>
      </c>
    </row>
    <row r="13" spans="1:16" x14ac:dyDescent="0.35">
      <c r="A13" s="44"/>
      <c r="B13" s="45"/>
      <c r="C13" s="46"/>
      <c r="D13" s="47"/>
      <c r="E13" s="48"/>
      <c r="F13" s="48"/>
      <c r="G13" s="48"/>
      <c r="H13" s="46">
        <v>0</v>
      </c>
      <c r="I13" s="269"/>
      <c r="J13" s="46">
        <f>+Table1[[#This Row],[Previous Qty]]+Table1[[#This Row],[Current Qty]]</f>
        <v>0</v>
      </c>
      <c r="K13" s="48">
        <f>(Table1[[#This Row],[Supply Rate]]+Table1[[#This Row],[Install Rate]])*Table1[[#This Row],[Previous Qty]]</f>
        <v>0</v>
      </c>
      <c r="L13" s="48">
        <f>+Table1[[#This Row],[Current Qty]]*(Table1[[#This Row],[Supply Rate]]+Table1[[#This Row],[Install Rate]])</f>
        <v>0</v>
      </c>
      <c r="M13" s="48">
        <f>(Table1[[#This Row],[Supply Rate]]+Table1[[#This Row],[Install Rate]])*Table1[[#This Row],[Cumulative]]</f>
        <v>0</v>
      </c>
    </row>
    <row r="14" spans="1:16" x14ac:dyDescent="0.35">
      <c r="A14" s="6"/>
      <c r="B14" s="7" t="s">
        <v>20</v>
      </c>
      <c r="C14" s="22"/>
      <c r="D14" s="8"/>
      <c r="E14" s="9"/>
      <c r="F14" s="9"/>
      <c r="G14" s="9"/>
      <c r="H14" s="22">
        <v>0</v>
      </c>
      <c r="I14" s="265"/>
      <c r="J14" s="22">
        <f>+Table1[[#This Row],[Previous Qty]]+Table1[[#This Row],[Current Qty]]</f>
        <v>0</v>
      </c>
      <c r="K14" s="9">
        <f>(Table1[[#This Row],[Supply Rate]]+Table1[[#This Row],[Install Rate]])*Table1[[#This Row],[Previous Qty]]</f>
        <v>0</v>
      </c>
      <c r="L14" s="9">
        <f>+Table1[[#This Row],[Current Qty]]*(Table1[[#This Row],[Supply Rate]]+Table1[[#This Row],[Install Rate]])</f>
        <v>0</v>
      </c>
      <c r="M14" s="9">
        <f>(Table1[[#This Row],[Supply Rate]]+Table1[[#This Row],[Install Rate]])*Table1[[#This Row],[Cumulative]]</f>
        <v>0</v>
      </c>
    </row>
    <row r="15" spans="1:16" ht="25.9" customHeight="1" x14ac:dyDescent="0.35">
      <c r="A15" s="6"/>
      <c r="B15" s="10" t="s">
        <v>8</v>
      </c>
      <c r="C15" s="22"/>
      <c r="D15" s="8"/>
      <c r="E15" s="9"/>
      <c r="F15" s="9"/>
      <c r="G15" s="9"/>
      <c r="H15" s="22">
        <v>0</v>
      </c>
      <c r="I15" s="265"/>
      <c r="J15" s="22">
        <f>+Table1[[#This Row],[Previous Qty]]+Table1[[#This Row],[Current Qty]]</f>
        <v>0</v>
      </c>
      <c r="K15" s="9">
        <f>(Table1[[#This Row],[Supply Rate]]+Table1[[#This Row],[Install Rate]])*Table1[[#This Row],[Previous Qty]]</f>
        <v>0</v>
      </c>
      <c r="L15" s="9">
        <f>+Table1[[#This Row],[Current Qty]]*(Table1[[#This Row],[Supply Rate]]+Table1[[#This Row],[Install Rate]])</f>
        <v>0</v>
      </c>
      <c r="M15" s="9">
        <f>(Table1[[#This Row],[Supply Rate]]+Table1[[#This Row],[Install Rate]])*Table1[[#This Row],[Cumulative]]</f>
        <v>0</v>
      </c>
    </row>
    <row r="16" spans="1:16" x14ac:dyDescent="0.35">
      <c r="A16" s="6"/>
      <c r="B16" s="11" t="s">
        <v>11</v>
      </c>
      <c r="C16" s="22"/>
      <c r="D16" s="8"/>
      <c r="E16" s="9"/>
      <c r="F16" s="9"/>
      <c r="G16" s="9"/>
      <c r="H16" s="22">
        <v>0</v>
      </c>
      <c r="I16" s="265"/>
      <c r="J16" s="22">
        <f>+Table1[[#This Row],[Previous Qty]]+Table1[[#This Row],[Current Qty]]</f>
        <v>0</v>
      </c>
      <c r="K16" s="9">
        <f>(Table1[[#This Row],[Supply Rate]]+Table1[[#This Row],[Install Rate]])*Table1[[#This Row],[Previous Qty]]</f>
        <v>0</v>
      </c>
      <c r="L16" s="9">
        <f>+Table1[[#This Row],[Current Qty]]*(Table1[[#This Row],[Supply Rate]]+Table1[[#This Row],[Install Rate]])</f>
        <v>0</v>
      </c>
      <c r="M16" s="9">
        <f>(Table1[[#This Row],[Supply Rate]]+Table1[[#This Row],[Install Rate]])*Table1[[#This Row],[Cumulative]]</f>
        <v>0</v>
      </c>
    </row>
    <row r="17" spans="1:13" ht="29" x14ac:dyDescent="0.35">
      <c r="A17" s="6">
        <v>7</v>
      </c>
      <c r="B17" s="11" t="s">
        <v>21</v>
      </c>
      <c r="C17" s="22">
        <v>388.47</v>
      </c>
      <c r="D17" s="8" t="s">
        <v>17</v>
      </c>
      <c r="E17" s="9">
        <v>190</v>
      </c>
      <c r="F17" s="9">
        <v>200</v>
      </c>
      <c r="G17" s="9">
        <f t="shared" ref="G17:G18" si="2">(E17+F17)*C17</f>
        <v>151503.30000000002</v>
      </c>
      <c r="H17" s="22">
        <v>0</v>
      </c>
      <c r="I17" s="265"/>
      <c r="J17" s="22">
        <f>+Table1[[#This Row],[Previous Qty]]+Table1[[#This Row],[Current Qty]]</f>
        <v>0</v>
      </c>
      <c r="K17" s="9">
        <f>(Table1[[#This Row],[Supply Rate]]+Table1[[#This Row],[Install Rate]])*Table1[[#This Row],[Previous Qty]]</f>
        <v>0</v>
      </c>
      <c r="L17" s="9">
        <f>+Table1[[#This Row],[Current Qty]]*(Table1[[#This Row],[Supply Rate]]+Table1[[#This Row],[Install Rate]])</f>
        <v>0</v>
      </c>
      <c r="M17" s="9">
        <f>(Table1[[#This Row],[Supply Rate]]+Table1[[#This Row],[Install Rate]])*Table1[[#This Row],[Cumulative]]</f>
        <v>0</v>
      </c>
    </row>
    <row r="18" spans="1:13" x14ac:dyDescent="0.35">
      <c r="A18" s="6">
        <v>8</v>
      </c>
      <c r="B18" s="11" t="s">
        <v>22</v>
      </c>
      <c r="C18" s="22">
        <v>30.56</v>
      </c>
      <c r="D18" s="8" t="s">
        <v>10</v>
      </c>
      <c r="E18" s="9">
        <v>238</v>
      </c>
      <c r="F18" s="9">
        <v>85</v>
      </c>
      <c r="G18" s="9">
        <f t="shared" si="2"/>
        <v>9870.8799999999992</v>
      </c>
      <c r="H18" s="22">
        <v>0</v>
      </c>
      <c r="I18" s="265"/>
      <c r="J18" s="22">
        <f>+Table1[[#This Row],[Previous Qty]]+Table1[[#This Row],[Current Qty]]</f>
        <v>0</v>
      </c>
      <c r="K18" s="9">
        <f>(Table1[[#This Row],[Supply Rate]]+Table1[[#This Row],[Install Rate]])*Table1[[#This Row],[Previous Qty]]</f>
        <v>0</v>
      </c>
      <c r="L18" s="9">
        <f>+Table1[[#This Row],[Current Qty]]*(Table1[[#This Row],[Supply Rate]]+Table1[[#This Row],[Install Rate]])</f>
        <v>0</v>
      </c>
      <c r="M18" s="9">
        <f>(Table1[[#This Row],[Supply Rate]]+Table1[[#This Row],[Install Rate]])*Table1[[#This Row],[Cumulative]]</f>
        <v>0</v>
      </c>
    </row>
    <row r="19" spans="1:13" x14ac:dyDescent="0.35">
      <c r="A19" s="6"/>
      <c r="B19" s="11" t="s">
        <v>18</v>
      </c>
      <c r="C19" s="22"/>
      <c r="D19" s="8"/>
      <c r="E19" s="9"/>
      <c r="F19" s="9"/>
      <c r="G19" s="9"/>
      <c r="H19" s="22">
        <v>0</v>
      </c>
      <c r="I19" s="265"/>
      <c r="J19" s="22">
        <f>+Table1[[#This Row],[Previous Qty]]+Table1[[#This Row],[Current Qty]]</f>
        <v>0</v>
      </c>
      <c r="K19" s="9">
        <f>(Table1[[#This Row],[Supply Rate]]+Table1[[#This Row],[Install Rate]])*Table1[[#This Row],[Previous Qty]]</f>
        <v>0</v>
      </c>
      <c r="L19" s="9">
        <f>+Table1[[#This Row],[Current Qty]]*(Table1[[#This Row],[Supply Rate]]+Table1[[#This Row],[Install Rate]])</f>
        <v>0</v>
      </c>
      <c r="M19" s="9">
        <f>(Table1[[#This Row],[Supply Rate]]+Table1[[#This Row],[Install Rate]])*Table1[[#This Row],[Cumulative]]</f>
        <v>0</v>
      </c>
    </row>
    <row r="20" spans="1:13" ht="29" x14ac:dyDescent="0.35">
      <c r="A20" s="6">
        <v>9</v>
      </c>
      <c r="B20" s="11" t="s">
        <v>23</v>
      </c>
      <c r="C20" s="22">
        <v>708.62</v>
      </c>
      <c r="D20" s="8" t="s">
        <v>17</v>
      </c>
      <c r="E20" s="9">
        <v>190</v>
      </c>
      <c r="F20" s="9">
        <v>200</v>
      </c>
      <c r="G20" s="9">
        <f t="shared" ref="G20:G24" si="3">(E20+F20)*C20</f>
        <v>276361.8</v>
      </c>
      <c r="H20" s="22">
        <v>708.62</v>
      </c>
      <c r="I20" s="265">
        <v>0</v>
      </c>
      <c r="J20" s="22">
        <f>+Table1[[#This Row],[Previous Qty]]+Table1[[#This Row],[Current Qty]]</f>
        <v>708.62</v>
      </c>
      <c r="K20" s="9">
        <f>(Table1[[#This Row],[Supply Rate]]+Table1[[#This Row],[Install Rate]])*Table1[[#This Row],[Previous Qty]]</f>
        <v>276361.8</v>
      </c>
      <c r="L20" s="9">
        <f>+Table1[[#This Row],[Current Qty]]*(Table1[[#This Row],[Supply Rate]]+Table1[[#This Row],[Install Rate]])</f>
        <v>0</v>
      </c>
      <c r="M20" s="9">
        <f>(Table1[[#This Row],[Supply Rate]]+Table1[[#This Row],[Install Rate]])*Table1[[#This Row],[Cumulative]]</f>
        <v>276361.8</v>
      </c>
    </row>
    <row r="21" spans="1:13" x14ac:dyDescent="0.35">
      <c r="A21" s="6">
        <v>10</v>
      </c>
      <c r="B21" s="11" t="s">
        <v>24</v>
      </c>
      <c r="C21" s="22">
        <v>19</v>
      </c>
      <c r="D21" s="8" t="s">
        <v>10</v>
      </c>
      <c r="E21" s="9">
        <v>1025.2941176470588</v>
      </c>
      <c r="F21" s="9">
        <v>74.117647058823536</v>
      </c>
      <c r="G21" s="9">
        <f t="shared" si="3"/>
        <v>20888.823529411766</v>
      </c>
      <c r="H21" s="22">
        <v>12.38</v>
      </c>
      <c r="I21" s="265">
        <v>0</v>
      </c>
      <c r="J21" s="22">
        <f>+Table1[[#This Row],[Previous Qty]]+Table1[[#This Row],[Current Qty]]</f>
        <v>12.38</v>
      </c>
      <c r="K21" s="9">
        <f>(Table1[[#This Row],[Supply Rate]]+Table1[[#This Row],[Install Rate]])*Table1[[#This Row],[Previous Qty]]</f>
        <v>13610.717647058826</v>
      </c>
      <c r="L21" s="9">
        <f>+Table1[[#This Row],[Current Qty]]*(Table1[[#This Row],[Supply Rate]]+Table1[[#This Row],[Install Rate]])</f>
        <v>0</v>
      </c>
      <c r="M21" s="9">
        <f>(Table1[[#This Row],[Supply Rate]]+Table1[[#This Row],[Install Rate]])*Table1[[#This Row],[Cumulative]]</f>
        <v>13610.717647058826</v>
      </c>
    </row>
    <row r="22" spans="1:13" x14ac:dyDescent="0.35">
      <c r="A22" s="6">
        <v>11</v>
      </c>
      <c r="B22" s="11" t="s">
        <v>25</v>
      </c>
      <c r="C22" s="22">
        <v>123.57</v>
      </c>
      <c r="D22" s="8" t="s">
        <v>10</v>
      </c>
      <c r="E22" s="9">
        <v>123</v>
      </c>
      <c r="F22" s="9">
        <v>68</v>
      </c>
      <c r="G22" s="9">
        <f t="shared" si="3"/>
        <v>23601.87</v>
      </c>
      <c r="H22" s="22">
        <v>123.57</v>
      </c>
      <c r="I22" s="265">
        <v>0</v>
      </c>
      <c r="J22" s="22">
        <f>+Table1[[#This Row],[Previous Qty]]+Table1[[#This Row],[Current Qty]]</f>
        <v>123.57</v>
      </c>
      <c r="K22" s="9">
        <f>(Table1[[#This Row],[Supply Rate]]+Table1[[#This Row],[Install Rate]])*Table1[[#This Row],[Previous Qty]]</f>
        <v>23601.87</v>
      </c>
      <c r="L22" s="9">
        <f>+Table1[[#This Row],[Current Qty]]*(Table1[[#This Row],[Supply Rate]]+Table1[[#This Row],[Install Rate]])</f>
        <v>0</v>
      </c>
      <c r="M22" s="9">
        <f>(Table1[[#This Row],[Supply Rate]]+Table1[[#This Row],[Install Rate]])*Table1[[#This Row],[Cumulative]]</f>
        <v>23601.87</v>
      </c>
    </row>
    <row r="23" spans="1:13" x14ac:dyDescent="0.35">
      <c r="A23" s="6">
        <v>12</v>
      </c>
      <c r="B23" s="11" t="s">
        <v>26</v>
      </c>
      <c r="C23" s="22">
        <v>46.63</v>
      </c>
      <c r="D23" s="8" t="s">
        <v>10</v>
      </c>
      <c r="E23" s="9">
        <v>929</v>
      </c>
      <c r="F23" s="9">
        <v>143</v>
      </c>
      <c r="G23" s="9">
        <f t="shared" si="3"/>
        <v>49987.360000000001</v>
      </c>
      <c r="H23" s="22">
        <v>46.63</v>
      </c>
      <c r="I23" s="265"/>
      <c r="J23" s="22">
        <f>+Table1[[#This Row],[Previous Qty]]+Table1[[#This Row],[Current Qty]]</f>
        <v>46.63</v>
      </c>
      <c r="K23" s="9">
        <f>(Table1[[#This Row],[Supply Rate]]+Table1[[#This Row],[Install Rate]])*Table1[[#This Row],[Previous Qty]]</f>
        <v>49987.360000000001</v>
      </c>
      <c r="L23" s="9">
        <f>+Table1[[#This Row],[Current Qty]]*(Table1[[#This Row],[Supply Rate]]+Table1[[#This Row],[Install Rate]])</f>
        <v>0</v>
      </c>
      <c r="M23" s="9">
        <f>(Table1[[#This Row],[Supply Rate]]+Table1[[#This Row],[Install Rate]])*Table1[[#This Row],[Cumulative]]</f>
        <v>49987.360000000001</v>
      </c>
    </row>
    <row r="24" spans="1:13" ht="29" x14ac:dyDescent="0.35">
      <c r="A24" s="6">
        <v>13</v>
      </c>
      <c r="B24" s="11" t="s">
        <v>27</v>
      </c>
      <c r="C24" s="22">
        <v>89.02</v>
      </c>
      <c r="D24" s="8" t="s">
        <v>17</v>
      </c>
      <c r="E24" s="9">
        <v>190</v>
      </c>
      <c r="F24" s="9">
        <v>200</v>
      </c>
      <c r="G24" s="9">
        <f t="shared" si="3"/>
        <v>34717.799999999996</v>
      </c>
      <c r="H24" s="22">
        <v>89.02</v>
      </c>
      <c r="I24" s="265">
        <v>0</v>
      </c>
      <c r="J24" s="22">
        <f>+Table1[[#This Row],[Previous Qty]]+Table1[[#This Row],[Current Qty]]</f>
        <v>89.02</v>
      </c>
      <c r="K24" s="9">
        <f>(Table1[[#This Row],[Supply Rate]]+Table1[[#This Row],[Install Rate]])*Table1[[#This Row],[Previous Qty]]</f>
        <v>34717.799999999996</v>
      </c>
      <c r="L24" s="9">
        <f>+Table1[[#This Row],[Current Qty]]*(Table1[[#This Row],[Supply Rate]]+Table1[[#This Row],[Install Rate]])</f>
        <v>0</v>
      </c>
      <c r="M24" s="9">
        <f>(Table1[[#This Row],[Supply Rate]]+Table1[[#This Row],[Install Rate]])*Table1[[#This Row],[Cumulative]]</f>
        <v>34717.799999999996</v>
      </c>
    </row>
    <row r="25" spans="1:13" x14ac:dyDescent="0.35">
      <c r="A25" s="6"/>
      <c r="B25" s="11" t="s">
        <v>28</v>
      </c>
      <c r="C25" s="22"/>
      <c r="D25" s="8"/>
      <c r="E25" s="9"/>
      <c r="F25" s="9"/>
      <c r="G25" s="9"/>
      <c r="H25" s="22">
        <v>0</v>
      </c>
      <c r="I25" s="265"/>
      <c r="J25" s="22">
        <f>+Table1[[#This Row],[Previous Qty]]+Table1[[#This Row],[Current Qty]]</f>
        <v>0</v>
      </c>
      <c r="K25" s="9">
        <f>(Table1[[#This Row],[Supply Rate]]+Table1[[#This Row],[Install Rate]])*Table1[[#This Row],[Previous Qty]]</f>
        <v>0</v>
      </c>
      <c r="L25" s="9">
        <f>+Table1[[#This Row],[Current Qty]]*(Table1[[#This Row],[Supply Rate]]+Table1[[#This Row],[Install Rate]])</f>
        <v>0</v>
      </c>
      <c r="M25" s="9">
        <f>(Table1[[#This Row],[Supply Rate]]+Table1[[#This Row],[Install Rate]])*Table1[[#This Row],[Cumulative]]</f>
        <v>0</v>
      </c>
    </row>
    <row r="26" spans="1:13" x14ac:dyDescent="0.35">
      <c r="A26" s="6">
        <v>14</v>
      </c>
      <c r="B26" s="11" t="s">
        <v>29</v>
      </c>
      <c r="C26" s="22">
        <v>25.14</v>
      </c>
      <c r="D26" s="8" t="s">
        <v>10</v>
      </c>
      <c r="E26" s="9">
        <v>54.22</v>
      </c>
      <c r="F26" s="9">
        <v>38.78</v>
      </c>
      <c r="G26" s="9">
        <f t="shared" ref="G26" si="4">(E26+F26)*C26</f>
        <v>2338.02</v>
      </c>
      <c r="H26" s="22">
        <v>0</v>
      </c>
      <c r="I26" s="265"/>
      <c r="J26" s="22">
        <f>+Table1[[#This Row],[Previous Qty]]+Table1[[#This Row],[Current Qty]]</f>
        <v>0</v>
      </c>
      <c r="K26" s="9">
        <f>(Table1[[#This Row],[Supply Rate]]+Table1[[#This Row],[Install Rate]])*Table1[[#This Row],[Previous Qty]]</f>
        <v>0</v>
      </c>
      <c r="L26" s="9">
        <f>+Table1[[#This Row],[Current Qty]]*(Table1[[#This Row],[Supply Rate]]+Table1[[#This Row],[Install Rate]])</f>
        <v>0</v>
      </c>
      <c r="M26" s="9">
        <f>(Table1[[#This Row],[Supply Rate]]+Table1[[#This Row],[Install Rate]])*Table1[[#This Row],[Cumulative]]</f>
        <v>0</v>
      </c>
    </row>
    <row r="27" spans="1:13" ht="27.4" customHeight="1" x14ac:dyDescent="0.35">
      <c r="A27" s="6"/>
      <c r="B27" s="10" t="s">
        <v>30</v>
      </c>
      <c r="C27" s="22"/>
      <c r="D27" s="8"/>
      <c r="E27" s="9"/>
      <c r="F27" s="9"/>
      <c r="G27" s="9"/>
      <c r="H27" s="22">
        <v>0</v>
      </c>
      <c r="I27" s="265"/>
      <c r="J27" s="22">
        <f>+Table1[[#This Row],[Previous Qty]]+Table1[[#This Row],[Current Qty]]</f>
        <v>0</v>
      </c>
      <c r="K27" s="9">
        <f>(Table1[[#This Row],[Supply Rate]]+Table1[[#This Row],[Install Rate]])*Table1[[#This Row],[Previous Qty]]</f>
        <v>0</v>
      </c>
      <c r="L27" s="9">
        <f>+Table1[[#This Row],[Current Qty]]*(Table1[[#This Row],[Supply Rate]]+Table1[[#This Row],[Install Rate]])</f>
        <v>0</v>
      </c>
      <c r="M27" s="9">
        <f>(Table1[[#This Row],[Supply Rate]]+Table1[[#This Row],[Install Rate]])*Table1[[#This Row],[Cumulative]]</f>
        <v>0</v>
      </c>
    </row>
    <row r="28" spans="1:13" ht="29" x14ac:dyDescent="0.35">
      <c r="A28" s="6">
        <v>15</v>
      </c>
      <c r="B28" s="11" t="s">
        <v>31</v>
      </c>
      <c r="C28" s="22">
        <v>18.670000000000002</v>
      </c>
      <c r="D28" s="8" t="s">
        <v>17</v>
      </c>
      <c r="E28" s="9">
        <v>2223</v>
      </c>
      <c r="F28" s="9">
        <v>874.48527048741289</v>
      </c>
      <c r="G28" s="9">
        <f t="shared" ref="G28:G33" si="5">(E28+F28)*C28</f>
        <v>57830.05</v>
      </c>
      <c r="H28" s="22">
        <v>18.670000000000002</v>
      </c>
      <c r="I28" s="265">
        <v>0</v>
      </c>
      <c r="J28" s="22">
        <f>+Table1[[#This Row],[Previous Qty]]+Table1[[#This Row],[Current Qty]]</f>
        <v>18.670000000000002</v>
      </c>
      <c r="K28" s="9">
        <f>(Table1[[#This Row],[Supply Rate]]+Table1[[#This Row],[Install Rate]])*Table1[[#This Row],[Previous Qty]]</f>
        <v>57830.05</v>
      </c>
      <c r="L28" s="9">
        <f>+Table1[[#This Row],[Current Qty]]*(Table1[[#This Row],[Supply Rate]]+Table1[[#This Row],[Install Rate]])</f>
        <v>0</v>
      </c>
      <c r="M28" s="9">
        <f>(Table1[[#This Row],[Supply Rate]]+Table1[[#This Row],[Install Rate]])*Table1[[#This Row],[Cumulative]]</f>
        <v>57830.05</v>
      </c>
    </row>
    <row r="29" spans="1:13" ht="29" x14ac:dyDescent="0.35">
      <c r="A29" s="6">
        <v>16</v>
      </c>
      <c r="B29" s="11" t="s">
        <v>32</v>
      </c>
      <c r="C29" s="22">
        <v>34.15</v>
      </c>
      <c r="D29" s="8" t="s">
        <v>17</v>
      </c>
      <c r="E29" s="9">
        <v>456</v>
      </c>
      <c r="F29" s="9">
        <v>147</v>
      </c>
      <c r="G29" s="9">
        <f t="shared" si="5"/>
        <v>20592.45</v>
      </c>
      <c r="H29" s="22">
        <v>34.15</v>
      </c>
      <c r="I29" s="265">
        <v>0</v>
      </c>
      <c r="J29" s="22">
        <f>+Table1[[#This Row],[Previous Qty]]+Table1[[#This Row],[Current Qty]]</f>
        <v>34.15</v>
      </c>
      <c r="K29" s="9">
        <f>(Table1[[#This Row],[Supply Rate]]+Table1[[#This Row],[Install Rate]])*Table1[[#This Row],[Previous Qty]]</f>
        <v>20592.45</v>
      </c>
      <c r="L29" s="9">
        <f>+Table1[[#This Row],[Current Qty]]*(Table1[[#This Row],[Supply Rate]]+Table1[[#This Row],[Install Rate]])</f>
        <v>0</v>
      </c>
      <c r="M29" s="9">
        <f>(Table1[[#This Row],[Supply Rate]]+Table1[[#This Row],[Install Rate]])*Table1[[#This Row],[Cumulative]]</f>
        <v>20592.45</v>
      </c>
    </row>
    <row r="30" spans="1:13" ht="29" x14ac:dyDescent="0.35">
      <c r="A30" s="6">
        <v>17</v>
      </c>
      <c r="B30" s="11" t="s">
        <v>33</v>
      </c>
      <c r="C30" s="22">
        <v>8.8218000000000014</v>
      </c>
      <c r="D30" s="8" t="s">
        <v>35</v>
      </c>
      <c r="E30" s="9">
        <v>456</v>
      </c>
      <c r="F30" s="9">
        <v>189</v>
      </c>
      <c r="G30" s="9">
        <f t="shared" si="5"/>
        <v>5690.0610000000006</v>
      </c>
      <c r="H30" s="22">
        <v>8.82</v>
      </c>
      <c r="I30" s="265">
        <v>0</v>
      </c>
      <c r="J30" s="22">
        <f>+Table1[[#This Row],[Previous Qty]]+Table1[[#This Row],[Current Qty]]</f>
        <v>8.82</v>
      </c>
      <c r="K30" s="9">
        <f>(Table1[[#This Row],[Supply Rate]]+Table1[[#This Row],[Install Rate]])*Table1[[#This Row],[Previous Qty]]</f>
        <v>5688.9000000000005</v>
      </c>
      <c r="L30" s="9">
        <f>+Table1[[#This Row],[Current Qty]]*(Table1[[#This Row],[Supply Rate]]+Table1[[#This Row],[Install Rate]])</f>
        <v>0</v>
      </c>
      <c r="M30" s="9">
        <f>(Table1[[#This Row],[Supply Rate]]+Table1[[#This Row],[Install Rate]])*Table1[[#This Row],[Cumulative]]</f>
        <v>5688.9000000000005</v>
      </c>
    </row>
    <row r="31" spans="1:13" ht="29" x14ac:dyDescent="0.35">
      <c r="A31" s="6">
        <v>18</v>
      </c>
      <c r="B31" s="11" t="s">
        <v>34</v>
      </c>
      <c r="C31" s="22">
        <v>24.58</v>
      </c>
      <c r="D31" s="8" t="s">
        <v>36</v>
      </c>
      <c r="E31" s="9">
        <v>123</v>
      </c>
      <c r="F31" s="9">
        <v>107</v>
      </c>
      <c r="G31" s="9">
        <f t="shared" si="5"/>
        <v>5653.4</v>
      </c>
      <c r="H31" s="22">
        <v>7.37</v>
      </c>
      <c r="I31" s="265">
        <v>0</v>
      </c>
      <c r="J31" s="22">
        <f>+Table1[[#This Row],[Previous Qty]]+Table1[[#This Row],[Current Qty]]</f>
        <v>7.37</v>
      </c>
      <c r="K31" s="9">
        <f>(Table1[[#This Row],[Supply Rate]]+Table1[[#This Row],[Install Rate]])*Table1[[#This Row],[Previous Qty]]</f>
        <v>1695.1000000000001</v>
      </c>
      <c r="L31" s="9">
        <f>+Table1[[#This Row],[Current Qty]]*(Table1[[#This Row],[Supply Rate]]+Table1[[#This Row],[Install Rate]])</f>
        <v>0</v>
      </c>
      <c r="M31" s="9">
        <f>(Table1[[#This Row],[Supply Rate]]+Table1[[#This Row],[Install Rate]])*Table1[[#This Row],[Cumulative]]</f>
        <v>1695.1000000000001</v>
      </c>
    </row>
    <row r="32" spans="1:13" ht="43.5" x14ac:dyDescent="0.35">
      <c r="A32" s="6">
        <v>19</v>
      </c>
      <c r="B32" s="11" t="s">
        <v>171</v>
      </c>
      <c r="C32" s="22">
        <v>52.538999999999994</v>
      </c>
      <c r="D32" s="8" t="s">
        <v>35</v>
      </c>
      <c r="E32" s="9"/>
      <c r="F32" s="9">
        <v>169</v>
      </c>
      <c r="G32" s="9">
        <f t="shared" si="5"/>
        <v>8879.0909999999985</v>
      </c>
      <c r="H32" s="22">
        <v>52.54</v>
      </c>
      <c r="I32" s="265">
        <v>0</v>
      </c>
      <c r="J32" s="22">
        <f>+Table1[[#This Row],[Previous Qty]]+Table1[[#This Row],[Current Qty]]</f>
        <v>52.54</v>
      </c>
      <c r="K32" s="9">
        <f>(Table1[[#This Row],[Supply Rate]]+Table1[[#This Row],[Install Rate]])*Table1[[#This Row],[Previous Qty]]</f>
        <v>8879.26</v>
      </c>
      <c r="L32" s="9">
        <f>+Table1[[#This Row],[Current Qty]]*(Table1[[#This Row],[Supply Rate]]+Table1[[#This Row],[Install Rate]])</f>
        <v>0</v>
      </c>
      <c r="M32" s="9">
        <f>(Table1[[#This Row],[Supply Rate]]+Table1[[#This Row],[Install Rate]])*Table1[[#This Row],[Cumulative]]</f>
        <v>8879.26</v>
      </c>
    </row>
    <row r="33" spans="1:13" x14ac:dyDescent="0.35">
      <c r="A33" s="6">
        <v>20</v>
      </c>
      <c r="B33" s="11" t="s">
        <v>37</v>
      </c>
      <c r="C33" s="22">
        <v>34.15</v>
      </c>
      <c r="D33" s="8" t="s">
        <v>17</v>
      </c>
      <c r="E33" s="9">
        <v>155</v>
      </c>
      <c r="F33" s="9"/>
      <c r="G33" s="9">
        <f t="shared" si="5"/>
        <v>5293.25</v>
      </c>
      <c r="H33" s="22">
        <v>34.15</v>
      </c>
      <c r="I33" s="265">
        <v>0</v>
      </c>
      <c r="J33" s="22">
        <f>+Table1[[#This Row],[Previous Qty]]+Table1[[#This Row],[Current Qty]]</f>
        <v>34.15</v>
      </c>
      <c r="K33" s="9">
        <f>(Table1[[#This Row],[Supply Rate]]+Table1[[#This Row],[Install Rate]])*Table1[[#This Row],[Previous Qty]]</f>
        <v>5293.25</v>
      </c>
      <c r="L33" s="9">
        <f>+Table1[[#This Row],[Current Qty]]*(Table1[[#This Row],[Supply Rate]]+Table1[[#This Row],[Install Rate]])</f>
        <v>0</v>
      </c>
      <c r="M33" s="9">
        <f>(Table1[[#This Row],[Supply Rate]]+Table1[[#This Row],[Install Rate]])*Table1[[#This Row],[Cumulative]]</f>
        <v>5293.25</v>
      </c>
    </row>
    <row r="34" spans="1:13" ht="15" thickBot="1" x14ac:dyDescent="0.4">
      <c r="A34" s="54"/>
      <c r="B34" s="55"/>
      <c r="C34" s="56"/>
      <c r="D34" s="57"/>
      <c r="E34" s="58"/>
      <c r="F34" s="58"/>
      <c r="G34" s="58"/>
      <c r="H34" s="56">
        <v>0</v>
      </c>
      <c r="I34" s="268"/>
      <c r="J34" s="56">
        <f>+Table1[[#This Row],[Previous Qty]]+Table1[[#This Row],[Current Qty]]</f>
        <v>0</v>
      </c>
      <c r="K34" s="58">
        <f>(Table1[[#This Row],[Supply Rate]]+Table1[[#This Row],[Install Rate]])*Table1[[#This Row],[Previous Qty]]</f>
        <v>0</v>
      </c>
      <c r="L34" s="58">
        <f>+Table1[[#This Row],[Current Qty]]*(Table1[[#This Row],[Supply Rate]]+Table1[[#This Row],[Install Rate]])</f>
        <v>0</v>
      </c>
      <c r="M34" s="58">
        <f>(Table1[[#This Row],[Supply Rate]]+Table1[[#This Row],[Install Rate]])*Table1[[#This Row],[Cumulative]]</f>
        <v>0</v>
      </c>
    </row>
    <row r="35" spans="1:13" x14ac:dyDescent="0.35">
      <c r="A35" s="44"/>
      <c r="B35" s="59" t="s">
        <v>38</v>
      </c>
      <c r="C35" s="46"/>
      <c r="D35" s="47"/>
      <c r="E35" s="48"/>
      <c r="F35" s="48"/>
      <c r="G35" s="48"/>
      <c r="H35" s="46">
        <v>0</v>
      </c>
      <c r="I35" s="269"/>
      <c r="J35" s="46">
        <f>+Table1[[#This Row],[Previous Qty]]+Table1[[#This Row],[Current Qty]]</f>
        <v>0</v>
      </c>
      <c r="K35" s="48">
        <f>(Table1[[#This Row],[Supply Rate]]+Table1[[#This Row],[Install Rate]])*Table1[[#This Row],[Previous Qty]]</f>
        <v>0</v>
      </c>
      <c r="L35" s="48">
        <f>+Table1[[#This Row],[Current Qty]]*(Table1[[#This Row],[Supply Rate]]+Table1[[#This Row],[Install Rate]])</f>
        <v>0</v>
      </c>
      <c r="M35" s="48">
        <f>(Table1[[#This Row],[Supply Rate]]+Table1[[#This Row],[Install Rate]])*Table1[[#This Row],[Cumulative]]</f>
        <v>0</v>
      </c>
    </row>
    <row r="36" spans="1:13" x14ac:dyDescent="0.35">
      <c r="A36" s="6"/>
      <c r="B36" s="10" t="s">
        <v>39</v>
      </c>
      <c r="C36" s="22"/>
      <c r="D36" s="8"/>
      <c r="E36" s="9"/>
      <c r="F36" s="9"/>
      <c r="G36" s="9"/>
      <c r="H36" s="22">
        <v>0</v>
      </c>
      <c r="I36" s="265"/>
      <c r="J36" s="22">
        <f>+Table1[[#This Row],[Previous Qty]]+Table1[[#This Row],[Current Qty]]</f>
        <v>0</v>
      </c>
      <c r="K36" s="9">
        <f>(Table1[[#This Row],[Supply Rate]]+Table1[[#This Row],[Install Rate]])*Table1[[#This Row],[Previous Qty]]</f>
        <v>0</v>
      </c>
      <c r="L36" s="9">
        <f>+Table1[[#This Row],[Current Qty]]*(Table1[[#This Row],[Supply Rate]]+Table1[[#This Row],[Install Rate]])</f>
        <v>0</v>
      </c>
      <c r="M36" s="9">
        <f>(Table1[[#This Row],[Supply Rate]]+Table1[[#This Row],[Install Rate]])*Table1[[#This Row],[Cumulative]]</f>
        <v>0</v>
      </c>
    </row>
    <row r="37" spans="1:13" x14ac:dyDescent="0.35">
      <c r="A37" s="6"/>
      <c r="B37" s="11" t="s">
        <v>11</v>
      </c>
      <c r="C37" s="22"/>
      <c r="D37" s="8"/>
      <c r="E37" s="9"/>
      <c r="F37" s="9"/>
      <c r="G37" s="9"/>
      <c r="H37" s="22">
        <v>0</v>
      </c>
      <c r="I37" s="265"/>
      <c r="J37" s="22">
        <f>+Table1[[#This Row],[Previous Qty]]+Table1[[#This Row],[Current Qty]]</f>
        <v>0</v>
      </c>
      <c r="K37" s="9">
        <f>(Table1[[#This Row],[Supply Rate]]+Table1[[#This Row],[Install Rate]])*Table1[[#This Row],[Previous Qty]]</f>
        <v>0</v>
      </c>
      <c r="L37" s="9">
        <f>+Table1[[#This Row],[Current Qty]]*(Table1[[#This Row],[Supply Rate]]+Table1[[#This Row],[Install Rate]])</f>
        <v>0</v>
      </c>
      <c r="M37" s="9">
        <f>(Table1[[#This Row],[Supply Rate]]+Table1[[#This Row],[Install Rate]])*Table1[[#This Row],[Cumulative]]</f>
        <v>0</v>
      </c>
    </row>
    <row r="38" spans="1:13" ht="29" x14ac:dyDescent="0.35">
      <c r="A38" s="6">
        <v>21</v>
      </c>
      <c r="B38" s="11" t="s">
        <v>40</v>
      </c>
      <c r="C38" s="22">
        <v>52.67</v>
      </c>
      <c r="D38" s="8" t="s">
        <v>17</v>
      </c>
      <c r="E38" s="9">
        <v>144.83823529411765</v>
      </c>
      <c r="F38" s="9">
        <v>24.705882352941178</v>
      </c>
      <c r="G38" s="9">
        <f t="shared" ref="G38" si="6">(E38+F38)*C38</f>
        <v>8929.8886764705894</v>
      </c>
      <c r="H38" s="22">
        <v>0</v>
      </c>
      <c r="I38" s="265"/>
      <c r="J38" s="22">
        <f>+Table1[[#This Row],[Previous Qty]]+Table1[[#This Row],[Current Qty]]</f>
        <v>0</v>
      </c>
      <c r="K38" s="9">
        <f>(Table1[[#This Row],[Supply Rate]]+Table1[[#This Row],[Install Rate]])*Table1[[#This Row],[Previous Qty]]</f>
        <v>0</v>
      </c>
      <c r="L38" s="9">
        <f>+Table1[[#This Row],[Current Qty]]*(Table1[[#This Row],[Supply Rate]]+Table1[[#This Row],[Install Rate]])</f>
        <v>0</v>
      </c>
      <c r="M38" s="9">
        <f>(Table1[[#This Row],[Supply Rate]]+Table1[[#This Row],[Install Rate]])*Table1[[#This Row],[Cumulative]]</f>
        <v>0</v>
      </c>
    </row>
    <row r="39" spans="1:13" x14ac:dyDescent="0.35">
      <c r="A39" s="6"/>
      <c r="B39" s="11" t="s">
        <v>41</v>
      </c>
      <c r="C39" s="22"/>
      <c r="D39" s="8"/>
      <c r="E39" s="9"/>
      <c r="F39" s="9"/>
      <c r="G39" s="9"/>
      <c r="H39" s="22">
        <v>0</v>
      </c>
      <c r="I39" s="265"/>
      <c r="J39" s="22">
        <f>+Table1[[#This Row],[Previous Qty]]+Table1[[#This Row],[Current Qty]]</f>
        <v>0</v>
      </c>
      <c r="K39" s="9">
        <f>(Table1[[#This Row],[Supply Rate]]+Table1[[#This Row],[Install Rate]])*Table1[[#This Row],[Previous Qty]]</f>
        <v>0</v>
      </c>
      <c r="L39" s="9">
        <f>+Table1[[#This Row],[Current Qty]]*(Table1[[#This Row],[Supply Rate]]+Table1[[#This Row],[Install Rate]])</f>
        <v>0</v>
      </c>
      <c r="M39" s="9">
        <f>(Table1[[#This Row],[Supply Rate]]+Table1[[#This Row],[Install Rate]])*Table1[[#This Row],[Cumulative]]</f>
        <v>0</v>
      </c>
    </row>
    <row r="40" spans="1:13" ht="29" x14ac:dyDescent="0.35">
      <c r="A40" s="6">
        <v>22</v>
      </c>
      <c r="B40" s="11" t="s">
        <v>42</v>
      </c>
      <c r="C40" s="22">
        <v>16.86</v>
      </c>
      <c r="D40" s="8" t="s">
        <v>17</v>
      </c>
      <c r="E40" s="9">
        <v>144.83823529411765</v>
      </c>
      <c r="F40" s="9">
        <v>24.705882352941178</v>
      </c>
      <c r="G40" s="9">
        <f t="shared" ref="G40" si="7">(E40+F40)*C40</f>
        <v>2858.5138235294121</v>
      </c>
      <c r="H40" s="22">
        <v>0</v>
      </c>
      <c r="I40" s="265"/>
      <c r="J40" s="22">
        <f>+Table1[[#This Row],[Previous Qty]]+Table1[[#This Row],[Current Qty]]</f>
        <v>0</v>
      </c>
      <c r="K40" s="9">
        <f>(Table1[[#This Row],[Supply Rate]]+Table1[[#This Row],[Install Rate]])*Table1[[#This Row],[Previous Qty]]</f>
        <v>0</v>
      </c>
      <c r="L40" s="9">
        <f>+Table1[[#This Row],[Current Qty]]*(Table1[[#This Row],[Supply Rate]]+Table1[[#This Row],[Install Rate]])</f>
        <v>0</v>
      </c>
      <c r="M40" s="9">
        <f>(Table1[[#This Row],[Supply Rate]]+Table1[[#This Row],[Install Rate]])*Table1[[#This Row],[Cumulative]]</f>
        <v>0</v>
      </c>
    </row>
    <row r="41" spans="1:13" x14ac:dyDescent="0.35">
      <c r="A41" s="6"/>
      <c r="B41" s="10" t="s">
        <v>43</v>
      </c>
      <c r="C41" s="22"/>
      <c r="D41" s="8"/>
      <c r="E41" s="9"/>
      <c r="F41" s="9"/>
      <c r="G41" s="9"/>
      <c r="H41" s="22">
        <v>0</v>
      </c>
      <c r="I41" s="265"/>
      <c r="J41" s="22">
        <f>+Table1[[#This Row],[Previous Qty]]+Table1[[#This Row],[Current Qty]]</f>
        <v>0</v>
      </c>
      <c r="K41" s="9">
        <f>(Table1[[#This Row],[Supply Rate]]+Table1[[#This Row],[Install Rate]])*Table1[[#This Row],[Previous Qty]]</f>
        <v>0</v>
      </c>
      <c r="L41" s="9">
        <f>+Table1[[#This Row],[Current Qty]]*(Table1[[#This Row],[Supply Rate]]+Table1[[#This Row],[Install Rate]])</f>
        <v>0</v>
      </c>
      <c r="M41" s="9">
        <f>(Table1[[#This Row],[Supply Rate]]+Table1[[#This Row],[Install Rate]])*Table1[[#This Row],[Cumulative]]</f>
        <v>0</v>
      </c>
    </row>
    <row r="42" spans="1:13" x14ac:dyDescent="0.35">
      <c r="A42" s="6"/>
      <c r="B42" s="11" t="s">
        <v>44</v>
      </c>
      <c r="C42" s="22"/>
      <c r="D42" s="8"/>
      <c r="E42" s="9"/>
      <c r="F42" s="9"/>
      <c r="G42" s="9"/>
      <c r="H42" s="22">
        <v>0</v>
      </c>
      <c r="I42" s="265"/>
      <c r="J42" s="22">
        <f>+Table1[[#This Row],[Previous Qty]]+Table1[[#This Row],[Current Qty]]</f>
        <v>0</v>
      </c>
      <c r="K42" s="9">
        <f>(Table1[[#This Row],[Supply Rate]]+Table1[[#This Row],[Install Rate]])*Table1[[#This Row],[Previous Qty]]</f>
        <v>0</v>
      </c>
      <c r="L42" s="9">
        <f>+Table1[[#This Row],[Current Qty]]*(Table1[[#This Row],[Supply Rate]]+Table1[[#This Row],[Install Rate]])</f>
        <v>0</v>
      </c>
      <c r="M42" s="9">
        <f>(Table1[[#This Row],[Supply Rate]]+Table1[[#This Row],[Install Rate]])*Table1[[#This Row],[Cumulative]]</f>
        <v>0</v>
      </c>
    </row>
    <row r="43" spans="1:13" x14ac:dyDescent="0.35">
      <c r="A43" s="6">
        <v>23</v>
      </c>
      <c r="B43" s="11" t="s">
        <v>45</v>
      </c>
      <c r="C43" s="22">
        <v>4.74</v>
      </c>
      <c r="D43" s="8" t="s">
        <v>17</v>
      </c>
      <c r="E43" s="9">
        <v>221</v>
      </c>
      <c r="F43" s="9">
        <v>182</v>
      </c>
      <c r="G43" s="9">
        <f t="shared" ref="G43:G44" si="8">(E43+F43)*C43</f>
        <v>1910.22</v>
      </c>
      <c r="H43" s="22">
        <v>0</v>
      </c>
      <c r="I43" s="265"/>
      <c r="J43" s="22">
        <f>+Table1[[#This Row],[Previous Qty]]+Table1[[#This Row],[Current Qty]]</f>
        <v>0</v>
      </c>
      <c r="K43" s="9">
        <f>(Table1[[#This Row],[Supply Rate]]+Table1[[#This Row],[Install Rate]])*Table1[[#This Row],[Previous Qty]]</f>
        <v>0</v>
      </c>
      <c r="L43" s="9">
        <f>+Table1[[#This Row],[Current Qty]]*(Table1[[#This Row],[Supply Rate]]+Table1[[#This Row],[Install Rate]])</f>
        <v>0</v>
      </c>
      <c r="M43" s="9">
        <f>(Table1[[#This Row],[Supply Rate]]+Table1[[#This Row],[Install Rate]])*Table1[[#This Row],[Cumulative]]</f>
        <v>0</v>
      </c>
    </row>
    <row r="44" spans="1:13" ht="29" x14ac:dyDescent="0.35">
      <c r="A44" s="6">
        <v>24</v>
      </c>
      <c r="B44" s="11" t="s">
        <v>46</v>
      </c>
      <c r="C44" s="22">
        <v>2.9279999999999999</v>
      </c>
      <c r="D44" s="8" t="s">
        <v>17</v>
      </c>
      <c r="E44" s="9">
        <v>268</v>
      </c>
      <c r="F44" s="9">
        <v>198</v>
      </c>
      <c r="G44" s="9">
        <f t="shared" si="8"/>
        <v>1364.4479999999999</v>
      </c>
      <c r="H44" s="22">
        <v>0</v>
      </c>
      <c r="I44" s="265"/>
      <c r="J44" s="22">
        <f>+Table1[[#This Row],[Previous Qty]]+Table1[[#This Row],[Current Qty]]</f>
        <v>0</v>
      </c>
      <c r="K44" s="9">
        <f>(Table1[[#This Row],[Supply Rate]]+Table1[[#This Row],[Install Rate]])*Table1[[#This Row],[Previous Qty]]</f>
        <v>0</v>
      </c>
      <c r="L44" s="9">
        <f>+Table1[[#This Row],[Current Qty]]*(Table1[[#This Row],[Supply Rate]]+Table1[[#This Row],[Install Rate]])</f>
        <v>0</v>
      </c>
      <c r="M44" s="9">
        <f>(Table1[[#This Row],[Supply Rate]]+Table1[[#This Row],[Install Rate]])*Table1[[#This Row],[Cumulative]]</f>
        <v>0</v>
      </c>
    </row>
    <row r="45" spans="1:13" x14ac:dyDescent="0.35">
      <c r="A45" s="6"/>
      <c r="B45" s="11" t="s">
        <v>47</v>
      </c>
      <c r="C45" s="22"/>
      <c r="D45" s="8"/>
      <c r="E45" s="9"/>
      <c r="F45" s="9"/>
      <c r="G45" s="9"/>
      <c r="H45" s="22">
        <v>0</v>
      </c>
      <c r="I45" s="265"/>
      <c r="J45" s="22">
        <f>+Table1[[#This Row],[Previous Qty]]+Table1[[#This Row],[Current Qty]]</f>
        <v>0</v>
      </c>
      <c r="K45" s="9">
        <f>(Table1[[#This Row],[Supply Rate]]+Table1[[#This Row],[Install Rate]])*Table1[[#This Row],[Previous Qty]]</f>
        <v>0</v>
      </c>
      <c r="L45" s="9">
        <f>+Table1[[#This Row],[Current Qty]]*(Table1[[#This Row],[Supply Rate]]+Table1[[#This Row],[Install Rate]])</f>
        <v>0</v>
      </c>
      <c r="M45" s="9">
        <f>(Table1[[#This Row],[Supply Rate]]+Table1[[#This Row],[Install Rate]])*Table1[[#This Row],[Cumulative]]</f>
        <v>0</v>
      </c>
    </row>
    <row r="46" spans="1:13" x14ac:dyDescent="0.35">
      <c r="A46" s="6">
        <v>25</v>
      </c>
      <c r="B46" s="11" t="s">
        <v>48</v>
      </c>
      <c r="C46" s="22">
        <v>3.7583999999999995</v>
      </c>
      <c r="D46" s="8" t="s">
        <v>17</v>
      </c>
      <c r="E46" s="9">
        <v>221</v>
      </c>
      <c r="F46" s="9">
        <v>182</v>
      </c>
      <c r="G46" s="9">
        <f t="shared" ref="G46:G47" si="9">(E46+F46)*C46</f>
        <v>1514.6351999999997</v>
      </c>
      <c r="H46" s="22">
        <v>0</v>
      </c>
      <c r="I46" s="265"/>
      <c r="J46" s="22">
        <f>+Table1[[#This Row],[Previous Qty]]+Table1[[#This Row],[Current Qty]]</f>
        <v>0</v>
      </c>
      <c r="K46" s="9">
        <f>(Table1[[#This Row],[Supply Rate]]+Table1[[#This Row],[Install Rate]])*Table1[[#This Row],[Previous Qty]]</f>
        <v>0</v>
      </c>
      <c r="L46" s="9">
        <f>+Table1[[#This Row],[Current Qty]]*(Table1[[#This Row],[Supply Rate]]+Table1[[#This Row],[Install Rate]])</f>
        <v>0</v>
      </c>
      <c r="M46" s="9">
        <f>(Table1[[#This Row],[Supply Rate]]+Table1[[#This Row],[Install Rate]])*Table1[[#This Row],[Cumulative]]</f>
        <v>0</v>
      </c>
    </row>
    <row r="47" spans="1:13" ht="29" x14ac:dyDescent="0.35">
      <c r="A47" s="6">
        <v>26</v>
      </c>
      <c r="B47" s="11" t="s">
        <v>49</v>
      </c>
      <c r="C47" s="22">
        <v>7.9343999999999992</v>
      </c>
      <c r="D47" s="8" t="s">
        <v>17</v>
      </c>
      <c r="E47" s="9">
        <v>268</v>
      </c>
      <c r="F47" s="9">
        <v>198</v>
      </c>
      <c r="G47" s="9">
        <f t="shared" si="9"/>
        <v>3697.4303999999997</v>
      </c>
      <c r="H47" s="22">
        <v>0</v>
      </c>
      <c r="I47" s="265"/>
      <c r="J47" s="22">
        <f>+Table1[[#This Row],[Previous Qty]]+Table1[[#This Row],[Current Qty]]</f>
        <v>0</v>
      </c>
      <c r="K47" s="9">
        <f>(Table1[[#This Row],[Supply Rate]]+Table1[[#This Row],[Install Rate]])*Table1[[#This Row],[Previous Qty]]</f>
        <v>0</v>
      </c>
      <c r="L47" s="9">
        <f>+Table1[[#This Row],[Current Qty]]*(Table1[[#This Row],[Supply Rate]]+Table1[[#This Row],[Install Rate]])</f>
        <v>0</v>
      </c>
      <c r="M47" s="9">
        <f>(Table1[[#This Row],[Supply Rate]]+Table1[[#This Row],[Install Rate]])*Table1[[#This Row],[Cumulative]]</f>
        <v>0</v>
      </c>
    </row>
    <row r="48" spans="1:13" x14ac:dyDescent="0.35">
      <c r="A48" s="6"/>
      <c r="B48" s="11" t="s">
        <v>50</v>
      </c>
      <c r="C48" s="22"/>
      <c r="D48" s="8"/>
      <c r="E48" s="9"/>
      <c r="F48" s="9"/>
      <c r="G48" s="9"/>
      <c r="H48" s="22">
        <v>0</v>
      </c>
      <c r="I48" s="265"/>
      <c r="J48" s="22">
        <f>+Table1[[#This Row],[Previous Qty]]+Table1[[#This Row],[Current Qty]]</f>
        <v>0</v>
      </c>
      <c r="K48" s="9">
        <f>(Table1[[#This Row],[Supply Rate]]+Table1[[#This Row],[Install Rate]])*Table1[[#This Row],[Previous Qty]]</f>
        <v>0</v>
      </c>
      <c r="L48" s="9">
        <f>+Table1[[#This Row],[Current Qty]]*(Table1[[#This Row],[Supply Rate]]+Table1[[#This Row],[Install Rate]])</f>
        <v>0</v>
      </c>
      <c r="M48" s="9">
        <f>(Table1[[#This Row],[Supply Rate]]+Table1[[#This Row],[Install Rate]])*Table1[[#This Row],[Cumulative]]</f>
        <v>0</v>
      </c>
    </row>
    <row r="49" spans="1:13" x14ac:dyDescent="0.35">
      <c r="A49" s="6">
        <v>27</v>
      </c>
      <c r="B49" s="11" t="s">
        <v>51</v>
      </c>
      <c r="C49" s="22">
        <v>8.650599999999999</v>
      </c>
      <c r="D49" s="8" t="s">
        <v>17</v>
      </c>
      <c r="E49" s="9">
        <v>221</v>
      </c>
      <c r="F49" s="9">
        <v>182</v>
      </c>
      <c r="G49" s="9">
        <f t="shared" ref="G49" si="10">(E49+F49)*C49</f>
        <v>3486.1917999999996</v>
      </c>
      <c r="H49" s="22">
        <v>0</v>
      </c>
      <c r="I49" s="265"/>
      <c r="J49" s="22">
        <f>+Table1[[#This Row],[Previous Qty]]+Table1[[#This Row],[Current Qty]]</f>
        <v>0</v>
      </c>
      <c r="K49" s="9">
        <f>(Table1[[#This Row],[Supply Rate]]+Table1[[#This Row],[Install Rate]])*Table1[[#This Row],[Previous Qty]]</f>
        <v>0</v>
      </c>
      <c r="L49" s="9">
        <f>+Table1[[#This Row],[Current Qty]]*(Table1[[#This Row],[Supply Rate]]+Table1[[#This Row],[Install Rate]])</f>
        <v>0</v>
      </c>
      <c r="M49" s="9">
        <f>(Table1[[#This Row],[Supply Rate]]+Table1[[#This Row],[Install Rate]])*Table1[[#This Row],[Cumulative]]</f>
        <v>0</v>
      </c>
    </row>
    <row r="50" spans="1:13" x14ac:dyDescent="0.35">
      <c r="A50" s="6"/>
      <c r="B50" s="11" t="s">
        <v>52</v>
      </c>
      <c r="C50" s="22"/>
      <c r="D50" s="8"/>
      <c r="E50" s="9"/>
      <c r="F50" s="9"/>
      <c r="G50" s="9"/>
      <c r="H50" s="22">
        <v>0</v>
      </c>
      <c r="I50" s="265"/>
      <c r="J50" s="22">
        <f>+Table1[[#This Row],[Previous Qty]]+Table1[[#This Row],[Current Qty]]</f>
        <v>0</v>
      </c>
      <c r="K50" s="9">
        <f>(Table1[[#This Row],[Supply Rate]]+Table1[[#This Row],[Install Rate]])*Table1[[#This Row],[Previous Qty]]</f>
        <v>0</v>
      </c>
      <c r="L50" s="9">
        <f>+Table1[[#This Row],[Current Qty]]*(Table1[[#This Row],[Supply Rate]]+Table1[[#This Row],[Install Rate]])</f>
        <v>0</v>
      </c>
      <c r="M50" s="9">
        <f>(Table1[[#This Row],[Supply Rate]]+Table1[[#This Row],[Install Rate]])*Table1[[#This Row],[Cumulative]]</f>
        <v>0</v>
      </c>
    </row>
    <row r="51" spans="1:13" ht="29" x14ac:dyDescent="0.35">
      <c r="A51" s="6">
        <v>28</v>
      </c>
      <c r="B51" s="11" t="s">
        <v>53</v>
      </c>
      <c r="C51" s="22">
        <v>14.31</v>
      </c>
      <c r="D51" s="8" t="s">
        <v>10</v>
      </c>
      <c r="E51" s="9">
        <v>66</v>
      </c>
      <c r="F51" s="9">
        <v>48</v>
      </c>
      <c r="G51" s="9">
        <f t="shared" ref="G51" si="11">(E51+F51)*C51</f>
        <v>1631.3400000000001</v>
      </c>
      <c r="H51" s="22">
        <v>0</v>
      </c>
      <c r="I51" s="265"/>
      <c r="J51" s="22">
        <f>+Table1[[#This Row],[Previous Qty]]+Table1[[#This Row],[Current Qty]]</f>
        <v>0</v>
      </c>
      <c r="K51" s="9">
        <f>(Table1[[#This Row],[Supply Rate]]+Table1[[#This Row],[Install Rate]])*Table1[[#This Row],[Previous Qty]]</f>
        <v>0</v>
      </c>
      <c r="L51" s="9">
        <f>+Table1[[#This Row],[Current Qty]]*(Table1[[#This Row],[Supply Rate]]+Table1[[#This Row],[Install Rate]])</f>
        <v>0</v>
      </c>
      <c r="M51" s="9">
        <f>(Table1[[#This Row],[Supply Rate]]+Table1[[#This Row],[Install Rate]])*Table1[[#This Row],[Cumulative]]</f>
        <v>0</v>
      </c>
    </row>
    <row r="52" spans="1:13" x14ac:dyDescent="0.35">
      <c r="A52" s="6"/>
      <c r="B52" s="10" t="s">
        <v>54</v>
      </c>
      <c r="C52" s="22"/>
      <c r="D52" s="8"/>
      <c r="E52" s="9"/>
      <c r="F52" s="9"/>
      <c r="G52" s="9"/>
      <c r="H52" s="22">
        <v>0</v>
      </c>
      <c r="I52" s="265"/>
      <c r="J52" s="22">
        <f>+Table1[[#This Row],[Previous Qty]]+Table1[[#This Row],[Current Qty]]</f>
        <v>0</v>
      </c>
      <c r="K52" s="9">
        <f>(Table1[[#This Row],[Supply Rate]]+Table1[[#This Row],[Install Rate]])*Table1[[#This Row],[Previous Qty]]</f>
        <v>0</v>
      </c>
      <c r="L52" s="9">
        <f>+Table1[[#This Row],[Current Qty]]*(Table1[[#This Row],[Supply Rate]]+Table1[[#This Row],[Install Rate]])</f>
        <v>0</v>
      </c>
      <c r="M52" s="9">
        <f>(Table1[[#This Row],[Supply Rate]]+Table1[[#This Row],[Install Rate]])*Table1[[#This Row],[Cumulative]]</f>
        <v>0</v>
      </c>
    </row>
    <row r="53" spans="1:13" ht="29" x14ac:dyDescent="0.35">
      <c r="A53" s="6">
        <v>29</v>
      </c>
      <c r="B53" s="11" t="s">
        <v>55</v>
      </c>
      <c r="C53" s="22">
        <v>71</v>
      </c>
      <c r="D53" s="8" t="s">
        <v>10</v>
      </c>
      <c r="E53" s="9">
        <v>103</v>
      </c>
      <c r="F53" s="9">
        <v>62</v>
      </c>
      <c r="G53" s="9">
        <f t="shared" ref="G53:G60" si="12">(E53+F53)*C53</f>
        <v>11715</v>
      </c>
      <c r="H53" s="22">
        <v>71</v>
      </c>
      <c r="I53" s="265">
        <v>0</v>
      </c>
      <c r="J53" s="22">
        <f>+Table1[[#This Row],[Previous Qty]]+Table1[[#This Row],[Current Qty]]</f>
        <v>71</v>
      </c>
      <c r="K53" s="9">
        <f>(Table1[[#This Row],[Supply Rate]]+Table1[[#This Row],[Install Rate]])*Table1[[#This Row],[Previous Qty]]</f>
        <v>11715</v>
      </c>
      <c r="L53" s="9">
        <f>+Table1[[#This Row],[Current Qty]]*(Table1[[#This Row],[Supply Rate]]+Table1[[#This Row],[Install Rate]])</f>
        <v>0</v>
      </c>
      <c r="M53" s="9">
        <f>(Table1[[#This Row],[Supply Rate]]+Table1[[#This Row],[Install Rate]])*Table1[[#This Row],[Cumulative]]</f>
        <v>11715</v>
      </c>
    </row>
    <row r="54" spans="1:13" x14ac:dyDescent="0.35">
      <c r="A54" s="6">
        <v>30</v>
      </c>
      <c r="B54" s="11" t="s">
        <v>56</v>
      </c>
      <c r="C54" s="22">
        <v>95.28</v>
      </c>
      <c r="D54" s="8" t="s">
        <v>17</v>
      </c>
      <c r="E54" s="9">
        <v>232</v>
      </c>
      <c r="F54" s="9">
        <v>182</v>
      </c>
      <c r="G54" s="9">
        <f t="shared" si="12"/>
        <v>39445.919999999998</v>
      </c>
      <c r="H54" s="22">
        <v>95.28</v>
      </c>
      <c r="I54" s="265">
        <v>0</v>
      </c>
      <c r="J54" s="22">
        <f>+Table1[[#This Row],[Previous Qty]]+Table1[[#This Row],[Current Qty]]</f>
        <v>95.28</v>
      </c>
      <c r="K54" s="9">
        <f>(Table1[[#This Row],[Supply Rate]]+Table1[[#This Row],[Install Rate]])*Table1[[#This Row],[Previous Qty]]</f>
        <v>39445.919999999998</v>
      </c>
      <c r="L54" s="9">
        <f>+Table1[[#This Row],[Current Qty]]*(Table1[[#This Row],[Supply Rate]]+Table1[[#This Row],[Install Rate]])</f>
        <v>0</v>
      </c>
      <c r="M54" s="9">
        <f>(Table1[[#This Row],[Supply Rate]]+Table1[[#This Row],[Install Rate]])*Table1[[#This Row],[Cumulative]]</f>
        <v>39445.919999999998</v>
      </c>
    </row>
    <row r="55" spans="1:13" x14ac:dyDescent="0.35">
      <c r="A55" s="6">
        <v>31</v>
      </c>
      <c r="B55" s="11" t="s">
        <v>57</v>
      </c>
      <c r="C55" s="22">
        <v>174</v>
      </c>
      <c r="D55" s="8" t="s">
        <v>17</v>
      </c>
      <c r="E55" s="9">
        <v>220</v>
      </c>
      <c r="F55" s="9">
        <v>174</v>
      </c>
      <c r="G55" s="9">
        <f t="shared" si="12"/>
        <v>68556</v>
      </c>
      <c r="H55" s="22">
        <v>174</v>
      </c>
      <c r="I55" s="265">
        <v>0</v>
      </c>
      <c r="J55" s="22">
        <f>+Table1[[#This Row],[Previous Qty]]+Table1[[#This Row],[Current Qty]]</f>
        <v>174</v>
      </c>
      <c r="K55" s="9">
        <f>(Table1[[#This Row],[Supply Rate]]+Table1[[#This Row],[Install Rate]])*Table1[[#This Row],[Previous Qty]]</f>
        <v>68556</v>
      </c>
      <c r="L55" s="9">
        <f>+Table1[[#This Row],[Current Qty]]*(Table1[[#This Row],[Supply Rate]]+Table1[[#This Row],[Install Rate]])</f>
        <v>0</v>
      </c>
      <c r="M55" s="9">
        <f>(Table1[[#This Row],[Supply Rate]]+Table1[[#This Row],[Install Rate]])*Table1[[#This Row],[Cumulative]]</f>
        <v>68556</v>
      </c>
    </row>
    <row r="56" spans="1:13" ht="29" x14ac:dyDescent="0.35">
      <c r="A56" s="6">
        <v>32</v>
      </c>
      <c r="B56" s="11" t="s">
        <v>58</v>
      </c>
      <c r="C56" s="22">
        <v>7</v>
      </c>
      <c r="D56" s="8" t="s">
        <v>10</v>
      </c>
      <c r="E56" s="9">
        <v>135</v>
      </c>
      <c r="F56" s="9">
        <v>81</v>
      </c>
      <c r="G56" s="9">
        <f t="shared" si="12"/>
        <v>1512</v>
      </c>
      <c r="H56" s="22">
        <v>7</v>
      </c>
      <c r="I56" s="265">
        <v>0</v>
      </c>
      <c r="J56" s="22">
        <f>+Table1[[#This Row],[Previous Qty]]+Table1[[#This Row],[Current Qty]]</f>
        <v>7</v>
      </c>
      <c r="K56" s="9">
        <f>(Table1[[#This Row],[Supply Rate]]+Table1[[#This Row],[Install Rate]])*Table1[[#This Row],[Previous Qty]]</f>
        <v>1512</v>
      </c>
      <c r="L56" s="9">
        <f>+Table1[[#This Row],[Current Qty]]*(Table1[[#This Row],[Supply Rate]]+Table1[[#This Row],[Install Rate]])</f>
        <v>0</v>
      </c>
      <c r="M56" s="9">
        <f>(Table1[[#This Row],[Supply Rate]]+Table1[[#This Row],[Install Rate]])*Table1[[#This Row],[Cumulative]]</f>
        <v>1512</v>
      </c>
    </row>
    <row r="57" spans="1:13" ht="29" x14ac:dyDescent="0.35">
      <c r="A57" s="6">
        <v>33</v>
      </c>
      <c r="B57" s="11" t="s">
        <v>59</v>
      </c>
      <c r="C57" s="22">
        <v>8.75</v>
      </c>
      <c r="D57" s="8" t="s">
        <v>10</v>
      </c>
      <c r="E57" s="9">
        <v>45</v>
      </c>
      <c r="F57" s="9">
        <v>27</v>
      </c>
      <c r="G57" s="9">
        <f t="shared" si="12"/>
        <v>630</v>
      </c>
      <c r="H57" s="22">
        <v>8.75</v>
      </c>
      <c r="I57" s="265">
        <v>0</v>
      </c>
      <c r="J57" s="22">
        <f>+Table1[[#This Row],[Previous Qty]]+Table1[[#This Row],[Current Qty]]</f>
        <v>8.75</v>
      </c>
      <c r="K57" s="9">
        <f>(Table1[[#This Row],[Supply Rate]]+Table1[[#This Row],[Install Rate]])*Table1[[#This Row],[Previous Qty]]</f>
        <v>630</v>
      </c>
      <c r="L57" s="9">
        <f>+Table1[[#This Row],[Current Qty]]*(Table1[[#This Row],[Supply Rate]]+Table1[[#This Row],[Install Rate]])</f>
        <v>0</v>
      </c>
      <c r="M57" s="9">
        <f>(Table1[[#This Row],[Supply Rate]]+Table1[[#This Row],[Install Rate]])*Table1[[#This Row],[Cumulative]]</f>
        <v>630</v>
      </c>
    </row>
    <row r="58" spans="1:13" ht="29" x14ac:dyDescent="0.35">
      <c r="A58" s="6">
        <v>34</v>
      </c>
      <c r="B58" s="11" t="s">
        <v>60</v>
      </c>
      <c r="C58" s="22">
        <v>31.59</v>
      </c>
      <c r="D58" s="8" t="s">
        <v>17</v>
      </c>
      <c r="E58" s="9">
        <v>232</v>
      </c>
      <c r="F58" s="9">
        <v>182</v>
      </c>
      <c r="G58" s="9">
        <f t="shared" si="12"/>
        <v>13078.26</v>
      </c>
      <c r="H58" s="22">
        <v>31.59</v>
      </c>
      <c r="I58" s="265">
        <v>0</v>
      </c>
      <c r="J58" s="22">
        <f>+Table1[[#This Row],[Previous Qty]]+Table1[[#This Row],[Current Qty]]</f>
        <v>31.59</v>
      </c>
      <c r="K58" s="9">
        <f>(Table1[[#This Row],[Supply Rate]]+Table1[[#This Row],[Install Rate]])*Table1[[#This Row],[Previous Qty]]</f>
        <v>13078.26</v>
      </c>
      <c r="L58" s="9">
        <f>+Table1[[#This Row],[Current Qty]]*(Table1[[#This Row],[Supply Rate]]+Table1[[#This Row],[Install Rate]])</f>
        <v>0</v>
      </c>
      <c r="M58" s="9">
        <f>(Table1[[#This Row],[Supply Rate]]+Table1[[#This Row],[Install Rate]])*Table1[[#This Row],[Cumulative]]</f>
        <v>13078.26</v>
      </c>
    </row>
    <row r="59" spans="1:13" ht="43.5" x14ac:dyDescent="0.35">
      <c r="A59" s="6">
        <v>35</v>
      </c>
      <c r="B59" s="11" t="s">
        <v>172</v>
      </c>
      <c r="C59" s="22">
        <v>66</v>
      </c>
      <c r="D59" s="8" t="s">
        <v>10</v>
      </c>
      <c r="E59" s="9"/>
      <c r="F59" s="9">
        <v>755.87878787878788</v>
      </c>
      <c r="G59" s="9">
        <f t="shared" si="12"/>
        <v>49888</v>
      </c>
      <c r="H59" s="22">
        <v>66</v>
      </c>
      <c r="I59" s="265">
        <v>0</v>
      </c>
      <c r="J59" s="22">
        <f>+Table1[[#This Row],[Previous Qty]]+Table1[[#This Row],[Current Qty]]</f>
        <v>66</v>
      </c>
      <c r="K59" s="9">
        <f>(Table1[[#This Row],[Supply Rate]]+Table1[[#This Row],[Install Rate]])*Table1[[#This Row],[Previous Qty]]</f>
        <v>49888</v>
      </c>
      <c r="L59" s="9">
        <f>+Table1[[#This Row],[Current Qty]]*(Table1[[#This Row],[Supply Rate]]+Table1[[#This Row],[Install Rate]])</f>
        <v>0</v>
      </c>
      <c r="M59" s="9">
        <f>(Table1[[#This Row],[Supply Rate]]+Table1[[#This Row],[Install Rate]])*Table1[[#This Row],[Cumulative]]</f>
        <v>49888</v>
      </c>
    </row>
    <row r="60" spans="1:13" ht="29" x14ac:dyDescent="0.35">
      <c r="A60" s="6">
        <v>36</v>
      </c>
      <c r="B60" s="11" t="s">
        <v>61</v>
      </c>
      <c r="C60" s="22">
        <v>19.5</v>
      </c>
      <c r="D60" s="8" t="s">
        <v>17</v>
      </c>
      <c r="E60" s="9">
        <v>262</v>
      </c>
      <c r="F60" s="9">
        <v>183</v>
      </c>
      <c r="G60" s="9">
        <f t="shared" si="12"/>
        <v>8677.5</v>
      </c>
      <c r="H60" s="22">
        <v>19.5</v>
      </c>
      <c r="I60" s="265">
        <v>0</v>
      </c>
      <c r="J60" s="22">
        <f>+Table1[[#This Row],[Previous Qty]]+Table1[[#This Row],[Current Qty]]</f>
        <v>19.5</v>
      </c>
      <c r="K60" s="9">
        <f>(Table1[[#This Row],[Supply Rate]]+Table1[[#This Row],[Install Rate]])*Table1[[#This Row],[Previous Qty]]</f>
        <v>8677.5</v>
      </c>
      <c r="L60" s="9">
        <f>+Table1[[#This Row],[Current Qty]]*(Table1[[#This Row],[Supply Rate]]+Table1[[#This Row],[Install Rate]])</f>
        <v>0</v>
      </c>
      <c r="M60" s="9">
        <f>(Table1[[#This Row],[Supply Rate]]+Table1[[#This Row],[Install Rate]])*Table1[[#This Row],[Cumulative]]</f>
        <v>8677.5</v>
      </c>
    </row>
    <row r="61" spans="1:13" x14ac:dyDescent="0.35">
      <c r="A61" s="6"/>
      <c r="B61" s="10" t="s">
        <v>30</v>
      </c>
      <c r="C61" s="22"/>
      <c r="D61" s="8"/>
      <c r="E61" s="9"/>
      <c r="F61" s="9"/>
      <c r="G61" s="9"/>
      <c r="H61" s="22">
        <v>64</v>
      </c>
      <c r="I61" s="265">
        <v>0</v>
      </c>
      <c r="J61" s="22">
        <f>+Table1[[#This Row],[Previous Qty]]+Table1[[#This Row],[Current Qty]]</f>
        <v>64</v>
      </c>
      <c r="K61" s="9">
        <f>(Table1[[#This Row],[Supply Rate]]+Table1[[#This Row],[Install Rate]])*Table1[[#This Row],[Previous Qty]]</f>
        <v>0</v>
      </c>
      <c r="L61" s="9">
        <f>+Table1[[#This Row],[Current Qty]]*(Table1[[#This Row],[Supply Rate]]+Table1[[#This Row],[Install Rate]])</f>
        <v>0</v>
      </c>
      <c r="M61" s="9">
        <f>(Table1[[#This Row],[Supply Rate]]+Table1[[#This Row],[Install Rate]])*Table1[[#This Row],[Cumulative]]</f>
        <v>0</v>
      </c>
    </row>
    <row r="62" spans="1:13" ht="29" x14ac:dyDescent="0.35">
      <c r="A62" s="6">
        <v>37</v>
      </c>
      <c r="B62" s="11" t="s">
        <v>62</v>
      </c>
      <c r="C62" s="22">
        <v>1</v>
      </c>
      <c r="D62" s="8" t="s">
        <v>67</v>
      </c>
      <c r="E62" s="9">
        <v>5497</v>
      </c>
      <c r="F62" s="9">
        <v>5921</v>
      </c>
      <c r="G62" s="9">
        <f t="shared" ref="G62:G67" si="13">(E62+F62)*C62</f>
        <v>11418</v>
      </c>
      <c r="H62" s="22">
        <v>0</v>
      </c>
      <c r="I62" s="265"/>
      <c r="J62" s="22">
        <f>+Table1[[#This Row],[Previous Qty]]+Table1[[#This Row],[Current Qty]]</f>
        <v>0</v>
      </c>
      <c r="K62" s="9">
        <f>(Table1[[#This Row],[Supply Rate]]+Table1[[#This Row],[Install Rate]])*Table1[[#This Row],[Previous Qty]]</f>
        <v>0</v>
      </c>
      <c r="L62" s="9">
        <f>+Table1[[#This Row],[Current Qty]]*(Table1[[#This Row],[Supply Rate]]+Table1[[#This Row],[Install Rate]])</f>
        <v>0</v>
      </c>
      <c r="M62" s="9">
        <f>(Table1[[#This Row],[Supply Rate]]+Table1[[#This Row],[Install Rate]])*Table1[[#This Row],[Cumulative]]</f>
        <v>0</v>
      </c>
    </row>
    <row r="63" spans="1:13" ht="29" x14ac:dyDescent="0.35">
      <c r="A63" s="6">
        <v>38</v>
      </c>
      <c r="B63" s="11" t="s">
        <v>63</v>
      </c>
      <c r="C63" s="22">
        <v>44.621000000000002</v>
      </c>
      <c r="D63" s="8" t="s">
        <v>35</v>
      </c>
      <c r="E63" s="9">
        <v>221</v>
      </c>
      <c r="F63" s="9">
        <v>182</v>
      </c>
      <c r="G63" s="9">
        <f t="shared" si="13"/>
        <v>17982.263000000003</v>
      </c>
      <c r="H63" s="22">
        <v>44.620000000000005</v>
      </c>
      <c r="I63" s="265">
        <v>0</v>
      </c>
      <c r="J63" s="22">
        <f>+Table1[[#This Row],[Previous Qty]]+Table1[[#This Row],[Current Qty]]</f>
        <v>44.620000000000005</v>
      </c>
      <c r="K63" s="9">
        <f>(Table1[[#This Row],[Supply Rate]]+Table1[[#This Row],[Install Rate]])*Table1[[#This Row],[Previous Qty]]</f>
        <v>17981.86</v>
      </c>
      <c r="L63" s="9">
        <f>+Table1[[#This Row],[Current Qty]]*(Table1[[#This Row],[Supply Rate]]+Table1[[#This Row],[Install Rate]])</f>
        <v>0</v>
      </c>
      <c r="M63" s="9">
        <f>(Table1[[#This Row],[Supply Rate]]+Table1[[#This Row],[Install Rate]])*Table1[[#This Row],[Cumulative]]</f>
        <v>17981.86</v>
      </c>
    </row>
    <row r="64" spans="1:13" x14ac:dyDescent="0.35">
      <c r="A64" s="6">
        <v>39</v>
      </c>
      <c r="B64" s="11" t="s">
        <v>64</v>
      </c>
      <c r="C64" s="22">
        <v>41.96</v>
      </c>
      <c r="D64" s="8" t="s">
        <v>35</v>
      </c>
      <c r="E64" s="9">
        <v>221</v>
      </c>
      <c r="F64" s="9">
        <v>251.37559580552909</v>
      </c>
      <c r="G64" s="9">
        <f t="shared" si="13"/>
        <v>19820.88</v>
      </c>
      <c r="H64" s="22">
        <v>41.96</v>
      </c>
      <c r="I64" s="265">
        <v>0</v>
      </c>
      <c r="J64" s="22">
        <f>+Table1[[#This Row],[Previous Qty]]+Table1[[#This Row],[Current Qty]]</f>
        <v>41.96</v>
      </c>
      <c r="K64" s="9">
        <f>(Table1[[#This Row],[Supply Rate]]+Table1[[#This Row],[Install Rate]])*Table1[[#This Row],[Previous Qty]]</f>
        <v>19820.88</v>
      </c>
      <c r="L64" s="9">
        <f>+Table1[[#This Row],[Current Qty]]*(Table1[[#This Row],[Supply Rate]]+Table1[[#This Row],[Install Rate]])</f>
        <v>0</v>
      </c>
      <c r="M64" s="9">
        <f>(Table1[[#This Row],[Supply Rate]]+Table1[[#This Row],[Install Rate]])*Table1[[#This Row],[Cumulative]]</f>
        <v>19820.88</v>
      </c>
    </row>
    <row r="65" spans="1:13" ht="29" x14ac:dyDescent="0.35">
      <c r="A65" s="6">
        <v>40</v>
      </c>
      <c r="B65" s="11" t="s">
        <v>65</v>
      </c>
      <c r="C65" s="22">
        <v>18.91</v>
      </c>
      <c r="D65" s="8" t="s">
        <v>35</v>
      </c>
      <c r="E65" s="9">
        <v>221</v>
      </c>
      <c r="F65" s="9">
        <v>358.26546800634583</v>
      </c>
      <c r="G65" s="9">
        <f t="shared" si="13"/>
        <v>10953.91</v>
      </c>
      <c r="H65" s="22">
        <v>0</v>
      </c>
      <c r="I65" s="265">
        <f>18.91*0.9</f>
        <v>17.019000000000002</v>
      </c>
      <c r="J65" s="22">
        <f>+Table1[[#This Row],[Previous Qty]]+Table1[[#This Row],[Current Qty]]</f>
        <v>17.019000000000002</v>
      </c>
      <c r="K65" s="9">
        <f>(Table1[[#This Row],[Supply Rate]]+Table1[[#This Row],[Install Rate]])*Table1[[#This Row],[Previous Qty]]</f>
        <v>0</v>
      </c>
      <c r="L65" s="9">
        <f>+Table1[[#This Row],[Current Qty]]*(Table1[[#This Row],[Supply Rate]]+Table1[[#This Row],[Install Rate]])</f>
        <v>9858.5190000000002</v>
      </c>
      <c r="M65" s="9">
        <f>(Table1[[#This Row],[Supply Rate]]+Table1[[#This Row],[Install Rate]])*Table1[[#This Row],[Cumulative]]</f>
        <v>9858.5190000000002</v>
      </c>
    </row>
    <row r="66" spans="1:13" ht="29" x14ac:dyDescent="0.35">
      <c r="A66" s="6">
        <v>41</v>
      </c>
      <c r="B66" s="11" t="s">
        <v>66</v>
      </c>
      <c r="C66" s="22">
        <v>2.7359600000000004</v>
      </c>
      <c r="D66" s="8" t="s">
        <v>35</v>
      </c>
      <c r="E66" s="9">
        <v>221</v>
      </c>
      <c r="F66" s="9">
        <v>1300.1523121683063</v>
      </c>
      <c r="G66" s="9">
        <f t="shared" si="13"/>
        <v>4161.8118800000002</v>
      </c>
      <c r="H66" s="22">
        <v>0</v>
      </c>
      <c r="I66" s="265">
        <f>2.74*0.9</f>
        <v>2.4660000000000002</v>
      </c>
      <c r="J66" s="22">
        <f>+Table1[[#This Row],[Previous Qty]]+Table1[[#This Row],[Current Qty]]</f>
        <v>2.4660000000000002</v>
      </c>
      <c r="K66" s="9">
        <f>(Table1[[#This Row],[Supply Rate]]+Table1[[#This Row],[Install Rate]])*Table1[[#This Row],[Previous Qty]]</f>
        <v>0</v>
      </c>
      <c r="L66" s="9">
        <f>+Table1[[#This Row],[Current Qty]]*(Table1[[#This Row],[Supply Rate]]+Table1[[#This Row],[Install Rate]])</f>
        <v>3751.1616018070436</v>
      </c>
      <c r="M66" s="9">
        <f>(Table1[[#This Row],[Supply Rate]]+Table1[[#This Row],[Install Rate]])*Table1[[#This Row],[Cumulative]]</f>
        <v>3751.1616018070436</v>
      </c>
    </row>
    <row r="67" spans="1:13" ht="43.5" x14ac:dyDescent="0.35">
      <c r="A67" s="6">
        <v>42</v>
      </c>
      <c r="B67" s="11" t="s">
        <v>68</v>
      </c>
      <c r="C67" s="22">
        <v>15.17</v>
      </c>
      <c r="D67" s="8" t="s">
        <v>10</v>
      </c>
      <c r="E67" s="9"/>
      <c r="F67" s="9">
        <v>839.95</v>
      </c>
      <c r="G67" s="9">
        <f t="shared" si="13"/>
        <v>12742.041500000001</v>
      </c>
      <c r="H67" s="22">
        <v>0</v>
      </c>
      <c r="I67" s="265"/>
      <c r="J67" s="22">
        <f>+Table1[[#This Row],[Previous Qty]]+Table1[[#This Row],[Current Qty]]</f>
        <v>0</v>
      </c>
      <c r="K67" s="9">
        <f>(Table1[[#This Row],[Supply Rate]]+Table1[[#This Row],[Install Rate]])*Table1[[#This Row],[Previous Qty]]</f>
        <v>0</v>
      </c>
      <c r="L67" s="9">
        <f>+Table1[[#This Row],[Current Qty]]*(Table1[[#This Row],[Supply Rate]]+Table1[[#This Row],[Install Rate]])</f>
        <v>0</v>
      </c>
      <c r="M67" s="9">
        <f>(Table1[[#This Row],[Supply Rate]]+Table1[[#This Row],[Install Rate]])*Table1[[#This Row],[Cumulative]]</f>
        <v>0</v>
      </c>
    </row>
    <row r="68" spans="1:13" ht="15" thickBot="1" x14ac:dyDescent="0.4">
      <c r="A68" s="54"/>
      <c r="B68" s="55"/>
      <c r="C68" s="56"/>
      <c r="D68" s="57"/>
      <c r="E68" s="58"/>
      <c r="F68" s="58"/>
      <c r="G68" s="58"/>
      <c r="H68" s="56">
        <v>0</v>
      </c>
      <c r="I68" s="268"/>
      <c r="J68" s="56">
        <f>+Table1[[#This Row],[Previous Qty]]+Table1[[#This Row],[Current Qty]]</f>
        <v>0</v>
      </c>
      <c r="K68" s="58">
        <f>(Table1[[#This Row],[Supply Rate]]+Table1[[#This Row],[Install Rate]])*Table1[[#This Row],[Previous Qty]]</f>
        <v>0</v>
      </c>
      <c r="L68" s="58">
        <f>+Table1[[#This Row],[Current Qty]]*(Table1[[#This Row],[Supply Rate]]+Table1[[#This Row],[Install Rate]])</f>
        <v>0</v>
      </c>
      <c r="M68" s="58">
        <f>(Table1[[#This Row],[Supply Rate]]+Table1[[#This Row],[Install Rate]])*Table1[[#This Row],[Cumulative]]</f>
        <v>0</v>
      </c>
    </row>
    <row r="69" spans="1:13" x14ac:dyDescent="0.35">
      <c r="A69" s="44"/>
      <c r="B69" s="59" t="s">
        <v>69</v>
      </c>
      <c r="C69" s="46"/>
      <c r="D69" s="47"/>
      <c r="E69" s="48"/>
      <c r="F69" s="48"/>
      <c r="G69" s="48"/>
      <c r="H69" s="46">
        <v>0</v>
      </c>
      <c r="I69" s="269"/>
      <c r="J69" s="46">
        <f>+Table1[[#This Row],[Previous Qty]]+Table1[[#This Row],[Current Qty]]</f>
        <v>0</v>
      </c>
      <c r="K69" s="48">
        <f>(Table1[[#This Row],[Supply Rate]]+Table1[[#This Row],[Install Rate]])*Table1[[#This Row],[Previous Qty]]</f>
        <v>0</v>
      </c>
      <c r="L69" s="48">
        <f>+Table1[[#This Row],[Current Qty]]*(Table1[[#This Row],[Supply Rate]]+Table1[[#This Row],[Install Rate]])</f>
        <v>0</v>
      </c>
      <c r="M69" s="48">
        <f>(Table1[[#This Row],[Supply Rate]]+Table1[[#This Row],[Install Rate]])*Table1[[#This Row],[Cumulative]]</f>
        <v>0</v>
      </c>
    </row>
    <row r="70" spans="1:13" x14ac:dyDescent="0.35">
      <c r="A70" s="6"/>
      <c r="B70" s="10" t="s">
        <v>54</v>
      </c>
      <c r="C70" s="22"/>
      <c r="D70" s="8"/>
      <c r="E70" s="9"/>
      <c r="F70" s="9"/>
      <c r="G70" s="9"/>
      <c r="H70" s="22">
        <v>0</v>
      </c>
      <c r="I70" s="265"/>
      <c r="J70" s="22">
        <f>+Table1[[#This Row],[Previous Qty]]+Table1[[#This Row],[Current Qty]]</f>
        <v>0</v>
      </c>
      <c r="K70" s="9">
        <f>(Table1[[#This Row],[Supply Rate]]+Table1[[#This Row],[Install Rate]])*Table1[[#This Row],[Previous Qty]]</f>
        <v>0</v>
      </c>
      <c r="L70" s="9">
        <f>+Table1[[#This Row],[Current Qty]]*(Table1[[#This Row],[Supply Rate]]+Table1[[#This Row],[Install Rate]])</f>
        <v>0</v>
      </c>
      <c r="M70" s="9">
        <f>(Table1[[#This Row],[Supply Rate]]+Table1[[#This Row],[Install Rate]])*Table1[[#This Row],[Cumulative]]</f>
        <v>0</v>
      </c>
    </row>
    <row r="71" spans="1:13" ht="29" x14ac:dyDescent="0.35">
      <c r="A71" s="6">
        <v>43</v>
      </c>
      <c r="B71" s="11" t="s">
        <v>70</v>
      </c>
      <c r="C71" s="22">
        <v>28</v>
      </c>
      <c r="D71" s="8" t="s">
        <v>10</v>
      </c>
      <c r="E71" s="9">
        <v>107</v>
      </c>
      <c r="F71" s="9">
        <v>65</v>
      </c>
      <c r="G71" s="9">
        <f t="shared" ref="G71:G75" si="14">(E71+F71)*C71</f>
        <v>4816</v>
      </c>
      <c r="H71" s="22">
        <v>0</v>
      </c>
      <c r="I71" s="265"/>
      <c r="J71" s="22">
        <f>+Table1[[#This Row],[Previous Qty]]+Table1[[#This Row],[Current Qty]]</f>
        <v>0</v>
      </c>
      <c r="K71" s="9">
        <f>(Table1[[#This Row],[Supply Rate]]+Table1[[#This Row],[Install Rate]])*Table1[[#This Row],[Previous Qty]]</f>
        <v>0</v>
      </c>
      <c r="L71" s="9">
        <f>+Table1[[#This Row],[Current Qty]]*(Table1[[#This Row],[Supply Rate]]+Table1[[#This Row],[Install Rate]])</f>
        <v>0</v>
      </c>
      <c r="M71" s="9">
        <f>(Table1[[#This Row],[Supply Rate]]+Table1[[#This Row],[Install Rate]])*Table1[[#This Row],[Cumulative]]</f>
        <v>0</v>
      </c>
    </row>
    <row r="72" spans="1:13" x14ac:dyDescent="0.35">
      <c r="A72" s="6">
        <v>44</v>
      </c>
      <c r="B72" s="11" t="s">
        <v>71</v>
      </c>
      <c r="C72" s="22">
        <v>79</v>
      </c>
      <c r="D72" s="8" t="s">
        <v>17</v>
      </c>
      <c r="E72" s="9">
        <v>232</v>
      </c>
      <c r="F72" s="9">
        <v>182</v>
      </c>
      <c r="G72" s="9">
        <f t="shared" si="14"/>
        <v>32706</v>
      </c>
      <c r="H72" s="22">
        <v>0</v>
      </c>
      <c r="I72" s="265"/>
      <c r="J72" s="22">
        <f>+Table1[[#This Row],[Previous Qty]]+Table1[[#This Row],[Current Qty]]</f>
        <v>0</v>
      </c>
      <c r="K72" s="9">
        <f>(Table1[[#This Row],[Supply Rate]]+Table1[[#This Row],[Install Rate]])*Table1[[#This Row],[Previous Qty]]</f>
        <v>0</v>
      </c>
      <c r="L72" s="9">
        <f>+Table1[[#This Row],[Current Qty]]*(Table1[[#This Row],[Supply Rate]]+Table1[[#This Row],[Install Rate]])</f>
        <v>0</v>
      </c>
      <c r="M72" s="9">
        <f>(Table1[[#This Row],[Supply Rate]]+Table1[[#This Row],[Install Rate]])*Table1[[#This Row],[Cumulative]]</f>
        <v>0</v>
      </c>
    </row>
    <row r="73" spans="1:13" ht="29" x14ac:dyDescent="0.35">
      <c r="A73" s="6">
        <v>45</v>
      </c>
      <c r="B73" s="11" t="s">
        <v>72</v>
      </c>
      <c r="C73" s="22">
        <v>17</v>
      </c>
      <c r="D73" s="8" t="s">
        <v>36</v>
      </c>
      <c r="E73" s="9">
        <v>169</v>
      </c>
      <c r="F73" s="9">
        <v>76</v>
      </c>
      <c r="G73" s="9">
        <f t="shared" si="14"/>
        <v>4165</v>
      </c>
      <c r="H73" s="22">
        <v>0</v>
      </c>
      <c r="I73" s="265"/>
      <c r="J73" s="22">
        <f>+Table1[[#This Row],[Previous Qty]]+Table1[[#This Row],[Current Qty]]</f>
        <v>0</v>
      </c>
      <c r="K73" s="9">
        <f>(Table1[[#This Row],[Supply Rate]]+Table1[[#This Row],[Install Rate]])*Table1[[#This Row],[Previous Qty]]</f>
        <v>0</v>
      </c>
      <c r="L73" s="9">
        <f>+Table1[[#This Row],[Current Qty]]*(Table1[[#This Row],[Supply Rate]]+Table1[[#This Row],[Install Rate]])</f>
        <v>0</v>
      </c>
      <c r="M73" s="9">
        <f>(Table1[[#This Row],[Supply Rate]]+Table1[[#This Row],[Install Rate]])*Table1[[#This Row],[Cumulative]]</f>
        <v>0</v>
      </c>
    </row>
    <row r="74" spans="1:13" ht="29" x14ac:dyDescent="0.35">
      <c r="A74" s="6">
        <v>46</v>
      </c>
      <c r="B74" s="11" t="s">
        <v>73</v>
      </c>
      <c r="C74" s="22">
        <v>20.399999999999999</v>
      </c>
      <c r="D74" s="8" t="s">
        <v>36</v>
      </c>
      <c r="E74" s="9">
        <v>52</v>
      </c>
      <c r="F74" s="9">
        <v>27</v>
      </c>
      <c r="G74" s="9">
        <f t="shared" si="14"/>
        <v>1611.6</v>
      </c>
      <c r="H74" s="22">
        <v>0</v>
      </c>
      <c r="I74" s="265"/>
      <c r="J74" s="22">
        <f>+Table1[[#This Row],[Previous Qty]]+Table1[[#This Row],[Current Qty]]</f>
        <v>0</v>
      </c>
      <c r="K74" s="9">
        <f>(Table1[[#This Row],[Supply Rate]]+Table1[[#This Row],[Install Rate]])*Table1[[#This Row],[Previous Qty]]</f>
        <v>0</v>
      </c>
      <c r="L74" s="9">
        <f>+Table1[[#This Row],[Current Qty]]*(Table1[[#This Row],[Supply Rate]]+Table1[[#This Row],[Install Rate]])</f>
        <v>0</v>
      </c>
      <c r="M74" s="9">
        <f>(Table1[[#This Row],[Supply Rate]]+Table1[[#This Row],[Install Rate]])*Table1[[#This Row],[Cumulative]]</f>
        <v>0</v>
      </c>
    </row>
    <row r="75" spans="1:13" ht="29" x14ac:dyDescent="0.35">
      <c r="A75" s="6">
        <v>47</v>
      </c>
      <c r="B75" s="11" t="s">
        <v>74</v>
      </c>
      <c r="C75" s="22">
        <v>5.72</v>
      </c>
      <c r="D75" s="8" t="s">
        <v>17</v>
      </c>
      <c r="E75" s="9">
        <v>232</v>
      </c>
      <c r="F75" s="9">
        <v>182</v>
      </c>
      <c r="G75" s="9">
        <f t="shared" si="14"/>
        <v>2368.08</v>
      </c>
      <c r="H75" s="22">
        <v>0</v>
      </c>
      <c r="I75" s="265"/>
      <c r="J75" s="22">
        <f>+Table1[[#This Row],[Previous Qty]]+Table1[[#This Row],[Current Qty]]</f>
        <v>0</v>
      </c>
      <c r="K75" s="9">
        <f>(Table1[[#This Row],[Supply Rate]]+Table1[[#This Row],[Install Rate]])*Table1[[#This Row],[Previous Qty]]</f>
        <v>0</v>
      </c>
      <c r="L75" s="9">
        <f>+Table1[[#This Row],[Current Qty]]*(Table1[[#This Row],[Supply Rate]]+Table1[[#This Row],[Install Rate]])</f>
        <v>0</v>
      </c>
      <c r="M75" s="9">
        <f>(Table1[[#This Row],[Supply Rate]]+Table1[[#This Row],[Install Rate]])*Table1[[#This Row],[Cumulative]]</f>
        <v>0</v>
      </c>
    </row>
    <row r="76" spans="1:13" ht="15" thickBot="1" x14ac:dyDescent="0.4">
      <c r="A76" s="54"/>
      <c r="B76" s="55"/>
      <c r="C76" s="56"/>
      <c r="D76" s="57"/>
      <c r="E76" s="58"/>
      <c r="F76" s="58"/>
      <c r="G76" s="58"/>
      <c r="H76" s="56">
        <v>0</v>
      </c>
      <c r="I76" s="268"/>
      <c r="J76" s="56">
        <f>+Table1[[#This Row],[Previous Qty]]+Table1[[#This Row],[Current Qty]]</f>
        <v>0</v>
      </c>
      <c r="K76" s="58">
        <f>(Table1[[#This Row],[Supply Rate]]+Table1[[#This Row],[Install Rate]])*Table1[[#This Row],[Previous Qty]]</f>
        <v>0</v>
      </c>
      <c r="L76" s="58">
        <f>+Table1[[#This Row],[Current Qty]]*(Table1[[#This Row],[Supply Rate]]+Table1[[#This Row],[Install Rate]])</f>
        <v>0</v>
      </c>
      <c r="M76" s="58">
        <f>(Table1[[#This Row],[Supply Rate]]+Table1[[#This Row],[Install Rate]])*Table1[[#This Row],[Cumulative]]</f>
        <v>0</v>
      </c>
    </row>
    <row r="77" spans="1:13" x14ac:dyDescent="0.35">
      <c r="A77" s="44"/>
      <c r="B77" s="59" t="s">
        <v>75</v>
      </c>
      <c r="C77" s="46"/>
      <c r="D77" s="47"/>
      <c r="E77" s="48"/>
      <c r="F77" s="48"/>
      <c r="G77" s="48"/>
      <c r="H77" s="46">
        <v>0</v>
      </c>
      <c r="I77" s="269"/>
      <c r="J77" s="46">
        <f>+Table1[[#This Row],[Previous Qty]]+Table1[[#This Row],[Current Qty]]</f>
        <v>0</v>
      </c>
      <c r="K77" s="48">
        <f>(Table1[[#This Row],[Supply Rate]]+Table1[[#This Row],[Install Rate]])*Table1[[#This Row],[Previous Qty]]</f>
        <v>0</v>
      </c>
      <c r="L77" s="48">
        <f>+Table1[[#This Row],[Current Qty]]*(Table1[[#This Row],[Supply Rate]]+Table1[[#This Row],[Install Rate]])</f>
        <v>0</v>
      </c>
      <c r="M77" s="48">
        <f>(Table1[[#This Row],[Supply Rate]]+Table1[[#This Row],[Install Rate]])*Table1[[#This Row],[Cumulative]]</f>
        <v>0</v>
      </c>
    </row>
    <row r="78" spans="1:13" x14ac:dyDescent="0.35">
      <c r="A78" s="6"/>
      <c r="B78" s="10" t="s">
        <v>8</v>
      </c>
      <c r="C78" s="22"/>
      <c r="D78" s="8"/>
      <c r="E78" s="9"/>
      <c r="F78" s="9"/>
      <c r="G78" s="9"/>
      <c r="H78" s="22">
        <v>0</v>
      </c>
      <c r="I78" s="265"/>
      <c r="J78" s="22">
        <f>+Table1[[#This Row],[Previous Qty]]+Table1[[#This Row],[Current Qty]]</f>
        <v>0</v>
      </c>
      <c r="K78" s="9">
        <f>(Table1[[#This Row],[Supply Rate]]+Table1[[#This Row],[Install Rate]])*Table1[[#This Row],[Previous Qty]]</f>
        <v>0</v>
      </c>
      <c r="L78" s="9">
        <f>+Table1[[#This Row],[Current Qty]]*(Table1[[#This Row],[Supply Rate]]+Table1[[#This Row],[Install Rate]])</f>
        <v>0</v>
      </c>
      <c r="M78" s="9">
        <f>(Table1[[#This Row],[Supply Rate]]+Table1[[#This Row],[Install Rate]])*Table1[[#This Row],[Cumulative]]</f>
        <v>0</v>
      </c>
    </row>
    <row r="79" spans="1:13" x14ac:dyDescent="0.35">
      <c r="A79" s="6"/>
      <c r="B79" s="11" t="s">
        <v>9</v>
      </c>
      <c r="C79" s="22"/>
      <c r="D79" s="8"/>
      <c r="E79" s="9"/>
      <c r="F79" s="9"/>
      <c r="G79" s="9"/>
      <c r="H79" s="22">
        <v>0</v>
      </c>
      <c r="I79" s="265"/>
      <c r="J79" s="22">
        <f>+Table1[[#This Row],[Previous Qty]]+Table1[[#This Row],[Current Qty]]</f>
        <v>0</v>
      </c>
      <c r="K79" s="9">
        <f>(Table1[[#This Row],[Supply Rate]]+Table1[[#This Row],[Install Rate]])*Table1[[#This Row],[Previous Qty]]</f>
        <v>0</v>
      </c>
      <c r="L79" s="9">
        <f>+Table1[[#This Row],[Current Qty]]*(Table1[[#This Row],[Supply Rate]]+Table1[[#This Row],[Install Rate]])</f>
        <v>0</v>
      </c>
      <c r="M79" s="9">
        <f>(Table1[[#This Row],[Supply Rate]]+Table1[[#This Row],[Install Rate]])*Table1[[#This Row],[Cumulative]]</f>
        <v>0</v>
      </c>
    </row>
    <row r="80" spans="1:13" ht="29" x14ac:dyDescent="0.35">
      <c r="A80" s="6">
        <v>48</v>
      </c>
      <c r="B80" s="11" t="s">
        <v>76</v>
      </c>
      <c r="C80" s="22">
        <v>538</v>
      </c>
      <c r="D80" s="8" t="s">
        <v>17</v>
      </c>
      <c r="E80" s="9">
        <v>200</v>
      </c>
      <c r="F80" s="9">
        <v>142</v>
      </c>
      <c r="G80" s="9" t="s">
        <v>78</v>
      </c>
      <c r="H80" s="22">
        <v>0</v>
      </c>
      <c r="I80" s="265"/>
      <c r="J80" s="22">
        <f>+Table1[[#This Row],[Previous Qty]]+Table1[[#This Row],[Current Qty]]</f>
        <v>0</v>
      </c>
      <c r="K80" s="9">
        <f>(Table1[[#This Row],[Supply Rate]]+Table1[[#This Row],[Install Rate]])*Table1[[#This Row],[Previous Qty]]</f>
        <v>0</v>
      </c>
      <c r="L80" s="9">
        <f>+Table1[[#This Row],[Current Qty]]*(Table1[[#This Row],[Supply Rate]]+Table1[[#This Row],[Install Rate]])</f>
        <v>0</v>
      </c>
      <c r="M80" s="9">
        <f>(Table1[[#This Row],[Supply Rate]]+Table1[[#This Row],[Install Rate]])*Table1[[#This Row],[Cumulative]]</f>
        <v>0</v>
      </c>
    </row>
    <row r="81" spans="1:13" ht="43.5" x14ac:dyDescent="0.35">
      <c r="A81" s="6">
        <v>49</v>
      </c>
      <c r="B81" s="11" t="s">
        <v>77</v>
      </c>
      <c r="C81" s="22">
        <v>31.45</v>
      </c>
      <c r="D81" s="8" t="s">
        <v>17</v>
      </c>
      <c r="E81" s="9">
        <v>60</v>
      </c>
      <c r="F81" s="9">
        <v>24</v>
      </c>
      <c r="G81" s="9">
        <f t="shared" ref="G81" si="15">(E81+F81)*C81</f>
        <v>2641.7999999999997</v>
      </c>
      <c r="H81" s="22">
        <v>0</v>
      </c>
      <c r="I81" s="265"/>
      <c r="J81" s="22">
        <f>+Table1[[#This Row],[Previous Qty]]+Table1[[#This Row],[Current Qty]]</f>
        <v>0</v>
      </c>
      <c r="K81" s="9">
        <f>(Table1[[#This Row],[Supply Rate]]+Table1[[#This Row],[Install Rate]])*Table1[[#This Row],[Previous Qty]]</f>
        <v>0</v>
      </c>
      <c r="L81" s="9">
        <f>+Table1[[#This Row],[Current Qty]]*(Table1[[#This Row],[Supply Rate]]+Table1[[#This Row],[Install Rate]])</f>
        <v>0</v>
      </c>
      <c r="M81" s="9">
        <f>(Table1[[#This Row],[Supply Rate]]+Table1[[#This Row],[Install Rate]])*Table1[[#This Row],[Cumulative]]</f>
        <v>0</v>
      </c>
    </row>
    <row r="82" spans="1:13" ht="15" thickBot="1" x14ac:dyDescent="0.4">
      <c r="A82" s="54"/>
      <c r="B82" s="55"/>
      <c r="C82" s="56"/>
      <c r="D82" s="57"/>
      <c r="E82" s="58"/>
      <c r="F82" s="58"/>
      <c r="G82" s="58"/>
      <c r="H82" s="56">
        <v>0</v>
      </c>
      <c r="I82" s="268"/>
      <c r="J82" s="56">
        <f>+Table1[[#This Row],[Previous Qty]]+Table1[[#This Row],[Current Qty]]</f>
        <v>0</v>
      </c>
      <c r="K82" s="58">
        <f>(Table1[[#This Row],[Supply Rate]]+Table1[[#This Row],[Install Rate]])*Table1[[#This Row],[Previous Qty]]</f>
        <v>0</v>
      </c>
      <c r="L82" s="58">
        <f>+Table1[[#This Row],[Current Qty]]*(Table1[[#This Row],[Supply Rate]]+Table1[[#This Row],[Install Rate]])</f>
        <v>0</v>
      </c>
      <c r="M82" s="58">
        <f>(Table1[[#This Row],[Supply Rate]]+Table1[[#This Row],[Install Rate]])*Table1[[#This Row],[Cumulative]]</f>
        <v>0</v>
      </c>
    </row>
    <row r="83" spans="1:13" x14ac:dyDescent="0.35">
      <c r="A83" s="44"/>
      <c r="B83" s="59" t="s">
        <v>79</v>
      </c>
      <c r="C83" s="46"/>
      <c r="D83" s="47"/>
      <c r="E83" s="48"/>
      <c r="F83" s="48"/>
      <c r="G83" s="48"/>
      <c r="H83" s="46">
        <v>0</v>
      </c>
      <c r="I83" s="269"/>
      <c r="J83" s="46">
        <f>+Table1[[#This Row],[Previous Qty]]+Table1[[#This Row],[Current Qty]]</f>
        <v>0</v>
      </c>
      <c r="K83" s="48">
        <f>(Table1[[#This Row],[Supply Rate]]+Table1[[#This Row],[Install Rate]])*Table1[[#This Row],[Previous Qty]]</f>
        <v>0</v>
      </c>
      <c r="L83" s="48">
        <f>+Table1[[#This Row],[Current Qty]]*(Table1[[#This Row],[Supply Rate]]+Table1[[#This Row],[Install Rate]])</f>
        <v>0</v>
      </c>
      <c r="M83" s="48">
        <f>(Table1[[#This Row],[Supply Rate]]+Table1[[#This Row],[Install Rate]])*Table1[[#This Row],[Cumulative]]</f>
        <v>0</v>
      </c>
    </row>
    <row r="84" spans="1:13" x14ac:dyDescent="0.35">
      <c r="A84" s="6"/>
      <c r="B84" s="10" t="s">
        <v>8</v>
      </c>
      <c r="C84" s="22"/>
      <c r="D84" s="8"/>
      <c r="E84" s="9"/>
      <c r="F84" s="9"/>
      <c r="G84" s="9"/>
      <c r="H84" s="22">
        <v>0</v>
      </c>
      <c r="I84" s="265"/>
      <c r="J84" s="22">
        <f>+Table1[[#This Row],[Previous Qty]]+Table1[[#This Row],[Current Qty]]</f>
        <v>0</v>
      </c>
      <c r="K84" s="9">
        <f>(Table1[[#This Row],[Supply Rate]]+Table1[[#This Row],[Install Rate]])*Table1[[#This Row],[Previous Qty]]</f>
        <v>0</v>
      </c>
      <c r="L84" s="9">
        <f>+Table1[[#This Row],[Current Qty]]*(Table1[[#This Row],[Supply Rate]]+Table1[[#This Row],[Install Rate]])</f>
        <v>0</v>
      </c>
      <c r="M84" s="9">
        <f>(Table1[[#This Row],[Supply Rate]]+Table1[[#This Row],[Install Rate]])*Table1[[#This Row],[Cumulative]]</f>
        <v>0</v>
      </c>
    </row>
    <row r="85" spans="1:13" x14ac:dyDescent="0.35">
      <c r="A85" s="6"/>
      <c r="B85" s="11" t="s">
        <v>9</v>
      </c>
      <c r="C85" s="22"/>
      <c r="D85" s="8"/>
      <c r="E85" s="9"/>
      <c r="F85" s="9"/>
      <c r="G85" s="9"/>
      <c r="H85" s="22">
        <v>0</v>
      </c>
      <c r="I85" s="265"/>
      <c r="J85" s="22">
        <f>+Table1[[#This Row],[Previous Qty]]+Table1[[#This Row],[Current Qty]]</f>
        <v>0</v>
      </c>
      <c r="K85" s="9">
        <f>(Table1[[#This Row],[Supply Rate]]+Table1[[#This Row],[Install Rate]])*Table1[[#This Row],[Previous Qty]]</f>
        <v>0</v>
      </c>
      <c r="L85" s="9">
        <f>+Table1[[#This Row],[Current Qty]]*(Table1[[#This Row],[Supply Rate]]+Table1[[#This Row],[Install Rate]])</f>
        <v>0</v>
      </c>
      <c r="M85" s="9">
        <f>(Table1[[#This Row],[Supply Rate]]+Table1[[#This Row],[Install Rate]])*Table1[[#This Row],[Cumulative]]</f>
        <v>0</v>
      </c>
    </row>
    <row r="86" spans="1:13" ht="29" x14ac:dyDescent="0.35">
      <c r="A86" s="6">
        <v>50</v>
      </c>
      <c r="B86" s="11" t="s">
        <v>80</v>
      </c>
      <c r="C86" s="22">
        <v>10.72</v>
      </c>
      <c r="D86" s="8" t="s">
        <v>17</v>
      </c>
      <c r="E86" s="9">
        <v>220</v>
      </c>
      <c r="F86" s="9">
        <v>174</v>
      </c>
      <c r="G86" s="9">
        <f t="shared" ref="G86" si="16">(E86+F86)*C86</f>
        <v>4223.68</v>
      </c>
      <c r="H86" s="22">
        <v>10.72</v>
      </c>
      <c r="I86" s="265">
        <v>0</v>
      </c>
      <c r="J86" s="22">
        <f>+Table1[[#This Row],[Previous Qty]]+Table1[[#This Row],[Current Qty]]</f>
        <v>10.72</v>
      </c>
      <c r="K86" s="9">
        <f>(Table1[[#This Row],[Supply Rate]]+Table1[[#This Row],[Install Rate]])*Table1[[#This Row],[Previous Qty]]</f>
        <v>4223.68</v>
      </c>
      <c r="L86" s="9">
        <f>+Table1[[#This Row],[Current Qty]]*(Table1[[#This Row],[Supply Rate]]+Table1[[#This Row],[Install Rate]])</f>
        <v>0</v>
      </c>
      <c r="M86" s="9">
        <f>(Table1[[#This Row],[Supply Rate]]+Table1[[#This Row],[Install Rate]])*Table1[[#This Row],[Cumulative]]</f>
        <v>4223.68</v>
      </c>
    </row>
    <row r="87" spans="1:13" x14ac:dyDescent="0.35">
      <c r="A87" s="6"/>
      <c r="B87" s="11"/>
      <c r="C87" s="22"/>
      <c r="D87" s="8"/>
      <c r="E87" s="9"/>
      <c r="F87" s="9"/>
      <c r="G87" s="9"/>
      <c r="H87" s="22">
        <v>0</v>
      </c>
      <c r="I87" s="265"/>
      <c r="J87" s="22">
        <f>+Table1[[#This Row],[Previous Qty]]+Table1[[#This Row],[Current Qty]]</f>
        <v>0</v>
      </c>
      <c r="K87" s="9">
        <f>(Table1[[#This Row],[Supply Rate]]+Table1[[#This Row],[Install Rate]])*Table1[[#This Row],[Previous Qty]]</f>
        <v>0</v>
      </c>
      <c r="L87" s="9">
        <f>+Table1[[#This Row],[Current Qty]]*(Table1[[#This Row],[Supply Rate]]+Table1[[#This Row],[Install Rate]])</f>
        <v>0</v>
      </c>
      <c r="M87" s="9">
        <f>(Table1[[#This Row],[Supply Rate]]+Table1[[#This Row],[Install Rate]])*Table1[[#This Row],[Cumulative]]</f>
        <v>0</v>
      </c>
    </row>
    <row r="88" spans="1:13" x14ac:dyDescent="0.35">
      <c r="A88" s="6"/>
      <c r="B88" s="10" t="s">
        <v>81</v>
      </c>
      <c r="C88" s="22"/>
      <c r="D88" s="8"/>
      <c r="E88" s="9"/>
      <c r="F88" s="9"/>
      <c r="G88" s="9"/>
      <c r="H88" s="22">
        <v>0</v>
      </c>
      <c r="I88" s="265"/>
      <c r="J88" s="22">
        <f>+Table1[[#This Row],[Previous Qty]]+Table1[[#This Row],[Current Qty]]</f>
        <v>0</v>
      </c>
      <c r="K88" s="9">
        <f>(Table1[[#This Row],[Supply Rate]]+Table1[[#This Row],[Install Rate]])*Table1[[#This Row],[Previous Qty]]</f>
        <v>0</v>
      </c>
      <c r="L88" s="9">
        <f>+Table1[[#This Row],[Current Qty]]*(Table1[[#This Row],[Supply Rate]]+Table1[[#This Row],[Install Rate]])</f>
        <v>0</v>
      </c>
      <c r="M88" s="9">
        <f>(Table1[[#This Row],[Supply Rate]]+Table1[[#This Row],[Install Rate]])*Table1[[#This Row],[Cumulative]]</f>
        <v>0</v>
      </c>
    </row>
    <row r="89" spans="1:13" x14ac:dyDescent="0.35">
      <c r="A89" s="6"/>
      <c r="B89" s="11" t="s">
        <v>82</v>
      </c>
      <c r="C89" s="22"/>
      <c r="D89" s="8"/>
      <c r="E89" s="9"/>
      <c r="F89" s="9"/>
      <c r="G89" s="9"/>
      <c r="H89" s="22">
        <v>0</v>
      </c>
      <c r="I89" s="265"/>
      <c r="J89" s="22">
        <f>+Table1[[#This Row],[Previous Qty]]+Table1[[#This Row],[Current Qty]]</f>
        <v>0</v>
      </c>
      <c r="K89" s="9">
        <f>(Table1[[#This Row],[Supply Rate]]+Table1[[#This Row],[Install Rate]])*Table1[[#This Row],[Previous Qty]]</f>
        <v>0</v>
      </c>
      <c r="L89" s="9">
        <f>+Table1[[#This Row],[Current Qty]]*(Table1[[#This Row],[Supply Rate]]+Table1[[#This Row],[Install Rate]])</f>
        <v>0</v>
      </c>
      <c r="M89" s="9">
        <f>(Table1[[#This Row],[Supply Rate]]+Table1[[#This Row],[Install Rate]])*Table1[[#This Row],[Cumulative]]</f>
        <v>0</v>
      </c>
    </row>
    <row r="90" spans="1:13" ht="29" x14ac:dyDescent="0.35">
      <c r="A90" s="6">
        <v>51</v>
      </c>
      <c r="B90" s="11" t="s">
        <v>83</v>
      </c>
      <c r="C90" s="22">
        <v>7.468</v>
      </c>
      <c r="D90" s="8" t="s">
        <v>17</v>
      </c>
      <c r="E90" s="9">
        <v>220</v>
      </c>
      <c r="F90" s="9">
        <v>174</v>
      </c>
      <c r="G90" s="9">
        <f t="shared" ref="G90:G91" si="17">(E90+F90)*C90</f>
        <v>2942.3919999999998</v>
      </c>
      <c r="H90" s="22">
        <v>7.47</v>
      </c>
      <c r="I90" s="265">
        <v>0</v>
      </c>
      <c r="J90" s="22">
        <f>+Table1[[#This Row],[Previous Qty]]+Table1[[#This Row],[Current Qty]]</f>
        <v>7.47</v>
      </c>
      <c r="K90" s="9">
        <f>(Table1[[#This Row],[Supply Rate]]+Table1[[#This Row],[Install Rate]])*Table1[[#This Row],[Previous Qty]]</f>
        <v>2943.18</v>
      </c>
      <c r="L90" s="9">
        <f>+Table1[[#This Row],[Current Qty]]*(Table1[[#This Row],[Supply Rate]]+Table1[[#This Row],[Install Rate]])</f>
        <v>0</v>
      </c>
      <c r="M90" s="9">
        <f>(Table1[[#This Row],[Supply Rate]]+Table1[[#This Row],[Install Rate]])*Table1[[#This Row],[Cumulative]]</f>
        <v>2943.18</v>
      </c>
    </row>
    <row r="91" spans="1:13" x14ac:dyDescent="0.35">
      <c r="A91" s="6">
        <v>52</v>
      </c>
      <c r="B91" s="11" t="s">
        <v>84</v>
      </c>
      <c r="C91" s="22">
        <v>17.36</v>
      </c>
      <c r="D91" s="8" t="s">
        <v>10</v>
      </c>
      <c r="E91" s="9">
        <v>178</v>
      </c>
      <c r="F91" s="9">
        <v>45</v>
      </c>
      <c r="G91" s="9">
        <f t="shared" si="17"/>
        <v>3871.2799999999997</v>
      </c>
      <c r="H91" s="22">
        <v>17.36</v>
      </c>
      <c r="I91" s="265">
        <v>0</v>
      </c>
      <c r="J91" s="22">
        <f>+Table1[[#This Row],[Previous Qty]]+Table1[[#This Row],[Current Qty]]</f>
        <v>17.36</v>
      </c>
      <c r="K91" s="9">
        <f>(Table1[[#This Row],[Supply Rate]]+Table1[[#This Row],[Install Rate]])*Table1[[#This Row],[Previous Qty]]</f>
        <v>3871.2799999999997</v>
      </c>
      <c r="L91" s="9">
        <f>+Table1[[#This Row],[Current Qty]]*(Table1[[#This Row],[Supply Rate]]+Table1[[#This Row],[Install Rate]])</f>
        <v>0</v>
      </c>
      <c r="M91" s="9">
        <f>(Table1[[#This Row],[Supply Rate]]+Table1[[#This Row],[Install Rate]])*Table1[[#This Row],[Cumulative]]</f>
        <v>3871.2799999999997</v>
      </c>
    </row>
    <row r="92" spans="1:13" x14ac:dyDescent="0.35">
      <c r="A92" s="6"/>
      <c r="B92" s="11" t="s">
        <v>85</v>
      </c>
      <c r="C92" s="22"/>
      <c r="D92" s="8"/>
      <c r="E92" s="9"/>
      <c r="F92" s="9"/>
      <c r="G92" s="9"/>
      <c r="H92" s="22">
        <v>0</v>
      </c>
      <c r="I92" s="265"/>
      <c r="J92" s="22">
        <f>+Table1[[#This Row],[Previous Qty]]+Table1[[#This Row],[Current Qty]]</f>
        <v>0</v>
      </c>
      <c r="K92" s="9">
        <f>(Table1[[#This Row],[Supply Rate]]+Table1[[#This Row],[Install Rate]])*Table1[[#This Row],[Previous Qty]]</f>
        <v>0</v>
      </c>
      <c r="L92" s="9">
        <f>+Table1[[#This Row],[Current Qty]]*(Table1[[#This Row],[Supply Rate]]+Table1[[#This Row],[Install Rate]])</f>
        <v>0</v>
      </c>
      <c r="M92" s="9">
        <f>(Table1[[#This Row],[Supply Rate]]+Table1[[#This Row],[Install Rate]])*Table1[[#This Row],[Cumulative]]</f>
        <v>0</v>
      </c>
    </row>
    <row r="93" spans="1:13" ht="29" x14ac:dyDescent="0.35">
      <c r="A93" s="6">
        <v>53</v>
      </c>
      <c r="B93" s="11" t="s">
        <v>86</v>
      </c>
      <c r="C93" s="22">
        <v>13.32</v>
      </c>
      <c r="D93" s="8" t="s">
        <v>10</v>
      </c>
      <c r="E93" s="9">
        <v>193</v>
      </c>
      <c r="F93" s="9">
        <v>83</v>
      </c>
      <c r="G93" s="9">
        <f t="shared" ref="G93:G95" si="18">(E93+F93)*C93</f>
        <v>3676.32</v>
      </c>
      <c r="H93" s="22">
        <v>13.32</v>
      </c>
      <c r="I93" s="265">
        <v>0</v>
      </c>
      <c r="J93" s="22">
        <f>+Table1[[#This Row],[Previous Qty]]+Table1[[#This Row],[Current Qty]]</f>
        <v>13.32</v>
      </c>
      <c r="K93" s="9">
        <f>(Table1[[#This Row],[Supply Rate]]+Table1[[#This Row],[Install Rate]])*Table1[[#This Row],[Previous Qty]]</f>
        <v>3676.32</v>
      </c>
      <c r="L93" s="9">
        <f>+Table1[[#This Row],[Current Qty]]*(Table1[[#This Row],[Supply Rate]]+Table1[[#This Row],[Install Rate]])</f>
        <v>0</v>
      </c>
      <c r="M93" s="9">
        <f>(Table1[[#This Row],[Supply Rate]]+Table1[[#This Row],[Install Rate]])*Table1[[#This Row],[Cumulative]]</f>
        <v>3676.32</v>
      </c>
    </row>
    <row r="94" spans="1:13" ht="29" x14ac:dyDescent="0.35">
      <c r="A94" s="6">
        <v>54</v>
      </c>
      <c r="B94" s="11" t="s">
        <v>87</v>
      </c>
      <c r="C94" s="22">
        <v>13.32</v>
      </c>
      <c r="D94" s="8" t="s">
        <v>10</v>
      </c>
      <c r="E94" s="9">
        <v>52</v>
      </c>
      <c r="F94" s="9">
        <v>27</v>
      </c>
      <c r="G94" s="9">
        <f t="shared" si="18"/>
        <v>1052.28</v>
      </c>
      <c r="H94" s="22">
        <v>13.32</v>
      </c>
      <c r="I94" s="265">
        <v>0</v>
      </c>
      <c r="J94" s="22">
        <f>+Table1[[#This Row],[Previous Qty]]+Table1[[#This Row],[Current Qty]]</f>
        <v>13.32</v>
      </c>
      <c r="K94" s="9">
        <f>(Table1[[#This Row],[Supply Rate]]+Table1[[#This Row],[Install Rate]])*Table1[[#This Row],[Previous Qty]]</f>
        <v>1052.28</v>
      </c>
      <c r="L94" s="9">
        <f>+Table1[[#This Row],[Current Qty]]*(Table1[[#This Row],[Supply Rate]]+Table1[[#This Row],[Install Rate]])</f>
        <v>0</v>
      </c>
      <c r="M94" s="9">
        <f>(Table1[[#This Row],[Supply Rate]]+Table1[[#This Row],[Install Rate]])*Table1[[#This Row],[Cumulative]]</f>
        <v>1052.28</v>
      </c>
    </row>
    <row r="95" spans="1:13" ht="29" x14ac:dyDescent="0.35">
      <c r="A95" s="6">
        <v>55</v>
      </c>
      <c r="B95" s="11" t="s">
        <v>88</v>
      </c>
      <c r="C95" s="22">
        <v>40.450000000000003</v>
      </c>
      <c r="D95" s="8" t="s">
        <v>10</v>
      </c>
      <c r="E95" s="9">
        <v>187.76470588235293</v>
      </c>
      <c r="F95" s="9">
        <v>46.941176470588232</v>
      </c>
      <c r="G95" s="9">
        <f t="shared" si="18"/>
        <v>9493.8529411764703</v>
      </c>
      <c r="H95" s="22">
        <v>40.450000000000003</v>
      </c>
      <c r="I95" s="265">
        <v>0</v>
      </c>
      <c r="J95" s="22">
        <f>+Table1[[#This Row],[Previous Qty]]+Table1[[#This Row],[Current Qty]]</f>
        <v>40.450000000000003</v>
      </c>
      <c r="K95" s="9">
        <f>(Table1[[#This Row],[Supply Rate]]+Table1[[#This Row],[Install Rate]])*Table1[[#This Row],[Previous Qty]]</f>
        <v>9493.8529411764703</v>
      </c>
      <c r="L95" s="9">
        <f>+Table1[[#This Row],[Current Qty]]*(Table1[[#This Row],[Supply Rate]]+Table1[[#This Row],[Install Rate]])</f>
        <v>0</v>
      </c>
      <c r="M95" s="9">
        <f>(Table1[[#This Row],[Supply Rate]]+Table1[[#This Row],[Install Rate]])*Table1[[#This Row],[Cumulative]]</f>
        <v>9493.8529411764703</v>
      </c>
    </row>
    <row r="96" spans="1:13" x14ac:dyDescent="0.35">
      <c r="A96" s="6"/>
      <c r="B96" s="10" t="s">
        <v>54</v>
      </c>
      <c r="C96" s="22"/>
      <c r="D96" s="8"/>
      <c r="E96" s="9"/>
      <c r="F96" s="9"/>
      <c r="G96" s="9"/>
      <c r="H96" s="22">
        <v>0</v>
      </c>
      <c r="I96" s="265"/>
      <c r="J96" s="22">
        <f>+Table1[[#This Row],[Previous Qty]]+Table1[[#This Row],[Current Qty]]</f>
        <v>0</v>
      </c>
      <c r="K96" s="9">
        <f>(Table1[[#This Row],[Supply Rate]]+Table1[[#This Row],[Install Rate]])*Table1[[#This Row],[Previous Qty]]</f>
        <v>0</v>
      </c>
      <c r="L96" s="9">
        <f>+Table1[[#This Row],[Current Qty]]*(Table1[[#This Row],[Supply Rate]]+Table1[[#This Row],[Install Rate]])</f>
        <v>0</v>
      </c>
      <c r="M96" s="9">
        <f>(Table1[[#This Row],[Supply Rate]]+Table1[[#This Row],[Install Rate]])*Table1[[#This Row],[Cumulative]]</f>
        <v>0</v>
      </c>
    </row>
    <row r="97" spans="1:13" ht="29" x14ac:dyDescent="0.35">
      <c r="A97" s="6">
        <v>56</v>
      </c>
      <c r="B97" s="11" t="s">
        <v>89</v>
      </c>
      <c r="C97" s="22">
        <v>31.1</v>
      </c>
      <c r="D97" s="8" t="s">
        <v>10</v>
      </c>
      <c r="E97" s="9">
        <v>185</v>
      </c>
      <c r="F97" s="9">
        <v>577.8971061093248</v>
      </c>
      <c r="G97" s="9">
        <f t="shared" ref="G97:G101" si="19">(E97+F97)*C97</f>
        <v>23726.100000000002</v>
      </c>
      <c r="H97" s="22">
        <v>31.1</v>
      </c>
      <c r="I97" s="265">
        <v>0</v>
      </c>
      <c r="J97" s="22">
        <f>+Table1[[#This Row],[Previous Qty]]+Table1[[#This Row],[Current Qty]]</f>
        <v>31.1</v>
      </c>
      <c r="K97" s="9">
        <f>(Table1[[#This Row],[Supply Rate]]+Table1[[#This Row],[Install Rate]])*Table1[[#This Row],[Previous Qty]]</f>
        <v>23726.100000000002</v>
      </c>
      <c r="L97" s="9">
        <f>+Table1[[#This Row],[Current Qty]]*(Table1[[#This Row],[Supply Rate]]+Table1[[#This Row],[Install Rate]])</f>
        <v>0</v>
      </c>
      <c r="M97" s="9">
        <f>(Table1[[#This Row],[Supply Rate]]+Table1[[#This Row],[Install Rate]])*Table1[[#This Row],[Cumulative]]</f>
        <v>23726.100000000002</v>
      </c>
    </row>
    <row r="98" spans="1:13" ht="29" x14ac:dyDescent="0.35">
      <c r="A98" s="6">
        <v>57</v>
      </c>
      <c r="B98" s="11" t="s">
        <v>90</v>
      </c>
      <c r="C98" s="22">
        <v>51.76</v>
      </c>
      <c r="D98" s="8" t="s">
        <v>17</v>
      </c>
      <c r="E98" s="9">
        <v>232</v>
      </c>
      <c r="F98" s="9">
        <v>295.65919629057186</v>
      </c>
      <c r="G98" s="9">
        <f t="shared" si="19"/>
        <v>27311.639999999996</v>
      </c>
      <c r="H98" s="22">
        <v>51.76</v>
      </c>
      <c r="I98" s="265">
        <v>0</v>
      </c>
      <c r="J98" s="22">
        <f>+Table1[[#This Row],[Previous Qty]]+Table1[[#This Row],[Current Qty]]</f>
        <v>51.76</v>
      </c>
      <c r="K98" s="9">
        <f>(Table1[[#This Row],[Supply Rate]]+Table1[[#This Row],[Install Rate]])*Table1[[#This Row],[Previous Qty]]</f>
        <v>27311.639999999996</v>
      </c>
      <c r="L98" s="9">
        <f>+Table1[[#This Row],[Current Qty]]*(Table1[[#This Row],[Supply Rate]]+Table1[[#This Row],[Install Rate]])</f>
        <v>0</v>
      </c>
      <c r="M98" s="9">
        <f>(Table1[[#This Row],[Supply Rate]]+Table1[[#This Row],[Install Rate]])*Table1[[#This Row],[Cumulative]]</f>
        <v>27311.639999999996</v>
      </c>
    </row>
    <row r="99" spans="1:13" ht="29" x14ac:dyDescent="0.35">
      <c r="A99" s="6">
        <v>58</v>
      </c>
      <c r="B99" s="11" t="s">
        <v>91</v>
      </c>
      <c r="C99" s="22">
        <v>6.12</v>
      </c>
      <c r="D99" s="8" t="s">
        <v>10</v>
      </c>
      <c r="E99" s="9">
        <v>193</v>
      </c>
      <c r="F99" s="9">
        <v>83</v>
      </c>
      <c r="G99" s="9">
        <f t="shared" si="19"/>
        <v>1689.1200000000001</v>
      </c>
      <c r="H99" s="22">
        <v>6.12</v>
      </c>
      <c r="I99" s="265">
        <v>0</v>
      </c>
      <c r="J99" s="22">
        <f>+Table1[[#This Row],[Previous Qty]]+Table1[[#This Row],[Current Qty]]</f>
        <v>6.12</v>
      </c>
      <c r="K99" s="9">
        <f>(Table1[[#This Row],[Supply Rate]]+Table1[[#This Row],[Install Rate]])*Table1[[#This Row],[Previous Qty]]</f>
        <v>1689.1200000000001</v>
      </c>
      <c r="L99" s="9">
        <f>+Table1[[#This Row],[Current Qty]]*(Table1[[#This Row],[Supply Rate]]+Table1[[#This Row],[Install Rate]])</f>
        <v>0</v>
      </c>
      <c r="M99" s="9">
        <f>(Table1[[#This Row],[Supply Rate]]+Table1[[#This Row],[Install Rate]])*Table1[[#This Row],[Cumulative]]</f>
        <v>1689.1200000000001</v>
      </c>
    </row>
    <row r="100" spans="1:13" ht="29" x14ac:dyDescent="0.35">
      <c r="A100" s="6">
        <v>59</v>
      </c>
      <c r="B100" s="11" t="s">
        <v>92</v>
      </c>
      <c r="C100" s="22">
        <v>8.16</v>
      </c>
      <c r="D100" s="8" t="s">
        <v>10</v>
      </c>
      <c r="E100" s="9">
        <v>52</v>
      </c>
      <c r="F100" s="9">
        <v>27</v>
      </c>
      <c r="G100" s="9">
        <f t="shared" si="19"/>
        <v>644.64</v>
      </c>
      <c r="H100" s="22">
        <v>8.16</v>
      </c>
      <c r="I100" s="265">
        <v>0</v>
      </c>
      <c r="J100" s="22">
        <f>+Table1[[#This Row],[Previous Qty]]+Table1[[#This Row],[Current Qty]]</f>
        <v>8.16</v>
      </c>
      <c r="K100" s="9">
        <f>(Table1[[#This Row],[Supply Rate]]+Table1[[#This Row],[Install Rate]])*Table1[[#This Row],[Previous Qty]]</f>
        <v>644.64</v>
      </c>
      <c r="L100" s="9">
        <f>+Table1[[#This Row],[Current Qty]]*(Table1[[#This Row],[Supply Rate]]+Table1[[#This Row],[Install Rate]])</f>
        <v>0</v>
      </c>
      <c r="M100" s="9">
        <f>(Table1[[#This Row],[Supply Rate]]+Table1[[#This Row],[Install Rate]])*Table1[[#This Row],[Cumulative]]</f>
        <v>644.64</v>
      </c>
    </row>
    <row r="101" spans="1:13" ht="29" x14ac:dyDescent="0.35">
      <c r="A101" s="6">
        <v>60</v>
      </c>
      <c r="B101" s="11" t="s">
        <v>93</v>
      </c>
      <c r="C101" s="22">
        <v>17.11</v>
      </c>
      <c r="D101" s="8" t="s">
        <v>35</v>
      </c>
      <c r="E101" s="9">
        <v>105</v>
      </c>
      <c r="F101" s="9">
        <v>172</v>
      </c>
      <c r="G101" s="9">
        <f t="shared" si="19"/>
        <v>4739.47</v>
      </c>
      <c r="H101" s="22">
        <v>17.11</v>
      </c>
      <c r="I101" s="265">
        <v>0</v>
      </c>
      <c r="J101" s="22">
        <f>+Table1[[#This Row],[Previous Qty]]+Table1[[#This Row],[Current Qty]]</f>
        <v>17.11</v>
      </c>
      <c r="K101" s="9">
        <f>(Table1[[#This Row],[Supply Rate]]+Table1[[#This Row],[Install Rate]])*Table1[[#This Row],[Previous Qty]]</f>
        <v>4739.47</v>
      </c>
      <c r="L101" s="9">
        <f>+Table1[[#This Row],[Current Qty]]*(Table1[[#This Row],[Supply Rate]]+Table1[[#This Row],[Install Rate]])</f>
        <v>0</v>
      </c>
      <c r="M101" s="9">
        <f>(Table1[[#This Row],[Supply Rate]]+Table1[[#This Row],[Install Rate]])*Table1[[#This Row],[Cumulative]]</f>
        <v>4739.47</v>
      </c>
    </row>
    <row r="102" spans="1:13" ht="15" thickBot="1" x14ac:dyDescent="0.4">
      <c r="A102" s="54"/>
      <c r="B102" s="55"/>
      <c r="C102" s="56"/>
      <c r="D102" s="57"/>
      <c r="E102" s="58"/>
      <c r="F102" s="58"/>
      <c r="G102" s="58"/>
      <c r="H102" s="56">
        <v>0</v>
      </c>
      <c r="I102" s="268"/>
      <c r="J102" s="56">
        <f>+Table1[[#This Row],[Previous Qty]]+Table1[[#This Row],[Current Qty]]</f>
        <v>0</v>
      </c>
      <c r="K102" s="58">
        <f>(Table1[[#This Row],[Supply Rate]]+Table1[[#This Row],[Install Rate]])*Table1[[#This Row],[Previous Qty]]</f>
        <v>0</v>
      </c>
      <c r="L102" s="58">
        <f>+Table1[[#This Row],[Current Qty]]*(Table1[[#This Row],[Supply Rate]]+Table1[[#This Row],[Install Rate]])</f>
        <v>0</v>
      </c>
      <c r="M102" s="58">
        <f>(Table1[[#This Row],[Supply Rate]]+Table1[[#This Row],[Install Rate]])*Table1[[#This Row],[Cumulative]]</f>
        <v>0</v>
      </c>
    </row>
    <row r="103" spans="1:13" x14ac:dyDescent="0.35">
      <c r="A103" s="44"/>
      <c r="B103" s="59" t="s">
        <v>94</v>
      </c>
      <c r="C103" s="46"/>
      <c r="D103" s="47"/>
      <c r="E103" s="48"/>
      <c r="F103" s="48"/>
      <c r="G103" s="48"/>
      <c r="H103" s="46">
        <v>0</v>
      </c>
      <c r="I103" s="269"/>
      <c r="J103" s="46">
        <f>+Table1[[#This Row],[Previous Qty]]+Table1[[#This Row],[Current Qty]]</f>
        <v>0</v>
      </c>
      <c r="K103" s="48">
        <f>(Table1[[#This Row],[Supply Rate]]+Table1[[#This Row],[Install Rate]])*Table1[[#This Row],[Previous Qty]]</f>
        <v>0</v>
      </c>
      <c r="L103" s="48">
        <f>+Table1[[#This Row],[Current Qty]]*(Table1[[#This Row],[Supply Rate]]+Table1[[#This Row],[Install Rate]])</f>
        <v>0</v>
      </c>
      <c r="M103" s="48">
        <f>(Table1[[#This Row],[Supply Rate]]+Table1[[#This Row],[Install Rate]])*Table1[[#This Row],[Cumulative]]</f>
        <v>0</v>
      </c>
    </row>
    <row r="104" spans="1:13" x14ac:dyDescent="0.35">
      <c r="A104" s="6"/>
      <c r="B104" s="10" t="s">
        <v>8</v>
      </c>
      <c r="C104" s="22"/>
      <c r="D104" s="8"/>
      <c r="E104" s="9"/>
      <c r="F104" s="9"/>
      <c r="G104" s="9"/>
      <c r="H104" s="22">
        <v>0</v>
      </c>
      <c r="I104" s="265"/>
      <c r="J104" s="22">
        <f>+Table1[[#This Row],[Previous Qty]]+Table1[[#This Row],[Current Qty]]</f>
        <v>0</v>
      </c>
      <c r="K104" s="9">
        <f>(Table1[[#This Row],[Supply Rate]]+Table1[[#This Row],[Install Rate]])*Table1[[#This Row],[Previous Qty]]</f>
        <v>0</v>
      </c>
      <c r="L104" s="9">
        <f>+Table1[[#This Row],[Current Qty]]*(Table1[[#This Row],[Supply Rate]]+Table1[[#This Row],[Install Rate]])</f>
        <v>0</v>
      </c>
      <c r="M104" s="9">
        <f>(Table1[[#This Row],[Supply Rate]]+Table1[[#This Row],[Install Rate]])*Table1[[#This Row],[Cumulative]]</f>
        <v>0</v>
      </c>
    </row>
    <row r="105" spans="1:13" x14ac:dyDescent="0.35">
      <c r="A105" s="6"/>
      <c r="B105" s="11" t="s">
        <v>9</v>
      </c>
      <c r="C105" s="22"/>
      <c r="D105" s="8"/>
      <c r="E105" s="9"/>
      <c r="F105" s="9"/>
      <c r="G105" s="9"/>
      <c r="H105" s="22">
        <v>0</v>
      </c>
      <c r="I105" s="265"/>
      <c r="J105" s="22">
        <f>+Table1[[#This Row],[Previous Qty]]+Table1[[#This Row],[Current Qty]]</f>
        <v>0</v>
      </c>
      <c r="K105" s="9">
        <f>(Table1[[#This Row],[Supply Rate]]+Table1[[#This Row],[Install Rate]])*Table1[[#This Row],[Previous Qty]]</f>
        <v>0</v>
      </c>
      <c r="L105" s="9">
        <f>+Table1[[#This Row],[Current Qty]]*(Table1[[#This Row],[Supply Rate]]+Table1[[#This Row],[Install Rate]])</f>
        <v>0</v>
      </c>
      <c r="M105" s="9">
        <f>(Table1[[#This Row],[Supply Rate]]+Table1[[#This Row],[Install Rate]])*Table1[[#This Row],[Cumulative]]</f>
        <v>0</v>
      </c>
    </row>
    <row r="106" spans="1:13" ht="29" x14ac:dyDescent="0.35">
      <c r="A106" s="6">
        <v>61</v>
      </c>
      <c r="B106" s="11" t="s">
        <v>95</v>
      </c>
      <c r="C106" s="22">
        <v>16.72</v>
      </c>
      <c r="D106" s="8" t="s">
        <v>17</v>
      </c>
      <c r="E106" s="9">
        <v>220</v>
      </c>
      <c r="F106" s="9">
        <v>174</v>
      </c>
      <c r="G106" s="9">
        <f t="shared" ref="G106" si="20">(E106+F106)*C106</f>
        <v>6587.6799999999994</v>
      </c>
      <c r="H106" s="22">
        <v>16.72</v>
      </c>
      <c r="I106" s="265">
        <v>0</v>
      </c>
      <c r="J106" s="22">
        <f>+Table1[[#This Row],[Previous Qty]]+Table1[[#This Row],[Current Qty]]</f>
        <v>16.72</v>
      </c>
      <c r="K106" s="9">
        <f>(Table1[[#This Row],[Supply Rate]]+Table1[[#This Row],[Install Rate]])*Table1[[#This Row],[Previous Qty]]</f>
        <v>6587.6799999999994</v>
      </c>
      <c r="L106" s="9">
        <f>+Table1[[#This Row],[Current Qty]]*(Table1[[#This Row],[Supply Rate]]+Table1[[#This Row],[Install Rate]])</f>
        <v>0</v>
      </c>
      <c r="M106" s="9">
        <f>(Table1[[#This Row],[Supply Rate]]+Table1[[#This Row],[Install Rate]])*Table1[[#This Row],[Cumulative]]</f>
        <v>6587.6799999999994</v>
      </c>
    </row>
    <row r="107" spans="1:13" x14ac:dyDescent="0.35">
      <c r="A107" s="6"/>
      <c r="B107" s="10" t="s">
        <v>81</v>
      </c>
      <c r="C107" s="22"/>
      <c r="D107" s="8"/>
      <c r="E107" s="9"/>
      <c r="F107" s="9"/>
      <c r="G107" s="9"/>
      <c r="H107" s="22">
        <v>0</v>
      </c>
      <c r="I107" s="265"/>
      <c r="J107" s="22">
        <f>+Table1[[#This Row],[Previous Qty]]+Table1[[#This Row],[Current Qty]]</f>
        <v>0</v>
      </c>
      <c r="K107" s="9">
        <f>(Table1[[#This Row],[Supply Rate]]+Table1[[#This Row],[Install Rate]])*Table1[[#This Row],[Previous Qty]]</f>
        <v>0</v>
      </c>
      <c r="L107" s="9">
        <f>+Table1[[#This Row],[Current Qty]]*(Table1[[#This Row],[Supply Rate]]+Table1[[#This Row],[Install Rate]])</f>
        <v>0</v>
      </c>
      <c r="M107" s="9">
        <f>(Table1[[#This Row],[Supply Rate]]+Table1[[#This Row],[Install Rate]])*Table1[[#This Row],[Cumulative]]</f>
        <v>0</v>
      </c>
    </row>
    <row r="108" spans="1:13" x14ac:dyDescent="0.35">
      <c r="A108" s="6"/>
      <c r="B108" s="11" t="s">
        <v>82</v>
      </c>
      <c r="C108" s="22"/>
      <c r="D108" s="8"/>
      <c r="E108" s="9"/>
      <c r="F108" s="9"/>
      <c r="G108" s="9"/>
      <c r="H108" s="22">
        <v>0</v>
      </c>
      <c r="I108" s="265"/>
      <c r="J108" s="22">
        <f>+Table1[[#This Row],[Previous Qty]]+Table1[[#This Row],[Current Qty]]</f>
        <v>0</v>
      </c>
      <c r="K108" s="9">
        <f>(Table1[[#This Row],[Supply Rate]]+Table1[[#This Row],[Install Rate]])*Table1[[#This Row],[Previous Qty]]</f>
        <v>0</v>
      </c>
      <c r="L108" s="9">
        <f>+Table1[[#This Row],[Current Qty]]*(Table1[[#This Row],[Supply Rate]]+Table1[[#This Row],[Install Rate]])</f>
        <v>0</v>
      </c>
      <c r="M108" s="9">
        <f>(Table1[[#This Row],[Supply Rate]]+Table1[[#This Row],[Install Rate]])*Table1[[#This Row],[Cumulative]]</f>
        <v>0</v>
      </c>
    </row>
    <row r="109" spans="1:13" ht="29" x14ac:dyDescent="0.35">
      <c r="A109" s="6">
        <v>62</v>
      </c>
      <c r="B109" s="11" t="s">
        <v>83</v>
      </c>
      <c r="C109" s="22">
        <v>7.47</v>
      </c>
      <c r="D109" s="8" t="s">
        <v>17</v>
      </c>
      <c r="E109" s="9">
        <v>220</v>
      </c>
      <c r="F109" s="9">
        <v>174</v>
      </c>
      <c r="G109" s="9">
        <f t="shared" ref="G109:G110" si="21">(E109+F109)*C109</f>
        <v>2943.18</v>
      </c>
      <c r="H109" s="22">
        <v>7.47</v>
      </c>
      <c r="I109" s="265">
        <v>0</v>
      </c>
      <c r="J109" s="22">
        <f>+Table1[[#This Row],[Previous Qty]]+Table1[[#This Row],[Current Qty]]</f>
        <v>7.47</v>
      </c>
      <c r="K109" s="9">
        <f>(Table1[[#This Row],[Supply Rate]]+Table1[[#This Row],[Install Rate]])*Table1[[#This Row],[Previous Qty]]</f>
        <v>2943.18</v>
      </c>
      <c r="L109" s="9">
        <f>+Table1[[#This Row],[Current Qty]]*(Table1[[#This Row],[Supply Rate]]+Table1[[#This Row],[Install Rate]])</f>
        <v>0</v>
      </c>
      <c r="M109" s="9">
        <f>(Table1[[#This Row],[Supply Rate]]+Table1[[#This Row],[Install Rate]])*Table1[[#This Row],[Cumulative]]</f>
        <v>2943.18</v>
      </c>
    </row>
    <row r="110" spans="1:13" x14ac:dyDescent="0.35">
      <c r="A110" s="6">
        <v>63</v>
      </c>
      <c r="B110" s="11" t="s">
        <v>84</v>
      </c>
      <c r="C110" s="22">
        <v>17.36</v>
      </c>
      <c r="D110" s="8" t="s">
        <v>10</v>
      </c>
      <c r="E110" s="9">
        <v>178</v>
      </c>
      <c r="F110" s="9">
        <v>45</v>
      </c>
      <c r="G110" s="9">
        <f t="shared" si="21"/>
        <v>3871.2799999999997</v>
      </c>
      <c r="H110" s="22">
        <v>0</v>
      </c>
      <c r="I110" s="265"/>
      <c r="J110" s="22">
        <f>+Table1[[#This Row],[Previous Qty]]+Table1[[#This Row],[Current Qty]]</f>
        <v>0</v>
      </c>
      <c r="K110" s="9">
        <f>(Table1[[#This Row],[Supply Rate]]+Table1[[#This Row],[Install Rate]])*Table1[[#This Row],[Previous Qty]]</f>
        <v>0</v>
      </c>
      <c r="L110" s="9">
        <f>+Table1[[#This Row],[Current Qty]]*(Table1[[#This Row],[Supply Rate]]+Table1[[#This Row],[Install Rate]])</f>
        <v>0</v>
      </c>
      <c r="M110" s="9">
        <f>(Table1[[#This Row],[Supply Rate]]+Table1[[#This Row],[Install Rate]])*Table1[[#This Row],[Cumulative]]</f>
        <v>0</v>
      </c>
    </row>
    <row r="111" spans="1:13" x14ac:dyDescent="0.35">
      <c r="A111" s="6"/>
      <c r="B111" s="11" t="s">
        <v>85</v>
      </c>
      <c r="C111" s="22"/>
      <c r="D111" s="8"/>
      <c r="E111" s="9"/>
      <c r="F111" s="9"/>
      <c r="G111" s="9"/>
      <c r="H111" s="22">
        <v>0</v>
      </c>
      <c r="I111" s="265"/>
      <c r="J111" s="22">
        <f>+Table1[[#This Row],[Previous Qty]]+Table1[[#This Row],[Current Qty]]</f>
        <v>0</v>
      </c>
      <c r="K111" s="9">
        <f>(Table1[[#This Row],[Supply Rate]]+Table1[[#This Row],[Install Rate]])*Table1[[#This Row],[Previous Qty]]</f>
        <v>0</v>
      </c>
      <c r="L111" s="9">
        <f>+Table1[[#This Row],[Current Qty]]*(Table1[[#This Row],[Supply Rate]]+Table1[[#This Row],[Install Rate]])</f>
        <v>0</v>
      </c>
      <c r="M111" s="9">
        <f>(Table1[[#This Row],[Supply Rate]]+Table1[[#This Row],[Install Rate]])*Table1[[#This Row],[Cumulative]]</f>
        <v>0</v>
      </c>
    </row>
    <row r="112" spans="1:13" ht="29" x14ac:dyDescent="0.35">
      <c r="A112" s="6">
        <v>64</v>
      </c>
      <c r="B112" s="11" t="s">
        <v>96</v>
      </c>
      <c r="C112" s="22">
        <v>13.32</v>
      </c>
      <c r="D112" s="8" t="s">
        <v>10</v>
      </c>
      <c r="E112" s="9">
        <v>193</v>
      </c>
      <c r="F112" s="9">
        <v>83</v>
      </c>
      <c r="G112" s="9">
        <f t="shared" ref="G112:G114" si="22">(E112+F112)*C112</f>
        <v>3676.32</v>
      </c>
      <c r="H112" s="22">
        <v>13.32</v>
      </c>
      <c r="I112" s="265">
        <v>0</v>
      </c>
      <c r="J112" s="22">
        <f>+Table1[[#This Row],[Previous Qty]]+Table1[[#This Row],[Current Qty]]</f>
        <v>13.32</v>
      </c>
      <c r="K112" s="9">
        <f>(Table1[[#This Row],[Supply Rate]]+Table1[[#This Row],[Install Rate]])*Table1[[#This Row],[Previous Qty]]</f>
        <v>3676.32</v>
      </c>
      <c r="L112" s="9">
        <f>+Table1[[#This Row],[Current Qty]]*(Table1[[#This Row],[Supply Rate]]+Table1[[#This Row],[Install Rate]])</f>
        <v>0</v>
      </c>
      <c r="M112" s="9">
        <f>(Table1[[#This Row],[Supply Rate]]+Table1[[#This Row],[Install Rate]])*Table1[[#This Row],[Cumulative]]</f>
        <v>3676.32</v>
      </c>
    </row>
    <row r="113" spans="1:13" ht="29" x14ac:dyDescent="0.35">
      <c r="A113" s="6">
        <v>65</v>
      </c>
      <c r="B113" s="11" t="s">
        <v>97</v>
      </c>
      <c r="C113" s="22">
        <v>13.32</v>
      </c>
      <c r="D113" s="8" t="s">
        <v>10</v>
      </c>
      <c r="E113" s="9">
        <v>52</v>
      </c>
      <c r="F113" s="9">
        <v>27</v>
      </c>
      <c r="G113" s="9">
        <f t="shared" si="22"/>
        <v>1052.28</v>
      </c>
      <c r="H113" s="22">
        <v>13.32</v>
      </c>
      <c r="I113" s="265">
        <v>0</v>
      </c>
      <c r="J113" s="22">
        <f>+Table1[[#This Row],[Previous Qty]]+Table1[[#This Row],[Current Qty]]</f>
        <v>13.32</v>
      </c>
      <c r="K113" s="9">
        <f>(Table1[[#This Row],[Supply Rate]]+Table1[[#This Row],[Install Rate]])*Table1[[#This Row],[Previous Qty]]</f>
        <v>1052.28</v>
      </c>
      <c r="L113" s="9">
        <f>+Table1[[#This Row],[Current Qty]]*(Table1[[#This Row],[Supply Rate]]+Table1[[#This Row],[Install Rate]])</f>
        <v>0</v>
      </c>
      <c r="M113" s="9">
        <f>(Table1[[#This Row],[Supply Rate]]+Table1[[#This Row],[Install Rate]])*Table1[[#This Row],[Cumulative]]</f>
        <v>1052.28</v>
      </c>
    </row>
    <row r="114" spans="1:13" ht="29" x14ac:dyDescent="0.35">
      <c r="A114" s="6">
        <v>66</v>
      </c>
      <c r="B114" s="11" t="s">
        <v>88</v>
      </c>
      <c r="C114" s="22">
        <v>40.450000000000003</v>
      </c>
      <c r="D114" s="8" t="s">
        <v>10</v>
      </c>
      <c r="E114" s="9">
        <v>187.76470588235293</v>
      </c>
      <c r="F114" s="9">
        <v>46.941176470588232</v>
      </c>
      <c r="G114" s="9">
        <f t="shared" si="22"/>
        <v>9493.8529411764703</v>
      </c>
      <c r="H114" s="22">
        <v>40.450000000000003</v>
      </c>
      <c r="I114" s="265"/>
      <c r="J114" s="22">
        <f>+Table1[[#This Row],[Previous Qty]]+Table1[[#This Row],[Current Qty]]</f>
        <v>40.450000000000003</v>
      </c>
      <c r="K114" s="9">
        <f>(Table1[[#This Row],[Supply Rate]]+Table1[[#This Row],[Install Rate]])*Table1[[#This Row],[Previous Qty]]</f>
        <v>9493.8529411764703</v>
      </c>
      <c r="L114" s="9">
        <f>+Table1[[#This Row],[Current Qty]]*(Table1[[#This Row],[Supply Rate]]+Table1[[#This Row],[Install Rate]])</f>
        <v>0</v>
      </c>
      <c r="M114" s="9">
        <f>(Table1[[#This Row],[Supply Rate]]+Table1[[#This Row],[Install Rate]])*Table1[[#This Row],[Cumulative]]</f>
        <v>9493.8529411764703</v>
      </c>
    </row>
    <row r="115" spans="1:13" x14ac:dyDescent="0.35">
      <c r="A115" s="6"/>
      <c r="B115" s="10" t="s">
        <v>54</v>
      </c>
      <c r="C115" s="22"/>
      <c r="D115" s="8"/>
      <c r="E115" s="9"/>
      <c r="F115" s="9"/>
      <c r="G115" s="9"/>
      <c r="H115" s="22">
        <v>0</v>
      </c>
      <c r="I115" s="265"/>
      <c r="J115" s="22">
        <f>+Table1[[#This Row],[Previous Qty]]+Table1[[#This Row],[Current Qty]]</f>
        <v>0</v>
      </c>
      <c r="K115" s="9">
        <f>(Table1[[#This Row],[Supply Rate]]+Table1[[#This Row],[Install Rate]])*Table1[[#This Row],[Previous Qty]]</f>
        <v>0</v>
      </c>
      <c r="L115" s="9">
        <f>+Table1[[#This Row],[Current Qty]]*(Table1[[#This Row],[Supply Rate]]+Table1[[#This Row],[Install Rate]])</f>
        <v>0</v>
      </c>
      <c r="M115" s="9">
        <f>(Table1[[#This Row],[Supply Rate]]+Table1[[#This Row],[Install Rate]])*Table1[[#This Row],[Cumulative]]</f>
        <v>0</v>
      </c>
    </row>
    <row r="116" spans="1:13" ht="29" x14ac:dyDescent="0.35">
      <c r="A116" s="6">
        <v>67</v>
      </c>
      <c r="B116" s="11" t="s">
        <v>98</v>
      </c>
      <c r="C116" s="22">
        <v>31.56</v>
      </c>
      <c r="D116" s="8" t="s">
        <v>10</v>
      </c>
      <c r="E116" s="9">
        <v>185</v>
      </c>
      <c r="F116" s="9">
        <v>577.89702154626116</v>
      </c>
      <c r="G116" s="9">
        <f t="shared" ref="G116:G120" si="23">(E116+F116)*C116</f>
        <v>24077.030000000002</v>
      </c>
      <c r="H116" s="22">
        <v>31.56</v>
      </c>
      <c r="I116" s="265">
        <v>0</v>
      </c>
      <c r="J116" s="22">
        <f>+Table1[[#This Row],[Previous Qty]]+Table1[[#This Row],[Current Qty]]</f>
        <v>31.56</v>
      </c>
      <c r="K116" s="9">
        <f>(Table1[[#This Row],[Supply Rate]]+Table1[[#This Row],[Install Rate]])*Table1[[#This Row],[Previous Qty]]</f>
        <v>24077.030000000002</v>
      </c>
      <c r="L116" s="9">
        <f>+Table1[[#This Row],[Current Qty]]*(Table1[[#This Row],[Supply Rate]]+Table1[[#This Row],[Install Rate]])</f>
        <v>0</v>
      </c>
      <c r="M116" s="9">
        <f>(Table1[[#This Row],[Supply Rate]]+Table1[[#This Row],[Install Rate]])*Table1[[#This Row],[Cumulative]]</f>
        <v>24077.030000000002</v>
      </c>
    </row>
    <row r="117" spans="1:13" ht="29" x14ac:dyDescent="0.35">
      <c r="A117" s="6">
        <v>68</v>
      </c>
      <c r="B117" s="11" t="s">
        <v>99</v>
      </c>
      <c r="C117" s="22">
        <v>60</v>
      </c>
      <c r="D117" s="8" t="s">
        <v>17</v>
      </c>
      <c r="E117" s="9">
        <v>232</v>
      </c>
      <c r="F117" s="9">
        <v>280.05</v>
      </c>
      <c r="G117" s="9">
        <f t="shared" si="23"/>
        <v>30722.999999999996</v>
      </c>
      <c r="H117" s="22">
        <v>60</v>
      </c>
      <c r="I117" s="265">
        <v>0</v>
      </c>
      <c r="J117" s="22">
        <f>+Table1[[#This Row],[Previous Qty]]+Table1[[#This Row],[Current Qty]]</f>
        <v>60</v>
      </c>
      <c r="K117" s="9">
        <f>(Table1[[#This Row],[Supply Rate]]+Table1[[#This Row],[Install Rate]])*Table1[[#This Row],[Previous Qty]]</f>
        <v>30722.999999999996</v>
      </c>
      <c r="L117" s="9">
        <f>+Table1[[#This Row],[Current Qty]]*(Table1[[#This Row],[Supply Rate]]+Table1[[#This Row],[Install Rate]])</f>
        <v>0</v>
      </c>
      <c r="M117" s="9">
        <f>(Table1[[#This Row],[Supply Rate]]+Table1[[#This Row],[Install Rate]])*Table1[[#This Row],[Cumulative]]</f>
        <v>30722.999999999996</v>
      </c>
    </row>
    <row r="118" spans="1:13" ht="29" x14ac:dyDescent="0.35">
      <c r="A118" s="6">
        <v>69</v>
      </c>
      <c r="B118" s="11" t="s">
        <v>100</v>
      </c>
      <c r="C118" s="22">
        <v>6.12</v>
      </c>
      <c r="D118" s="8" t="s">
        <v>10</v>
      </c>
      <c r="E118" s="9">
        <v>193</v>
      </c>
      <c r="F118" s="9">
        <v>83</v>
      </c>
      <c r="G118" s="9">
        <f t="shared" si="23"/>
        <v>1689.1200000000001</v>
      </c>
      <c r="H118" s="22">
        <v>6.12</v>
      </c>
      <c r="I118" s="265">
        <v>0</v>
      </c>
      <c r="J118" s="22">
        <f>+Table1[[#This Row],[Previous Qty]]+Table1[[#This Row],[Current Qty]]</f>
        <v>6.12</v>
      </c>
      <c r="K118" s="9">
        <f>(Table1[[#This Row],[Supply Rate]]+Table1[[#This Row],[Install Rate]])*Table1[[#This Row],[Previous Qty]]</f>
        <v>1689.1200000000001</v>
      </c>
      <c r="L118" s="9">
        <f>+Table1[[#This Row],[Current Qty]]*(Table1[[#This Row],[Supply Rate]]+Table1[[#This Row],[Install Rate]])</f>
        <v>0</v>
      </c>
      <c r="M118" s="9">
        <f>(Table1[[#This Row],[Supply Rate]]+Table1[[#This Row],[Install Rate]])*Table1[[#This Row],[Cumulative]]</f>
        <v>1689.1200000000001</v>
      </c>
    </row>
    <row r="119" spans="1:13" ht="29" x14ac:dyDescent="0.35">
      <c r="A119" s="6">
        <v>70</v>
      </c>
      <c r="B119" s="11" t="s">
        <v>101</v>
      </c>
      <c r="C119" s="22">
        <v>8.16</v>
      </c>
      <c r="D119" s="8" t="s">
        <v>10</v>
      </c>
      <c r="E119" s="9">
        <v>52</v>
      </c>
      <c r="F119" s="9">
        <v>27</v>
      </c>
      <c r="G119" s="9">
        <f t="shared" si="23"/>
        <v>644.64</v>
      </c>
      <c r="H119" s="22">
        <v>8.16</v>
      </c>
      <c r="I119" s="265">
        <v>0</v>
      </c>
      <c r="J119" s="22">
        <f>+Table1[[#This Row],[Previous Qty]]+Table1[[#This Row],[Current Qty]]</f>
        <v>8.16</v>
      </c>
      <c r="K119" s="9">
        <f>(Table1[[#This Row],[Supply Rate]]+Table1[[#This Row],[Install Rate]])*Table1[[#This Row],[Previous Qty]]</f>
        <v>644.64</v>
      </c>
      <c r="L119" s="9">
        <f>+Table1[[#This Row],[Current Qty]]*(Table1[[#This Row],[Supply Rate]]+Table1[[#This Row],[Install Rate]])</f>
        <v>0</v>
      </c>
      <c r="M119" s="9">
        <f>(Table1[[#This Row],[Supply Rate]]+Table1[[#This Row],[Install Rate]])*Table1[[#This Row],[Cumulative]]</f>
        <v>644.64</v>
      </c>
    </row>
    <row r="120" spans="1:13" ht="29" x14ac:dyDescent="0.35">
      <c r="A120" s="6">
        <v>71</v>
      </c>
      <c r="B120" s="11" t="s">
        <v>102</v>
      </c>
      <c r="C120" s="22">
        <v>17.36</v>
      </c>
      <c r="D120" s="8" t="s">
        <v>35</v>
      </c>
      <c r="E120" s="9">
        <v>105</v>
      </c>
      <c r="F120" s="9">
        <v>172</v>
      </c>
      <c r="G120" s="9">
        <f t="shared" si="23"/>
        <v>4808.72</v>
      </c>
      <c r="H120" s="22">
        <v>17.36</v>
      </c>
      <c r="I120" s="265">
        <v>0</v>
      </c>
      <c r="J120" s="22">
        <f>+Table1[[#This Row],[Previous Qty]]+Table1[[#This Row],[Current Qty]]</f>
        <v>17.36</v>
      </c>
      <c r="K120" s="9">
        <f>(Table1[[#This Row],[Supply Rate]]+Table1[[#This Row],[Install Rate]])*Table1[[#This Row],[Previous Qty]]</f>
        <v>4808.72</v>
      </c>
      <c r="L120" s="9">
        <f>+Table1[[#This Row],[Current Qty]]*(Table1[[#This Row],[Supply Rate]]+Table1[[#This Row],[Install Rate]])</f>
        <v>0</v>
      </c>
      <c r="M120" s="9">
        <f>(Table1[[#This Row],[Supply Rate]]+Table1[[#This Row],[Install Rate]])*Table1[[#This Row],[Cumulative]]</f>
        <v>4808.72</v>
      </c>
    </row>
    <row r="121" spans="1:13" ht="15" thickBot="1" x14ac:dyDescent="0.4">
      <c r="A121" s="54"/>
      <c r="B121" s="55"/>
      <c r="C121" s="56"/>
      <c r="D121" s="57"/>
      <c r="E121" s="58"/>
      <c r="F121" s="58"/>
      <c r="G121" s="58"/>
      <c r="H121" s="56">
        <v>0</v>
      </c>
      <c r="I121" s="268"/>
      <c r="J121" s="56">
        <f>+Table1[[#This Row],[Previous Qty]]+Table1[[#This Row],[Current Qty]]</f>
        <v>0</v>
      </c>
      <c r="K121" s="58">
        <f>(Table1[[#This Row],[Supply Rate]]+Table1[[#This Row],[Install Rate]])*Table1[[#This Row],[Previous Qty]]</f>
        <v>0</v>
      </c>
      <c r="L121" s="58">
        <f>+Table1[[#This Row],[Current Qty]]*(Table1[[#This Row],[Supply Rate]]+Table1[[#This Row],[Install Rate]])</f>
        <v>0</v>
      </c>
      <c r="M121" s="58">
        <f>(Table1[[#This Row],[Supply Rate]]+Table1[[#This Row],[Install Rate]])*Table1[[#This Row],[Cumulative]]</f>
        <v>0</v>
      </c>
    </row>
    <row r="122" spans="1:13" x14ac:dyDescent="0.35">
      <c r="A122" s="44"/>
      <c r="B122" s="59" t="s">
        <v>103</v>
      </c>
      <c r="C122" s="46"/>
      <c r="D122" s="47"/>
      <c r="E122" s="48"/>
      <c r="F122" s="48"/>
      <c r="G122" s="48"/>
      <c r="H122" s="46">
        <v>0</v>
      </c>
      <c r="I122" s="269"/>
      <c r="J122" s="46">
        <f>+Table1[[#This Row],[Previous Qty]]+Table1[[#This Row],[Current Qty]]</f>
        <v>0</v>
      </c>
      <c r="K122" s="48">
        <f>(Table1[[#This Row],[Supply Rate]]+Table1[[#This Row],[Install Rate]])*Table1[[#This Row],[Previous Qty]]</f>
        <v>0</v>
      </c>
      <c r="L122" s="48">
        <f>+Table1[[#This Row],[Current Qty]]*(Table1[[#This Row],[Supply Rate]]+Table1[[#This Row],[Install Rate]])</f>
        <v>0</v>
      </c>
      <c r="M122" s="48">
        <f>(Table1[[#This Row],[Supply Rate]]+Table1[[#This Row],[Install Rate]])*Table1[[#This Row],[Cumulative]]</f>
        <v>0</v>
      </c>
    </row>
    <row r="123" spans="1:13" x14ac:dyDescent="0.35">
      <c r="A123" s="6"/>
      <c r="B123" s="10" t="s">
        <v>8</v>
      </c>
      <c r="C123" s="22"/>
      <c r="D123" s="8"/>
      <c r="E123" s="9"/>
      <c r="F123" s="9"/>
      <c r="G123" s="9"/>
      <c r="H123" s="22">
        <v>0</v>
      </c>
      <c r="I123" s="265"/>
      <c r="J123" s="22">
        <f>+Table1[[#This Row],[Previous Qty]]+Table1[[#This Row],[Current Qty]]</f>
        <v>0</v>
      </c>
      <c r="K123" s="9">
        <f>(Table1[[#This Row],[Supply Rate]]+Table1[[#This Row],[Install Rate]])*Table1[[#This Row],[Previous Qty]]</f>
        <v>0</v>
      </c>
      <c r="L123" s="9">
        <f>+Table1[[#This Row],[Current Qty]]*(Table1[[#This Row],[Supply Rate]]+Table1[[#This Row],[Install Rate]])</f>
        <v>0</v>
      </c>
      <c r="M123" s="9">
        <f>(Table1[[#This Row],[Supply Rate]]+Table1[[#This Row],[Install Rate]])*Table1[[#This Row],[Cumulative]]</f>
        <v>0</v>
      </c>
    </row>
    <row r="124" spans="1:13" x14ac:dyDescent="0.35">
      <c r="A124" s="6"/>
      <c r="B124" s="11" t="s">
        <v>9</v>
      </c>
      <c r="C124" s="22"/>
      <c r="D124" s="8"/>
      <c r="E124" s="9"/>
      <c r="F124" s="9"/>
      <c r="G124" s="9"/>
      <c r="H124" s="22">
        <v>0</v>
      </c>
      <c r="I124" s="265"/>
      <c r="J124" s="22">
        <f>+Table1[[#This Row],[Previous Qty]]+Table1[[#This Row],[Current Qty]]</f>
        <v>0</v>
      </c>
      <c r="K124" s="9">
        <f>(Table1[[#This Row],[Supply Rate]]+Table1[[#This Row],[Install Rate]])*Table1[[#This Row],[Previous Qty]]</f>
        <v>0</v>
      </c>
      <c r="L124" s="9">
        <f>+Table1[[#This Row],[Current Qty]]*(Table1[[#This Row],[Supply Rate]]+Table1[[#This Row],[Install Rate]])</f>
        <v>0</v>
      </c>
      <c r="M124" s="9">
        <f>(Table1[[#This Row],[Supply Rate]]+Table1[[#This Row],[Install Rate]])*Table1[[#This Row],[Cumulative]]</f>
        <v>0</v>
      </c>
    </row>
    <row r="125" spans="1:13" ht="29" x14ac:dyDescent="0.35">
      <c r="A125" s="6">
        <v>72</v>
      </c>
      <c r="B125" s="11" t="s">
        <v>95</v>
      </c>
      <c r="C125" s="22">
        <v>25.34</v>
      </c>
      <c r="D125" s="8" t="s">
        <v>17</v>
      </c>
      <c r="E125" s="9">
        <v>220</v>
      </c>
      <c r="F125" s="9">
        <v>174</v>
      </c>
      <c r="G125" s="9">
        <f t="shared" ref="G125" si="24">(E125+F125)*C125</f>
        <v>9983.9599999999991</v>
      </c>
      <c r="H125" s="22">
        <v>25.34</v>
      </c>
      <c r="I125" s="265">
        <v>0</v>
      </c>
      <c r="J125" s="22">
        <f>+Table1[[#This Row],[Previous Qty]]+Table1[[#This Row],[Current Qty]]</f>
        <v>25.34</v>
      </c>
      <c r="K125" s="9">
        <f>(Table1[[#This Row],[Supply Rate]]+Table1[[#This Row],[Install Rate]])*Table1[[#This Row],[Previous Qty]]</f>
        <v>9983.9599999999991</v>
      </c>
      <c r="L125" s="9">
        <f>+Table1[[#This Row],[Current Qty]]*(Table1[[#This Row],[Supply Rate]]+Table1[[#This Row],[Install Rate]])</f>
        <v>0</v>
      </c>
      <c r="M125" s="9">
        <f>(Table1[[#This Row],[Supply Rate]]+Table1[[#This Row],[Install Rate]])*Table1[[#This Row],[Cumulative]]</f>
        <v>9983.9599999999991</v>
      </c>
    </row>
    <row r="126" spans="1:13" x14ac:dyDescent="0.35">
      <c r="A126" s="6"/>
      <c r="B126" s="10" t="s">
        <v>81</v>
      </c>
      <c r="C126" s="22"/>
      <c r="D126" s="8"/>
      <c r="E126" s="9"/>
      <c r="F126" s="9"/>
      <c r="G126" s="9"/>
      <c r="H126" s="22">
        <v>0</v>
      </c>
      <c r="I126" s="265"/>
      <c r="J126" s="22">
        <f>+Table1[[#This Row],[Previous Qty]]+Table1[[#This Row],[Current Qty]]</f>
        <v>0</v>
      </c>
      <c r="K126" s="9">
        <f>(Table1[[#This Row],[Supply Rate]]+Table1[[#This Row],[Install Rate]])*Table1[[#This Row],[Previous Qty]]</f>
        <v>0</v>
      </c>
      <c r="L126" s="9">
        <f>+Table1[[#This Row],[Current Qty]]*(Table1[[#This Row],[Supply Rate]]+Table1[[#This Row],[Install Rate]])</f>
        <v>0</v>
      </c>
      <c r="M126" s="9">
        <f>(Table1[[#This Row],[Supply Rate]]+Table1[[#This Row],[Install Rate]])*Table1[[#This Row],[Cumulative]]</f>
        <v>0</v>
      </c>
    </row>
    <row r="127" spans="1:13" x14ac:dyDescent="0.35">
      <c r="A127" s="6"/>
      <c r="B127" s="11" t="s">
        <v>82</v>
      </c>
      <c r="C127" s="22"/>
      <c r="D127" s="8"/>
      <c r="E127" s="9"/>
      <c r="F127" s="9"/>
      <c r="G127" s="9"/>
      <c r="H127" s="22">
        <v>0</v>
      </c>
      <c r="I127" s="265"/>
      <c r="J127" s="22">
        <f>+Table1[[#This Row],[Previous Qty]]+Table1[[#This Row],[Current Qty]]</f>
        <v>0</v>
      </c>
      <c r="K127" s="9">
        <f>(Table1[[#This Row],[Supply Rate]]+Table1[[#This Row],[Install Rate]])*Table1[[#This Row],[Previous Qty]]</f>
        <v>0</v>
      </c>
      <c r="L127" s="9">
        <f>+Table1[[#This Row],[Current Qty]]*(Table1[[#This Row],[Supply Rate]]+Table1[[#This Row],[Install Rate]])</f>
        <v>0</v>
      </c>
      <c r="M127" s="9">
        <f>(Table1[[#This Row],[Supply Rate]]+Table1[[#This Row],[Install Rate]])*Table1[[#This Row],[Cumulative]]</f>
        <v>0</v>
      </c>
    </row>
    <row r="128" spans="1:13" ht="29" x14ac:dyDescent="0.35">
      <c r="A128" s="6">
        <v>73</v>
      </c>
      <c r="B128" s="11" t="s">
        <v>104</v>
      </c>
      <c r="C128" s="22">
        <v>3.91</v>
      </c>
      <c r="D128" s="8" t="s">
        <v>17</v>
      </c>
      <c r="E128" s="9">
        <v>220</v>
      </c>
      <c r="F128" s="9">
        <v>174</v>
      </c>
      <c r="G128" s="9">
        <f t="shared" ref="G128:G129" si="25">(E128+F128)*C128</f>
        <v>1540.54</v>
      </c>
      <c r="H128" s="22">
        <v>0</v>
      </c>
      <c r="I128" s="265"/>
      <c r="J128" s="22">
        <f>+Table1[[#This Row],[Previous Qty]]+Table1[[#This Row],[Current Qty]]</f>
        <v>0</v>
      </c>
      <c r="K128" s="9">
        <f>(Table1[[#This Row],[Supply Rate]]+Table1[[#This Row],[Install Rate]])*Table1[[#This Row],[Previous Qty]]</f>
        <v>0</v>
      </c>
      <c r="L128" s="9">
        <f>+Table1[[#This Row],[Current Qty]]*(Table1[[#This Row],[Supply Rate]]+Table1[[#This Row],[Install Rate]])</f>
        <v>0</v>
      </c>
      <c r="M128" s="9">
        <f>(Table1[[#This Row],[Supply Rate]]+Table1[[#This Row],[Install Rate]])*Table1[[#This Row],[Cumulative]]</f>
        <v>0</v>
      </c>
    </row>
    <row r="129" spans="1:13" ht="29" x14ac:dyDescent="0.35">
      <c r="A129" s="6">
        <v>74</v>
      </c>
      <c r="B129" s="11" t="s">
        <v>105</v>
      </c>
      <c r="C129" s="22">
        <v>19.53</v>
      </c>
      <c r="D129" s="8" t="s">
        <v>17</v>
      </c>
      <c r="E129" s="9">
        <v>220</v>
      </c>
      <c r="F129" s="9">
        <v>174</v>
      </c>
      <c r="G129" s="9">
        <f t="shared" si="25"/>
        <v>7694.8200000000006</v>
      </c>
      <c r="H129" s="22">
        <v>0</v>
      </c>
      <c r="I129" s="265"/>
      <c r="J129" s="22">
        <f>+Table1[[#This Row],[Previous Qty]]+Table1[[#This Row],[Current Qty]]</f>
        <v>0</v>
      </c>
      <c r="K129" s="9">
        <f>(Table1[[#This Row],[Supply Rate]]+Table1[[#This Row],[Install Rate]])*Table1[[#This Row],[Previous Qty]]</f>
        <v>0</v>
      </c>
      <c r="L129" s="9">
        <f>+Table1[[#This Row],[Current Qty]]*(Table1[[#This Row],[Supply Rate]]+Table1[[#This Row],[Install Rate]])</f>
        <v>0</v>
      </c>
      <c r="M129" s="9">
        <f>(Table1[[#This Row],[Supply Rate]]+Table1[[#This Row],[Install Rate]])*Table1[[#This Row],[Cumulative]]</f>
        <v>0</v>
      </c>
    </row>
    <row r="130" spans="1:13" x14ac:dyDescent="0.35">
      <c r="A130" s="6"/>
      <c r="B130" s="11" t="s">
        <v>50</v>
      </c>
      <c r="C130" s="22"/>
      <c r="D130" s="8"/>
      <c r="E130" s="9"/>
      <c r="F130" s="9"/>
      <c r="G130" s="9"/>
      <c r="H130" s="22">
        <v>0</v>
      </c>
      <c r="I130" s="265"/>
      <c r="J130" s="22">
        <f>+Table1[[#This Row],[Previous Qty]]+Table1[[#This Row],[Current Qty]]</f>
        <v>0</v>
      </c>
      <c r="K130" s="9">
        <f>(Table1[[#This Row],[Supply Rate]]+Table1[[#This Row],[Install Rate]])*Table1[[#This Row],[Previous Qty]]</f>
        <v>0</v>
      </c>
      <c r="L130" s="9">
        <f>+Table1[[#This Row],[Current Qty]]*(Table1[[#This Row],[Supply Rate]]+Table1[[#This Row],[Install Rate]])</f>
        <v>0</v>
      </c>
      <c r="M130" s="9">
        <f>(Table1[[#This Row],[Supply Rate]]+Table1[[#This Row],[Install Rate]])*Table1[[#This Row],[Cumulative]]</f>
        <v>0</v>
      </c>
    </row>
    <row r="131" spans="1:13" ht="29" x14ac:dyDescent="0.35">
      <c r="A131" s="6">
        <v>75</v>
      </c>
      <c r="B131" s="11" t="s">
        <v>106</v>
      </c>
      <c r="C131" s="22">
        <v>5.69</v>
      </c>
      <c r="D131" s="8" t="s">
        <v>17</v>
      </c>
      <c r="E131" s="9">
        <v>220</v>
      </c>
      <c r="F131" s="9">
        <v>174</v>
      </c>
      <c r="G131" s="9">
        <f t="shared" ref="G131:G132" si="26">(E131+F131)*C131</f>
        <v>2241.86</v>
      </c>
      <c r="H131" s="22">
        <v>0</v>
      </c>
      <c r="I131" s="265"/>
      <c r="J131" s="22">
        <f>+Table1[[#This Row],[Previous Qty]]+Table1[[#This Row],[Current Qty]]</f>
        <v>0</v>
      </c>
      <c r="K131" s="9">
        <f>(Table1[[#This Row],[Supply Rate]]+Table1[[#This Row],[Install Rate]])*Table1[[#This Row],[Previous Qty]]</f>
        <v>0</v>
      </c>
      <c r="L131" s="9">
        <f>+Table1[[#This Row],[Current Qty]]*(Table1[[#This Row],[Supply Rate]]+Table1[[#This Row],[Install Rate]])</f>
        <v>0</v>
      </c>
      <c r="M131" s="9">
        <f>(Table1[[#This Row],[Supply Rate]]+Table1[[#This Row],[Install Rate]])*Table1[[#This Row],[Cumulative]]</f>
        <v>0</v>
      </c>
    </row>
    <row r="132" spans="1:13" ht="29" x14ac:dyDescent="0.35">
      <c r="A132" s="6">
        <v>76</v>
      </c>
      <c r="B132" s="11" t="s">
        <v>107</v>
      </c>
      <c r="C132" s="22">
        <v>48.51</v>
      </c>
      <c r="D132" s="8" t="s">
        <v>17</v>
      </c>
      <c r="E132" s="9">
        <v>220</v>
      </c>
      <c r="F132" s="9">
        <v>174</v>
      </c>
      <c r="G132" s="9">
        <f t="shared" si="26"/>
        <v>19112.939999999999</v>
      </c>
      <c r="H132" s="22">
        <v>0</v>
      </c>
      <c r="I132" s="265"/>
      <c r="J132" s="22">
        <f>+Table1[[#This Row],[Previous Qty]]+Table1[[#This Row],[Current Qty]]</f>
        <v>0</v>
      </c>
      <c r="K132" s="9">
        <f>(Table1[[#This Row],[Supply Rate]]+Table1[[#This Row],[Install Rate]])*Table1[[#This Row],[Previous Qty]]</f>
        <v>0</v>
      </c>
      <c r="L132" s="9">
        <f>+Table1[[#This Row],[Current Qty]]*(Table1[[#This Row],[Supply Rate]]+Table1[[#This Row],[Install Rate]])</f>
        <v>0</v>
      </c>
      <c r="M132" s="9">
        <f>(Table1[[#This Row],[Supply Rate]]+Table1[[#This Row],[Install Rate]])*Table1[[#This Row],[Cumulative]]</f>
        <v>0</v>
      </c>
    </row>
    <row r="133" spans="1:13" x14ac:dyDescent="0.35">
      <c r="A133" s="6"/>
      <c r="B133" s="11" t="s">
        <v>85</v>
      </c>
      <c r="C133" s="22"/>
      <c r="D133" s="8"/>
      <c r="E133" s="9"/>
      <c r="F133" s="9"/>
      <c r="G133" s="9"/>
      <c r="H133" s="22">
        <v>0</v>
      </c>
      <c r="I133" s="265"/>
      <c r="J133" s="22">
        <f>+Table1[[#This Row],[Previous Qty]]+Table1[[#This Row],[Current Qty]]</f>
        <v>0</v>
      </c>
      <c r="K133" s="9">
        <f>(Table1[[#This Row],[Supply Rate]]+Table1[[#This Row],[Install Rate]])*Table1[[#This Row],[Previous Qty]]</f>
        <v>0</v>
      </c>
      <c r="L133" s="9">
        <f>+Table1[[#This Row],[Current Qty]]*(Table1[[#This Row],[Supply Rate]]+Table1[[#This Row],[Install Rate]])</f>
        <v>0</v>
      </c>
      <c r="M133" s="9">
        <f>(Table1[[#This Row],[Supply Rate]]+Table1[[#This Row],[Install Rate]])*Table1[[#This Row],[Cumulative]]</f>
        <v>0</v>
      </c>
    </row>
    <row r="134" spans="1:13" ht="29" x14ac:dyDescent="0.35">
      <c r="A134" s="6">
        <v>77</v>
      </c>
      <c r="B134" s="11" t="s">
        <v>108</v>
      </c>
      <c r="C134" s="22">
        <v>11</v>
      </c>
      <c r="D134" s="8" t="s">
        <v>10</v>
      </c>
      <c r="E134" s="9">
        <v>193</v>
      </c>
      <c r="F134" s="9">
        <v>83</v>
      </c>
      <c r="G134" s="9">
        <f t="shared" ref="G134:G135" si="27">(E134+F134)*C134</f>
        <v>3036</v>
      </c>
      <c r="H134" s="22">
        <v>0</v>
      </c>
      <c r="I134" s="265"/>
      <c r="J134" s="22">
        <f>+Table1[[#This Row],[Previous Qty]]+Table1[[#This Row],[Current Qty]]</f>
        <v>0</v>
      </c>
      <c r="K134" s="9">
        <f>(Table1[[#This Row],[Supply Rate]]+Table1[[#This Row],[Install Rate]])*Table1[[#This Row],[Previous Qty]]</f>
        <v>0</v>
      </c>
      <c r="L134" s="9">
        <f>+Table1[[#This Row],[Current Qty]]*(Table1[[#This Row],[Supply Rate]]+Table1[[#This Row],[Install Rate]])</f>
        <v>0</v>
      </c>
      <c r="M134" s="9">
        <f>(Table1[[#This Row],[Supply Rate]]+Table1[[#This Row],[Install Rate]])*Table1[[#This Row],[Cumulative]]</f>
        <v>0</v>
      </c>
    </row>
    <row r="135" spans="1:13" ht="29" x14ac:dyDescent="0.35">
      <c r="A135" s="6">
        <v>78</v>
      </c>
      <c r="B135" s="11" t="s">
        <v>109</v>
      </c>
      <c r="C135" s="22">
        <v>11</v>
      </c>
      <c r="D135" s="8" t="s">
        <v>10</v>
      </c>
      <c r="E135" s="9">
        <v>52</v>
      </c>
      <c r="F135" s="9">
        <v>27</v>
      </c>
      <c r="G135" s="9">
        <f t="shared" si="27"/>
        <v>869</v>
      </c>
      <c r="H135" s="22">
        <v>0</v>
      </c>
      <c r="I135" s="265"/>
      <c r="J135" s="22">
        <f>+Table1[[#This Row],[Previous Qty]]+Table1[[#This Row],[Current Qty]]</f>
        <v>0</v>
      </c>
      <c r="K135" s="9">
        <f>(Table1[[#This Row],[Supply Rate]]+Table1[[#This Row],[Install Rate]])*Table1[[#This Row],[Previous Qty]]</f>
        <v>0</v>
      </c>
      <c r="L135" s="9">
        <f>+Table1[[#This Row],[Current Qty]]*(Table1[[#This Row],[Supply Rate]]+Table1[[#This Row],[Install Rate]])</f>
        <v>0</v>
      </c>
      <c r="M135" s="9">
        <f>(Table1[[#This Row],[Supply Rate]]+Table1[[#This Row],[Install Rate]])*Table1[[#This Row],[Cumulative]]</f>
        <v>0</v>
      </c>
    </row>
    <row r="136" spans="1:13" x14ac:dyDescent="0.35">
      <c r="A136" s="6"/>
      <c r="B136" s="10" t="s">
        <v>54</v>
      </c>
      <c r="C136" s="22"/>
      <c r="D136" s="8"/>
      <c r="E136" s="9"/>
      <c r="F136" s="9"/>
      <c r="G136" s="9"/>
      <c r="H136" s="22">
        <v>0</v>
      </c>
      <c r="I136" s="265"/>
      <c r="J136" s="22">
        <f>+Table1[[#This Row],[Previous Qty]]+Table1[[#This Row],[Current Qty]]</f>
        <v>0</v>
      </c>
      <c r="K136" s="9">
        <f>(Table1[[#This Row],[Supply Rate]]+Table1[[#This Row],[Install Rate]])*Table1[[#This Row],[Previous Qty]]</f>
        <v>0</v>
      </c>
      <c r="L136" s="9">
        <f>+Table1[[#This Row],[Current Qty]]*(Table1[[#This Row],[Supply Rate]]+Table1[[#This Row],[Install Rate]])</f>
        <v>0</v>
      </c>
      <c r="M136" s="9">
        <f>(Table1[[#This Row],[Supply Rate]]+Table1[[#This Row],[Install Rate]])*Table1[[#This Row],[Cumulative]]</f>
        <v>0</v>
      </c>
    </row>
    <row r="137" spans="1:13" x14ac:dyDescent="0.35">
      <c r="A137" s="6">
        <v>79</v>
      </c>
      <c r="B137" s="11" t="s">
        <v>110</v>
      </c>
      <c r="C137" s="22">
        <v>14</v>
      </c>
      <c r="D137" s="8" t="s">
        <v>36</v>
      </c>
      <c r="E137" s="9">
        <v>185</v>
      </c>
      <c r="F137" s="9">
        <v>433.84142857142854</v>
      </c>
      <c r="G137" s="9">
        <f t="shared" ref="G137:G141" si="28">(E137+F137)*C137</f>
        <v>8663.7799999999988</v>
      </c>
      <c r="H137" s="22">
        <v>0</v>
      </c>
      <c r="I137" s="265"/>
      <c r="J137" s="22">
        <f>+Table1[[#This Row],[Previous Qty]]+Table1[[#This Row],[Current Qty]]</f>
        <v>0</v>
      </c>
      <c r="K137" s="9">
        <f>(Table1[[#This Row],[Supply Rate]]+Table1[[#This Row],[Install Rate]])*Table1[[#This Row],[Previous Qty]]</f>
        <v>0</v>
      </c>
      <c r="L137" s="9">
        <f>+Table1[[#This Row],[Current Qty]]*(Table1[[#This Row],[Supply Rate]]+Table1[[#This Row],[Install Rate]])</f>
        <v>0</v>
      </c>
      <c r="M137" s="9">
        <f>(Table1[[#This Row],[Supply Rate]]+Table1[[#This Row],[Install Rate]])*Table1[[#This Row],[Cumulative]]</f>
        <v>0</v>
      </c>
    </row>
    <row r="138" spans="1:13" ht="29" x14ac:dyDescent="0.35">
      <c r="A138" s="6">
        <v>80</v>
      </c>
      <c r="B138" s="11" t="s">
        <v>111</v>
      </c>
      <c r="C138" s="22">
        <v>45.940000000000005</v>
      </c>
      <c r="D138" s="8" t="s">
        <v>17</v>
      </c>
      <c r="E138" s="9">
        <v>232</v>
      </c>
      <c r="F138" s="9">
        <v>241.92163691771876</v>
      </c>
      <c r="G138" s="9">
        <f t="shared" si="28"/>
        <v>21771.96</v>
      </c>
      <c r="H138" s="22">
        <v>0</v>
      </c>
      <c r="I138" s="265"/>
      <c r="J138" s="22">
        <f>+Table1[[#This Row],[Previous Qty]]+Table1[[#This Row],[Current Qty]]</f>
        <v>0</v>
      </c>
      <c r="K138" s="9">
        <f>(Table1[[#This Row],[Supply Rate]]+Table1[[#This Row],[Install Rate]])*Table1[[#This Row],[Previous Qty]]</f>
        <v>0</v>
      </c>
      <c r="L138" s="9">
        <f>+Table1[[#This Row],[Current Qty]]*(Table1[[#This Row],[Supply Rate]]+Table1[[#This Row],[Install Rate]])</f>
        <v>0</v>
      </c>
      <c r="M138" s="9">
        <f>(Table1[[#This Row],[Supply Rate]]+Table1[[#This Row],[Install Rate]])*Table1[[#This Row],[Cumulative]]</f>
        <v>0</v>
      </c>
    </row>
    <row r="139" spans="1:13" ht="29" x14ac:dyDescent="0.35">
      <c r="A139" s="6">
        <v>81</v>
      </c>
      <c r="B139" s="11" t="s">
        <v>112</v>
      </c>
      <c r="C139" s="22">
        <v>7.5</v>
      </c>
      <c r="D139" s="8" t="s">
        <v>10</v>
      </c>
      <c r="E139" s="9">
        <v>193</v>
      </c>
      <c r="F139" s="9">
        <v>83</v>
      </c>
      <c r="G139" s="9">
        <f t="shared" si="28"/>
        <v>2070</v>
      </c>
      <c r="H139" s="22">
        <v>0</v>
      </c>
      <c r="I139" s="265"/>
      <c r="J139" s="22">
        <f>+Table1[[#This Row],[Previous Qty]]+Table1[[#This Row],[Current Qty]]</f>
        <v>0</v>
      </c>
      <c r="K139" s="9">
        <f>(Table1[[#This Row],[Supply Rate]]+Table1[[#This Row],[Install Rate]])*Table1[[#This Row],[Previous Qty]]</f>
        <v>0</v>
      </c>
      <c r="L139" s="9">
        <f>+Table1[[#This Row],[Current Qty]]*(Table1[[#This Row],[Supply Rate]]+Table1[[#This Row],[Install Rate]])</f>
        <v>0</v>
      </c>
      <c r="M139" s="9">
        <f>(Table1[[#This Row],[Supply Rate]]+Table1[[#This Row],[Install Rate]])*Table1[[#This Row],[Cumulative]]</f>
        <v>0</v>
      </c>
    </row>
    <row r="140" spans="1:13" ht="29" x14ac:dyDescent="0.35">
      <c r="A140" s="6">
        <v>82</v>
      </c>
      <c r="B140" s="11" t="s">
        <v>113</v>
      </c>
      <c r="C140" s="22">
        <v>7.5</v>
      </c>
      <c r="D140" s="8" t="s">
        <v>10</v>
      </c>
      <c r="E140" s="9">
        <v>52</v>
      </c>
      <c r="F140" s="9">
        <v>27</v>
      </c>
      <c r="G140" s="9">
        <f t="shared" si="28"/>
        <v>592.5</v>
      </c>
      <c r="H140" s="22">
        <v>0</v>
      </c>
      <c r="I140" s="265"/>
      <c r="J140" s="22">
        <f>+Table1[[#This Row],[Previous Qty]]+Table1[[#This Row],[Current Qty]]</f>
        <v>0</v>
      </c>
      <c r="K140" s="9">
        <f>(Table1[[#This Row],[Supply Rate]]+Table1[[#This Row],[Install Rate]])*Table1[[#This Row],[Previous Qty]]</f>
        <v>0</v>
      </c>
      <c r="L140" s="9">
        <f>+Table1[[#This Row],[Current Qty]]*(Table1[[#This Row],[Supply Rate]]+Table1[[#This Row],[Install Rate]])</f>
        <v>0</v>
      </c>
      <c r="M140" s="9">
        <f>(Table1[[#This Row],[Supply Rate]]+Table1[[#This Row],[Install Rate]])*Table1[[#This Row],[Cumulative]]</f>
        <v>0</v>
      </c>
    </row>
    <row r="141" spans="1:13" ht="29" x14ac:dyDescent="0.35">
      <c r="A141" s="6">
        <v>83</v>
      </c>
      <c r="B141" s="11" t="s">
        <v>114</v>
      </c>
      <c r="C141" s="22">
        <v>5.85</v>
      </c>
      <c r="D141" s="8" t="s">
        <v>17</v>
      </c>
      <c r="E141" s="9">
        <v>232</v>
      </c>
      <c r="F141" s="9">
        <v>182</v>
      </c>
      <c r="G141" s="9">
        <f t="shared" si="28"/>
        <v>2421.8999999999996</v>
      </c>
      <c r="H141" s="22">
        <v>0</v>
      </c>
      <c r="I141" s="265"/>
      <c r="J141" s="22">
        <f>+Table1[[#This Row],[Previous Qty]]+Table1[[#This Row],[Current Qty]]</f>
        <v>0</v>
      </c>
      <c r="K141" s="9">
        <f>(Table1[[#This Row],[Supply Rate]]+Table1[[#This Row],[Install Rate]])*Table1[[#This Row],[Previous Qty]]</f>
        <v>0</v>
      </c>
      <c r="L141" s="9">
        <f>+Table1[[#This Row],[Current Qty]]*(Table1[[#This Row],[Supply Rate]]+Table1[[#This Row],[Install Rate]])</f>
        <v>0</v>
      </c>
      <c r="M141" s="9">
        <f>(Table1[[#This Row],[Supply Rate]]+Table1[[#This Row],[Install Rate]])*Table1[[#This Row],[Cumulative]]</f>
        <v>0</v>
      </c>
    </row>
    <row r="142" spans="1:13" ht="15" thickBot="1" x14ac:dyDescent="0.4">
      <c r="A142" s="54"/>
      <c r="B142" s="55"/>
      <c r="C142" s="56"/>
      <c r="D142" s="57"/>
      <c r="E142" s="58"/>
      <c r="F142" s="58"/>
      <c r="G142" s="58"/>
      <c r="H142" s="56">
        <v>0</v>
      </c>
      <c r="I142" s="268"/>
      <c r="J142" s="56">
        <f>+Table1[[#This Row],[Previous Qty]]+Table1[[#This Row],[Current Qty]]</f>
        <v>0</v>
      </c>
      <c r="K142" s="58">
        <f>(Table1[[#This Row],[Supply Rate]]+Table1[[#This Row],[Install Rate]])*Table1[[#This Row],[Previous Qty]]</f>
        <v>0</v>
      </c>
      <c r="L142" s="58">
        <f>+Table1[[#This Row],[Current Qty]]*(Table1[[#This Row],[Supply Rate]]+Table1[[#This Row],[Install Rate]])</f>
        <v>0</v>
      </c>
      <c r="M142" s="58">
        <f>(Table1[[#This Row],[Supply Rate]]+Table1[[#This Row],[Install Rate]])*Table1[[#This Row],[Cumulative]]</f>
        <v>0</v>
      </c>
    </row>
    <row r="143" spans="1:13" x14ac:dyDescent="0.35">
      <c r="A143" s="44"/>
      <c r="B143" s="59" t="s">
        <v>115</v>
      </c>
      <c r="C143" s="46"/>
      <c r="D143" s="47"/>
      <c r="E143" s="48"/>
      <c r="F143" s="48"/>
      <c r="G143" s="48"/>
      <c r="H143" s="46">
        <v>0</v>
      </c>
      <c r="I143" s="269"/>
      <c r="J143" s="46">
        <f>+Table1[[#This Row],[Previous Qty]]+Table1[[#This Row],[Current Qty]]</f>
        <v>0</v>
      </c>
      <c r="K143" s="48">
        <f>(Table1[[#This Row],[Supply Rate]]+Table1[[#This Row],[Install Rate]])*Table1[[#This Row],[Previous Qty]]</f>
        <v>0</v>
      </c>
      <c r="L143" s="48">
        <f>+Table1[[#This Row],[Current Qty]]*(Table1[[#This Row],[Supply Rate]]+Table1[[#This Row],[Install Rate]])</f>
        <v>0</v>
      </c>
      <c r="M143" s="48">
        <f>(Table1[[#This Row],[Supply Rate]]+Table1[[#This Row],[Install Rate]])*Table1[[#This Row],[Cumulative]]</f>
        <v>0</v>
      </c>
    </row>
    <row r="144" spans="1:13" x14ac:dyDescent="0.35">
      <c r="A144" s="6"/>
      <c r="B144" s="10" t="s">
        <v>8</v>
      </c>
      <c r="C144" s="22"/>
      <c r="D144" s="8"/>
      <c r="E144" s="9"/>
      <c r="F144" s="9"/>
      <c r="G144" s="9"/>
      <c r="H144" s="22">
        <v>0</v>
      </c>
      <c r="I144" s="265"/>
      <c r="J144" s="22">
        <f>+Table1[[#This Row],[Previous Qty]]+Table1[[#This Row],[Current Qty]]</f>
        <v>0</v>
      </c>
      <c r="K144" s="9">
        <f>(Table1[[#This Row],[Supply Rate]]+Table1[[#This Row],[Install Rate]])*Table1[[#This Row],[Previous Qty]]</f>
        <v>0</v>
      </c>
      <c r="L144" s="9">
        <f>+Table1[[#This Row],[Current Qty]]*(Table1[[#This Row],[Supply Rate]]+Table1[[#This Row],[Install Rate]])</f>
        <v>0</v>
      </c>
      <c r="M144" s="9">
        <f>(Table1[[#This Row],[Supply Rate]]+Table1[[#This Row],[Install Rate]])*Table1[[#This Row],[Cumulative]]</f>
        <v>0</v>
      </c>
    </row>
    <row r="145" spans="1:13" x14ac:dyDescent="0.35">
      <c r="A145" s="6"/>
      <c r="B145" s="11" t="s">
        <v>9</v>
      </c>
      <c r="C145" s="22"/>
      <c r="D145" s="8"/>
      <c r="E145" s="9"/>
      <c r="F145" s="9"/>
      <c r="G145" s="9"/>
      <c r="H145" s="22">
        <v>0</v>
      </c>
      <c r="I145" s="265"/>
      <c r="J145" s="22">
        <f>+Table1[[#This Row],[Previous Qty]]+Table1[[#This Row],[Current Qty]]</f>
        <v>0</v>
      </c>
      <c r="K145" s="9">
        <f>(Table1[[#This Row],[Supply Rate]]+Table1[[#This Row],[Install Rate]])*Table1[[#This Row],[Previous Qty]]</f>
        <v>0</v>
      </c>
      <c r="L145" s="9">
        <f>+Table1[[#This Row],[Current Qty]]*(Table1[[#This Row],[Supply Rate]]+Table1[[#This Row],[Install Rate]])</f>
        <v>0</v>
      </c>
      <c r="M145" s="9">
        <f>(Table1[[#This Row],[Supply Rate]]+Table1[[#This Row],[Install Rate]])*Table1[[#This Row],[Cumulative]]</f>
        <v>0</v>
      </c>
    </row>
    <row r="146" spans="1:13" ht="29" x14ac:dyDescent="0.35">
      <c r="A146" s="6">
        <v>84</v>
      </c>
      <c r="B146" s="11" t="s">
        <v>95</v>
      </c>
      <c r="C146" s="22">
        <v>10.72</v>
      </c>
      <c r="D146" s="8" t="s">
        <v>17</v>
      </c>
      <c r="E146" s="9">
        <v>220</v>
      </c>
      <c r="F146" s="9">
        <v>174</v>
      </c>
      <c r="G146" s="9">
        <f t="shared" ref="G146" si="29">(E146+F146)*C146</f>
        <v>4223.68</v>
      </c>
      <c r="H146" s="22">
        <v>10.72</v>
      </c>
      <c r="I146" s="265">
        <v>0</v>
      </c>
      <c r="J146" s="22">
        <f>+Table1[[#This Row],[Previous Qty]]+Table1[[#This Row],[Current Qty]]</f>
        <v>10.72</v>
      </c>
      <c r="K146" s="9">
        <f>(Table1[[#This Row],[Supply Rate]]+Table1[[#This Row],[Install Rate]])*Table1[[#This Row],[Previous Qty]]</f>
        <v>4223.68</v>
      </c>
      <c r="L146" s="9">
        <f>+Table1[[#This Row],[Current Qty]]*(Table1[[#This Row],[Supply Rate]]+Table1[[#This Row],[Install Rate]])</f>
        <v>0</v>
      </c>
      <c r="M146" s="9">
        <f>(Table1[[#This Row],[Supply Rate]]+Table1[[#This Row],[Install Rate]])*Table1[[#This Row],[Cumulative]]</f>
        <v>4223.68</v>
      </c>
    </row>
    <row r="147" spans="1:13" x14ac:dyDescent="0.35">
      <c r="A147" s="6"/>
      <c r="B147" s="10" t="s">
        <v>81</v>
      </c>
      <c r="C147" s="22"/>
      <c r="D147" s="8"/>
      <c r="E147" s="9"/>
      <c r="F147" s="9"/>
      <c r="G147" s="9"/>
      <c r="H147" s="22">
        <v>0</v>
      </c>
      <c r="I147" s="265"/>
      <c r="J147" s="22">
        <f>+Table1[[#This Row],[Previous Qty]]+Table1[[#This Row],[Current Qty]]</f>
        <v>0</v>
      </c>
      <c r="K147" s="9">
        <f>(Table1[[#This Row],[Supply Rate]]+Table1[[#This Row],[Install Rate]])*Table1[[#This Row],[Previous Qty]]</f>
        <v>0</v>
      </c>
      <c r="L147" s="9">
        <f>+Table1[[#This Row],[Current Qty]]*(Table1[[#This Row],[Supply Rate]]+Table1[[#This Row],[Install Rate]])</f>
        <v>0</v>
      </c>
      <c r="M147" s="9">
        <f>(Table1[[#This Row],[Supply Rate]]+Table1[[#This Row],[Install Rate]])*Table1[[#This Row],[Cumulative]]</f>
        <v>0</v>
      </c>
    </row>
    <row r="148" spans="1:13" x14ac:dyDescent="0.35">
      <c r="A148" s="6"/>
      <c r="B148" s="11" t="s">
        <v>82</v>
      </c>
      <c r="C148" s="22"/>
      <c r="D148" s="8"/>
      <c r="E148" s="9"/>
      <c r="F148" s="9"/>
      <c r="G148" s="9"/>
      <c r="H148" s="22">
        <v>0</v>
      </c>
      <c r="I148" s="265"/>
      <c r="J148" s="22">
        <f>+Table1[[#This Row],[Previous Qty]]+Table1[[#This Row],[Current Qty]]</f>
        <v>0</v>
      </c>
      <c r="K148" s="9">
        <f>(Table1[[#This Row],[Supply Rate]]+Table1[[#This Row],[Install Rate]])*Table1[[#This Row],[Previous Qty]]</f>
        <v>0</v>
      </c>
      <c r="L148" s="9">
        <f>+Table1[[#This Row],[Current Qty]]*(Table1[[#This Row],[Supply Rate]]+Table1[[#This Row],[Install Rate]])</f>
        <v>0</v>
      </c>
      <c r="M148" s="9">
        <f>(Table1[[#This Row],[Supply Rate]]+Table1[[#This Row],[Install Rate]])*Table1[[#This Row],[Cumulative]]</f>
        <v>0</v>
      </c>
    </row>
    <row r="149" spans="1:13" ht="29" x14ac:dyDescent="0.35">
      <c r="A149" s="6">
        <v>85</v>
      </c>
      <c r="B149" s="11" t="s">
        <v>83</v>
      </c>
      <c r="C149" s="22">
        <v>7.468</v>
      </c>
      <c r="D149" s="8" t="s">
        <v>17</v>
      </c>
      <c r="E149" s="9">
        <v>220</v>
      </c>
      <c r="F149" s="9">
        <v>174</v>
      </c>
      <c r="G149" s="9">
        <f t="shared" ref="G149:G150" si="30">(E149+F149)*C149</f>
        <v>2942.3919999999998</v>
      </c>
      <c r="H149" s="22">
        <v>7.47</v>
      </c>
      <c r="I149" s="265">
        <v>0</v>
      </c>
      <c r="J149" s="22">
        <f>+Table1[[#This Row],[Previous Qty]]+Table1[[#This Row],[Current Qty]]</f>
        <v>7.47</v>
      </c>
      <c r="K149" s="9">
        <f>(Table1[[#This Row],[Supply Rate]]+Table1[[#This Row],[Install Rate]])*Table1[[#This Row],[Previous Qty]]</f>
        <v>2943.18</v>
      </c>
      <c r="L149" s="9">
        <f>+Table1[[#This Row],[Current Qty]]*(Table1[[#This Row],[Supply Rate]]+Table1[[#This Row],[Install Rate]])</f>
        <v>0</v>
      </c>
      <c r="M149" s="9">
        <f>(Table1[[#This Row],[Supply Rate]]+Table1[[#This Row],[Install Rate]])*Table1[[#This Row],[Cumulative]]</f>
        <v>2943.18</v>
      </c>
    </row>
    <row r="150" spans="1:13" x14ac:dyDescent="0.35">
      <c r="A150" s="6">
        <v>86</v>
      </c>
      <c r="B150" s="11" t="s">
        <v>116</v>
      </c>
      <c r="C150" s="22">
        <v>17.36</v>
      </c>
      <c r="D150" s="8" t="s">
        <v>10</v>
      </c>
      <c r="E150" s="9">
        <v>178</v>
      </c>
      <c r="F150" s="9">
        <v>45</v>
      </c>
      <c r="G150" s="9">
        <f t="shared" si="30"/>
        <v>3871.2799999999997</v>
      </c>
      <c r="H150" s="22">
        <v>0</v>
      </c>
      <c r="I150" s="265">
        <f>17.36*0.9</f>
        <v>15.624000000000001</v>
      </c>
      <c r="J150" s="22">
        <f>+Table1[[#This Row],[Previous Qty]]+Table1[[#This Row],[Current Qty]]</f>
        <v>15.624000000000001</v>
      </c>
      <c r="K150" s="9">
        <f>(Table1[[#This Row],[Supply Rate]]+Table1[[#This Row],[Install Rate]])*Table1[[#This Row],[Previous Qty]]</f>
        <v>0</v>
      </c>
      <c r="L150" s="9">
        <f>+Table1[[#This Row],[Current Qty]]*(Table1[[#This Row],[Supply Rate]]+Table1[[#This Row],[Install Rate]])</f>
        <v>3484.152</v>
      </c>
      <c r="M150" s="9">
        <f>(Table1[[#This Row],[Supply Rate]]+Table1[[#This Row],[Install Rate]])*Table1[[#This Row],[Cumulative]]</f>
        <v>3484.152</v>
      </c>
    </row>
    <row r="151" spans="1:13" x14ac:dyDescent="0.35">
      <c r="A151" s="6"/>
      <c r="B151" s="11" t="s">
        <v>85</v>
      </c>
      <c r="C151" s="22"/>
      <c r="D151" s="8"/>
      <c r="E151" s="9"/>
      <c r="F151" s="9"/>
      <c r="G151" s="9"/>
      <c r="H151" s="22">
        <v>0</v>
      </c>
      <c r="I151" s="265"/>
      <c r="J151" s="22">
        <f>+Table1[[#This Row],[Previous Qty]]+Table1[[#This Row],[Current Qty]]</f>
        <v>0</v>
      </c>
      <c r="K151" s="9">
        <f>(Table1[[#This Row],[Supply Rate]]+Table1[[#This Row],[Install Rate]])*Table1[[#This Row],[Previous Qty]]</f>
        <v>0</v>
      </c>
      <c r="L151" s="9">
        <f>+Table1[[#This Row],[Current Qty]]*(Table1[[#This Row],[Supply Rate]]+Table1[[#This Row],[Install Rate]])</f>
        <v>0</v>
      </c>
      <c r="M151" s="9">
        <f>(Table1[[#This Row],[Supply Rate]]+Table1[[#This Row],[Install Rate]])*Table1[[#This Row],[Cumulative]]</f>
        <v>0</v>
      </c>
    </row>
    <row r="152" spans="1:13" ht="29" x14ac:dyDescent="0.35">
      <c r="A152" s="6">
        <v>87</v>
      </c>
      <c r="B152" s="11" t="s">
        <v>86</v>
      </c>
      <c r="C152" s="22">
        <v>13.32</v>
      </c>
      <c r="D152" s="8" t="s">
        <v>10</v>
      </c>
      <c r="E152" s="9">
        <v>193</v>
      </c>
      <c r="F152" s="9">
        <v>83</v>
      </c>
      <c r="G152" s="9">
        <f t="shared" ref="G152:G154" si="31">(E152+F152)*C152</f>
        <v>3676.32</v>
      </c>
      <c r="H152" s="22">
        <v>13.32</v>
      </c>
      <c r="I152" s="265">
        <v>0</v>
      </c>
      <c r="J152" s="22">
        <f>+Table1[[#This Row],[Previous Qty]]+Table1[[#This Row],[Current Qty]]</f>
        <v>13.32</v>
      </c>
      <c r="K152" s="9">
        <f>(Table1[[#This Row],[Supply Rate]]+Table1[[#This Row],[Install Rate]])*Table1[[#This Row],[Previous Qty]]</f>
        <v>3676.32</v>
      </c>
      <c r="L152" s="9">
        <f>+Table1[[#This Row],[Current Qty]]*(Table1[[#This Row],[Supply Rate]]+Table1[[#This Row],[Install Rate]])</f>
        <v>0</v>
      </c>
      <c r="M152" s="9">
        <f>(Table1[[#This Row],[Supply Rate]]+Table1[[#This Row],[Install Rate]])*Table1[[#This Row],[Cumulative]]</f>
        <v>3676.32</v>
      </c>
    </row>
    <row r="153" spans="1:13" ht="29" x14ac:dyDescent="0.35">
      <c r="A153" s="6">
        <v>88</v>
      </c>
      <c r="B153" s="11" t="s">
        <v>87</v>
      </c>
      <c r="C153" s="22">
        <v>13.32</v>
      </c>
      <c r="D153" s="8" t="s">
        <v>10</v>
      </c>
      <c r="E153" s="9">
        <v>52</v>
      </c>
      <c r="F153" s="9">
        <v>27</v>
      </c>
      <c r="G153" s="9">
        <f t="shared" si="31"/>
        <v>1052.28</v>
      </c>
      <c r="H153" s="22">
        <v>13.32</v>
      </c>
      <c r="I153" s="265">
        <v>0</v>
      </c>
      <c r="J153" s="22">
        <f>+Table1[[#This Row],[Previous Qty]]+Table1[[#This Row],[Current Qty]]</f>
        <v>13.32</v>
      </c>
      <c r="K153" s="9">
        <f>(Table1[[#This Row],[Supply Rate]]+Table1[[#This Row],[Install Rate]])*Table1[[#This Row],[Previous Qty]]</f>
        <v>1052.28</v>
      </c>
      <c r="L153" s="9">
        <f>+Table1[[#This Row],[Current Qty]]*(Table1[[#This Row],[Supply Rate]]+Table1[[#This Row],[Install Rate]])</f>
        <v>0</v>
      </c>
      <c r="M153" s="9">
        <f>(Table1[[#This Row],[Supply Rate]]+Table1[[#This Row],[Install Rate]])*Table1[[#This Row],[Cumulative]]</f>
        <v>1052.28</v>
      </c>
    </row>
    <row r="154" spans="1:13" ht="29" x14ac:dyDescent="0.35">
      <c r="A154" s="6">
        <v>89</v>
      </c>
      <c r="B154" s="11" t="s">
        <v>117</v>
      </c>
      <c r="C154" s="22">
        <v>40.450000000000003</v>
      </c>
      <c r="D154" s="8" t="s">
        <v>10</v>
      </c>
      <c r="E154" s="9">
        <v>187.76</v>
      </c>
      <c r="F154" s="9">
        <v>46.941176470588232</v>
      </c>
      <c r="G154" s="9">
        <f t="shared" si="31"/>
        <v>9493.6625882352946</v>
      </c>
      <c r="H154" s="22">
        <v>40.450000000000003</v>
      </c>
      <c r="I154" s="265"/>
      <c r="J154" s="22">
        <f>+Table1[[#This Row],[Previous Qty]]+Table1[[#This Row],[Current Qty]]</f>
        <v>40.450000000000003</v>
      </c>
      <c r="K154" s="9">
        <f>(Table1[[#This Row],[Supply Rate]]+Table1[[#This Row],[Install Rate]])*Table1[[#This Row],[Previous Qty]]</f>
        <v>9493.6625882352946</v>
      </c>
      <c r="L154" s="9">
        <f>+Table1[[#This Row],[Current Qty]]*(Table1[[#This Row],[Supply Rate]]+Table1[[#This Row],[Install Rate]])</f>
        <v>0</v>
      </c>
      <c r="M154" s="9">
        <f>(Table1[[#This Row],[Supply Rate]]+Table1[[#This Row],[Install Rate]])*Table1[[#This Row],[Cumulative]]</f>
        <v>9493.6625882352946</v>
      </c>
    </row>
    <row r="155" spans="1:13" x14ac:dyDescent="0.35">
      <c r="A155" s="6"/>
      <c r="B155" s="10" t="s">
        <v>54</v>
      </c>
      <c r="C155" s="22"/>
      <c r="D155" s="8"/>
      <c r="E155" s="9"/>
      <c r="F155" s="9"/>
      <c r="G155" s="9"/>
      <c r="H155" s="22">
        <v>0</v>
      </c>
      <c r="I155" s="265"/>
      <c r="J155" s="22">
        <f>+Table1[[#This Row],[Previous Qty]]+Table1[[#This Row],[Current Qty]]</f>
        <v>0</v>
      </c>
      <c r="K155" s="9">
        <f>(Table1[[#This Row],[Supply Rate]]+Table1[[#This Row],[Install Rate]])*Table1[[#This Row],[Previous Qty]]</f>
        <v>0</v>
      </c>
      <c r="L155" s="9">
        <f>+Table1[[#This Row],[Current Qty]]*(Table1[[#This Row],[Supply Rate]]+Table1[[#This Row],[Install Rate]])</f>
        <v>0</v>
      </c>
      <c r="M155" s="9">
        <f>(Table1[[#This Row],[Supply Rate]]+Table1[[#This Row],[Install Rate]])*Table1[[#This Row],[Cumulative]]</f>
        <v>0</v>
      </c>
    </row>
    <row r="156" spans="1:13" ht="29" x14ac:dyDescent="0.35">
      <c r="A156" s="6">
        <v>90</v>
      </c>
      <c r="B156" s="11" t="s">
        <v>118</v>
      </c>
      <c r="C156" s="22">
        <v>31.56</v>
      </c>
      <c r="D156" s="8" t="s">
        <v>10</v>
      </c>
      <c r="E156" s="9">
        <v>185</v>
      </c>
      <c r="F156" s="9">
        <v>577.89702154626116</v>
      </c>
      <c r="G156" s="9">
        <f t="shared" ref="G156:G160" si="32">(E156+F156)*C156</f>
        <v>24077.030000000002</v>
      </c>
      <c r="H156" s="22">
        <v>31.56</v>
      </c>
      <c r="I156" s="265">
        <v>0</v>
      </c>
      <c r="J156" s="22">
        <f>+Table1[[#This Row],[Previous Qty]]+Table1[[#This Row],[Current Qty]]</f>
        <v>31.56</v>
      </c>
      <c r="K156" s="9">
        <f>(Table1[[#This Row],[Supply Rate]]+Table1[[#This Row],[Install Rate]])*Table1[[#This Row],[Previous Qty]]</f>
        <v>24077.030000000002</v>
      </c>
      <c r="L156" s="9">
        <f>+Table1[[#This Row],[Current Qty]]*(Table1[[#This Row],[Supply Rate]]+Table1[[#This Row],[Install Rate]])</f>
        <v>0</v>
      </c>
      <c r="M156" s="9">
        <f>(Table1[[#This Row],[Supply Rate]]+Table1[[#This Row],[Install Rate]])*Table1[[#This Row],[Cumulative]]</f>
        <v>24077.030000000002</v>
      </c>
    </row>
    <row r="157" spans="1:13" ht="29" x14ac:dyDescent="0.35">
      <c r="A157" s="6">
        <v>91</v>
      </c>
      <c r="B157" s="11" t="s">
        <v>119</v>
      </c>
      <c r="C157" s="22">
        <v>46.48</v>
      </c>
      <c r="D157" s="8" t="s">
        <v>17</v>
      </c>
      <c r="E157" s="9">
        <v>232</v>
      </c>
      <c r="F157" s="9">
        <v>311.53184165232358</v>
      </c>
      <c r="G157" s="9">
        <f t="shared" si="32"/>
        <v>25263.359999999997</v>
      </c>
      <c r="H157" s="22">
        <v>46.48</v>
      </c>
      <c r="I157" s="265">
        <v>0</v>
      </c>
      <c r="J157" s="22">
        <f>+Table1[[#This Row],[Previous Qty]]+Table1[[#This Row],[Current Qty]]</f>
        <v>46.48</v>
      </c>
      <c r="K157" s="9">
        <f>(Table1[[#This Row],[Supply Rate]]+Table1[[#This Row],[Install Rate]])*Table1[[#This Row],[Previous Qty]]</f>
        <v>25263.359999999997</v>
      </c>
      <c r="L157" s="9">
        <f>+Table1[[#This Row],[Current Qty]]*(Table1[[#This Row],[Supply Rate]]+Table1[[#This Row],[Install Rate]])</f>
        <v>0</v>
      </c>
      <c r="M157" s="9">
        <f>(Table1[[#This Row],[Supply Rate]]+Table1[[#This Row],[Install Rate]])*Table1[[#This Row],[Cumulative]]</f>
        <v>25263.359999999997</v>
      </c>
    </row>
    <row r="158" spans="1:13" ht="29" x14ac:dyDescent="0.35">
      <c r="A158" s="6">
        <v>92</v>
      </c>
      <c r="B158" s="11" t="s">
        <v>120</v>
      </c>
      <c r="C158" s="22">
        <v>6.15</v>
      </c>
      <c r="D158" s="8" t="s">
        <v>10</v>
      </c>
      <c r="E158" s="9">
        <v>193</v>
      </c>
      <c r="F158" s="9">
        <v>83</v>
      </c>
      <c r="G158" s="9">
        <f t="shared" si="32"/>
        <v>1697.4</v>
      </c>
      <c r="H158" s="22">
        <v>6.15</v>
      </c>
      <c r="I158" s="265">
        <v>0</v>
      </c>
      <c r="J158" s="22">
        <f>+Table1[[#This Row],[Previous Qty]]+Table1[[#This Row],[Current Qty]]</f>
        <v>6.15</v>
      </c>
      <c r="K158" s="9">
        <f>(Table1[[#This Row],[Supply Rate]]+Table1[[#This Row],[Install Rate]])*Table1[[#This Row],[Previous Qty]]</f>
        <v>1697.4</v>
      </c>
      <c r="L158" s="9">
        <f>+Table1[[#This Row],[Current Qty]]*(Table1[[#This Row],[Supply Rate]]+Table1[[#This Row],[Install Rate]])</f>
        <v>0</v>
      </c>
      <c r="M158" s="9">
        <f>(Table1[[#This Row],[Supply Rate]]+Table1[[#This Row],[Install Rate]])*Table1[[#This Row],[Cumulative]]</f>
        <v>1697.4</v>
      </c>
    </row>
    <row r="159" spans="1:13" ht="29" x14ac:dyDescent="0.35">
      <c r="A159" s="6">
        <v>93</v>
      </c>
      <c r="B159" s="11" t="s">
        <v>121</v>
      </c>
      <c r="C159" s="22">
        <v>8.1999999999999993</v>
      </c>
      <c r="D159" s="8" t="s">
        <v>10</v>
      </c>
      <c r="E159" s="9">
        <v>52</v>
      </c>
      <c r="F159" s="9">
        <v>27</v>
      </c>
      <c r="G159" s="9">
        <f t="shared" si="32"/>
        <v>647.79999999999995</v>
      </c>
      <c r="H159" s="22">
        <v>8.1999999999999993</v>
      </c>
      <c r="I159" s="265">
        <v>0</v>
      </c>
      <c r="J159" s="22">
        <f>+Table1[[#This Row],[Previous Qty]]+Table1[[#This Row],[Current Qty]]</f>
        <v>8.1999999999999993</v>
      </c>
      <c r="K159" s="9">
        <f>(Table1[[#This Row],[Supply Rate]]+Table1[[#This Row],[Install Rate]])*Table1[[#This Row],[Previous Qty]]</f>
        <v>647.79999999999995</v>
      </c>
      <c r="L159" s="9">
        <f>+Table1[[#This Row],[Current Qty]]*(Table1[[#This Row],[Supply Rate]]+Table1[[#This Row],[Install Rate]])</f>
        <v>0</v>
      </c>
      <c r="M159" s="9">
        <f>(Table1[[#This Row],[Supply Rate]]+Table1[[#This Row],[Install Rate]])*Table1[[#This Row],[Cumulative]]</f>
        <v>647.79999999999995</v>
      </c>
    </row>
    <row r="160" spans="1:13" ht="29" x14ac:dyDescent="0.35">
      <c r="A160" s="6">
        <v>94</v>
      </c>
      <c r="B160" s="11" t="s">
        <v>122</v>
      </c>
      <c r="C160" s="22">
        <v>15.78</v>
      </c>
      <c r="D160" s="8" t="s">
        <v>35</v>
      </c>
      <c r="E160" s="9">
        <v>105</v>
      </c>
      <c r="F160" s="9">
        <v>172</v>
      </c>
      <c r="G160" s="9">
        <f t="shared" si="32"/>
        <v>4371.0599999999995</v>
      </c>
      <c r="H160" s="22">
        <v>15.78</v>
      </c>
      <c r="I160" s="265">
        <v>0</v>
      </c>
      <c r="J160" s="22">
        <f>+Table1[[#This Row],[Previous Qty]]+Table1[[#This Row],[Current Qty]]</f>
        <v>15.78</v>
      </c>
      <c r="K160" s="9">
        <f>(Table1[[#This Row],[Supply Rate]]+Table1[[#This Row],[Install Rate]])*Table1[[#This Row],[Previous Qty]]</f>
        <v>4371.0599999999995</v>
      </c>
      <c r="L160" s="9">
        <f>+Table1[[#This Row],[Current Qty]]*(Table1[[#This Row],[Supply Rate]]+Table1[[#This Row],[Install Rate]])</f>
        <v>0</v>
      </c>
      <c r="M160" s="9">
        <f>(Table1[[#This Row],[Supply Rate]]+Table1[[#This Row],[Install Rate]])*Table1[[#This Row],[Cumulative]]</f>
        <v>4371.0599999999995</v>
      </c>
    </row>
    <row r="161" spans="1:13" ht="15" thickBot="1" x14ac:dyDescent="0.4">
      <c r="A161" s="54"/>
      <c r="B161" s="55"/>
      <c r="C161" s="56"/>
      <c r="D161" s="57"/>
      <c r="E161" s="58"/>
      <c r="F161" s="58"/>
      <c r="G161" s="58"/>
      <c r="H161" s="56">
        <v>0</v>
      </c>
      <c r="I161" s="268"/>
      <c r="J161" s="56">
        <f>+Table1[[#This Row],[Previous Qty]]+Table1[[#This Row],[Current Qty]]</f>
        <v>0</v>
      </c>
      <c r="K161" s="58">
        <f>(Table1[[#This Row],[Supply Rate]]+Table1[[#This Row],[Install Rate]])*Table1[[#This Row],[Previous Qty]]</f>
        <v>0</v>
      </c>
      <c r="L161" s="58">
        <f>+Table1[[#This Row],[Current Qty]]*(Table1[[#This Row],[Supply Rate]]+Table1[[#This Row],[Install Rate]])</f>
        <v>0</v>
      </c>
      <c r="M161" s="58">
        <f>(Table1[[#This Row],[Supply Rate]]+Table1[[#This Row],[Install Rate]])*Table1[[#This Row],[Cumulative]]</f>
        <v>0</v>
      </c>
    </row>
    <row r="162" spans="1:13" x14ac:dyDescent="0.35">
      <c r="A162" s="44"/>
      <c r="B162" s="59" t="s">
        <v>123</v>
      </c>
      <c r="C162" s="46"/>
      <c r="D162" s="47"/>
      <c r="E162" s="48"/>
      <c r="F162" s="48"/>
      <c r="G162" s="48"/>
      <c r="H162" s="46">
        <v>0</v>
      </c>
      <c r="I162" s="269"/>
      <c r="J162" s="46">
        <f>+Table1[[#This Row],[Previous Qty]]+Table1[[#This Row],[Current Qty]]</f>
        <v>0</v>
      </c>
      <c r="K162" s="48">
        <f>(Table1[[#This Row],[Supply Rate]]+Table1[[#This Row],[Install Rate]])*Table1[[#This Row],[Previous Qty]]</f>
        <v>0</v>
      </c>
      <c r="L162" s="48">
        <f>+Table1[[#This Row],[Current Qty]]*(Table1[[#This Row],[Supply Rate]]+Table1[[#This Row],[Install Rate]])</f>
        <v>0</v>
      </c>
      <c r="M162" s="48">
        <f>(Table1[[#This Row],[Supply Rate]]+Table1[[#This Row],[Install Rate]])*Table1[[#This Row],[Cumulative]]</f>
        <v>0</v>
      </c>
    </row>
    <row r="163" spans="1:13" x14ac:dyDescent="0.35">
      <c r="A163" s="6"/>
      <c r="B163" s="10" t="s">
        <v>8</v>
      </c>
      <c r="C163" s="22"/>
      <c r="D163" s="8"/>
      <c r="E163" s="9"/>
      <c r="F163" s="9"/>
      <c r="G163" s="9"/>
      <c r="H163" s="22">
        <v>0</v>
      </c>
      <c r="I163" s="265"/>
      <c r="J163" s="22">
        <f>+Table1[[#This Row],[Previous Qty]]+Table1[[#This Row],[Current Qty]]</f>
        <v>0</v>
      </c>
      <c r="K163" s="9">
        <f>(Table1[[#This Row],[Supply Rate]]+Table1[[#This Row],[Install Rate]])*Table1[[#This Row],[Previous Qty]]</f>
        <v>0</v>
      </c>
      <c r="L163" s="9">
        <f>+Table1[[#This Row],[Current Qty]]*(Table1[[#This Row],[Supply Rate]]+Table1[[#This Row],[Install Rate]])</f>
        <v>0</v>
      </c>
      <c r="M163" s="9">
        <f>(Table1[[#This Row],[Supply Rate]]+Table1[[#This Row],[Install Rate]])*Table1[[#This Row],[Cumulative]]</f>
        <v>0</v>
      </c>
    </row>
    <row r="164" spans="1:13" x14ac:dyDescent="0.35">
      <c r="A164" s="6"/>
      <c r="B164" s="11" t="s">
        <v>9</v>
      </c>
      <c r="C164" s="22"/>
      <c r="D164" s="8"/>
      <c r="E164" s="9"/>
      <c r="F164" s="9"/>
      <c r="G164" s="9"/>
      <c r="H164" s="22">
        <v>0</v>
      </c>
      <c r="I164" s="265"/>
      <c r="J164" s="22">
        <f>+Table1[[#This Row],[Previous Qty]]+Table1[[#This Row],[Current Qty]]</f>
        <v>0</v>
      </c>
      <c r="K164" s="9">
        <f>(Table1[[#This Row],[Supply Rate]]+Table1[[#This Row],[Install Rate]])*Table1[[#This Row],[Previous Qty]]</f>
        <v>0</v>
      </c>
      <c r="L164" s="9">
        <f>+Table1[[#This Row],[Current Qty]]*(Table1[[#This Row],[Supply Rate]]+Table1[[#This Row],[Install Rate]])</f>
        <v>0</v>
      </c>
      <c r="M164" s="9">
        <f>(Table1[[#This Row],[Supply Rate]]+Table1[[#This Row],[Install Rate]])*Table1[[#This Row],[Cumulative]]</f>
        <v>0</v>
      </c>
    </row>
    <row r="165" spans="1:13" ht="29" x14ac:dyDescent="0.35">
      <c r="A165" s="6">
        <v>95</v>
      </c>
      <c r="B165" s="11" t="s">
        <v>95</v>
      </c>
      <c r="C165" s="22">
        <v>10.72</v>
      </c>
      <c r="D165" s="8" t="s">
        <v>17</v>
      </c>
      <c r="E165" s="9">
        <v>220</v>
      </c>
      <c r="F165" s="9">
        <v>174</v>
      </c>
      <c r="G165" s="9">
        <f t="shared" ref="G165" si="33">(E165+F165)*C165</f>
        <v>4223.68</v>
      </c>
      <c r="H165" s="22">
        <v>10.72</v>
      </c>
      <c r="I165" s="265">
        <v>0</v>
      </c>
      <c r="J165" s="22">
        <f>+Table1[[#This Row],[Previous Qty]]+Table1[[#This Row],[Current Qty]]</f>
        <v>10.72</v>
      </c>
      <c r="K165" s="9">
        <f>(Table1[[#This Row],[Supply Rate]]+Table1[[#This Row],[Install Rate]])*Table1[[#This Row],[Previous Qty]]</f>
        <v>4223.68</v>
      </c>
      <c r="L165" s="9">
        <f>+Table1[[#This Row],[Current Qty]]*(Table1[[#This Row],[Supply Rate]]+Table1[[#This Row],[Install Rate]])</f>
        <v>0</v>
      </c>
      <c r="M165" s="9">
        <f>(Table1[[#This Row],[Supply Rate]]+Table1[[#This Row],[Install Rate]])*Table1[[#This Row],[Cumulative]]</f>
        <v>4223.68</v>
      </c>
    </row>
    <row r="166" spans="1:13" x14ac:dyDescent="0.35">
      <c r="A166" s="6"/>
      <c r="B166" s="10" t="s">
        <v>81</v>
      </c>
      <c r="C166" s="22"/>
      <c r="D166" s="8"/>
      <c r="E166" s="9"/>
      <c r="F166" s="9"/>
      <c r="G166" s="9"/>
      <c r="H166" s="22">
        <v>0</v>
      </c>
      <c r="I166" s="265"/>
      <c r="J166" s="22">
        <f>+Table1[[#This Row],[Previous Qty]]+Table1[[#This Row],[Current Qty]]</f>
        <v>0</v>
      </c>
      <c r="K166" s="9">
        <f>(Table1[[#This Row],[Supply Rate]]+Table1[[#This Row],[Install Rate]])*Table1[[#This Row],[Previous Qty]]</f>
        <v>0</v>
      </c>
      <c r="L166" s="9">
        <f>+Table1[[#This Row],[Current Qty]]*(Table1[[#This Row],[Supply Rate]]+Table1[[#This Row],[Install Rate]])</f>
        <v>0</v>
      </c>
      <c r="M166" s="9">
        <f>(Table1[[#This Row],[Supply Rate]]+Table1[[#This Row],[Install Rate]])*Table1[[#This Row],[Cumulative]]</f>
        <v>0</v>
      </c>
    </row>
    <row r="167" spans="1:13" x14ac:dyDescent="0.35">
      <c r="A167" s="6"/>
      <c r="B167" s="11" t="s">
        <v>82</v>
      </c>
      <c r="C167" s="22"/>
      <c r="D167" s="8"/>
      <c r="E167" s="9"/>
      <c r="F167" s="9"/>
      <c r="G167" s="9"/>
      <c r="H167" s="22">
        <v>0</v>
      </c>
      <c r="I167" s="265"/>
      <c r="J167" s="22">
        <f>+Table1[[#This Row],[Previous Qty]]+Table1[[#This Row],[Current Qty]]</f>
        <v>0</v>
      </c>
      <c r="K167" s="9">
        <f>(Table1[[#This Row],[Supply Rate]]+Table1[[#This Row],[Install Rate]])*Table1[[#This Row],[Previous Qty]]</f>
        <v>0</v>
      </c>
      <c r="L167" s="9">
        <f>+Table1[[#This Row],[Current Qty]]*(Table1[[#This Row],[Supply Rate]]+Table1[[#This Row],[Install Rate]])</f>
        <v>0</v>
      </c>
      <c r="M167" s="9">
        <f>(Table1[[#This Row],[Supply Rate]]+Table1[[#This Row],[Install Rate]])*Table1[[#This Row],[Cumulative]]</f>
        <v>0</v>
      </c>
    </row>
    <row r="168" spans="1:13" ht="29" x14ac:dyDescent="0.35">
      <c r="A168" s="6">
        <v>96</v>
      </c>
      <c r="B168" s="11" t="s">
        <v>83</v>
      </c>
      <c r="C168" s="22">
        <v>7.468</v>
      </c>
      <c r="D168" s="8" t="s">
        <v>17</v>
      </c>
      <c r="E168" s="9">
        <v>220</v>
      </c>
      <c r="F168" s="9">
        <v>174</v>
      </c>
      <c r="G168" s="9">
        <f t="shared" ref="G168:G169" si="34">(E168+F168)*C168</f>
        <v>2942.3919999999998</v>
      </c>
      <c r="H168" s="22">
        <v>7.47</v>
      </c>
      <c r="I168" s="265">
        <v>0</v>
      </c>
      <c r="J168" s="22">
        <f>+Table1[[#This Row],[Previous Qty]]+Table1[[#This Row],[Current Qty]]</f>
        <v>7.47</v>
      </c>
      <c r="K168" s="9">
        <f>(Table1[[#This Row],[Supply Rate]]+Table1[[#This Row],[Install Rate]])*Table1[[#This Row],[Previous Qty]]</f>
        <v>2943.18</v>
      </c>
      <c r="L168" s="9">
        <f>+Table1[[#This Row],[Current Qty]]*(Table1[[#This Row],[Supply Rate]]+Table1[[#This Row],[Install Rate]])</f>
        <v>0</v>
      </c>
      <c r="M168" s="9">
        <f>(Table1[[#This Row],[Supply Rate]]+Table1[[#This Row],[Install Rate]])*Table1[[#This Row],[Cumulative]]</f>
        <v>2943.18</v>
      </c>
    </row>
    <row r="169" spans="1:13" x14ac:dyDescent="0.35">
      <c r="A169" s="6">
        <v>97</v>
      </c>
      <c r="B169" s="11" t="s">
        <v>116</v>
      </c>
      <c r="C169" s="22">
        <v>17.36</v>
      </c>
      <c r="D169" s="8" t="s">
        <v>10</v>
      </c>
      <c r="E169" s="9">
        <v>178</v>
      </c>
      <c r="F169" s="9">
        <v>45</v>
      </c>
      <c r="G169" s="9">
        <f t="shared" si="34"/>
        <v>3871.2799999999997</v>
      </c>
      <c r="H169" s="22">
        <v>0</v>
      </c>
      <c r="I169" s="265"/>
      <c r="J169" s="22">
        <f>+Table1[[#This Row],[Previous Qty]]+Table1[[#This Row],[Current Qty]]</f>
        <v>0</v>
      </c>
      <c r="K169" s="9">
        <f>(Table1[[#This Row],[Supply Rate]]+Table1[[#This Row],[Install Rate]])*Table1[[#This Row],[Previous Qty]]</f>
        <v>0</v>
      </c>
      <c r="L169" s="9">
        <f>+Table1[[#This Row],[Current Qty]]*(Table1[[#This Row],[Supply Rate]]+Table1[[#This Row],[Install Rate]])</f>
        <v>0</v>
      </c>
      <c r="M169" s="9">
        <f>(Table1[[#This Row],[Supply Rate]]+Table1[[#This Row],[Install Rate]])*Table1[[#This Row],[Cumulative]]</f>
        <v>0</v>
      </c>
    </row>
    <row r="170" spans="1:13" x14ac:dyDescent="0.35">
      <c r="A170" s="6"/>
      <c r="B170" s="11" t="s">
        <v>85</v>
      </c>
      <c r="C170" s="22"/>
      <c r="D170" s="8"/>
      <c r="E170" s="9"/>
      <c r="F170" s="9"/>
      <c r="G170" s="9"/>
      <c r="H170" s="22">
        <v>0</v>
      </c>
      <c r="I170" s="265"/>
      <c r="J170" s="22">
        <f>+Table1[[#This Row],[Previous Qty]]+Table1[[#This Row],[Current Qty]]</f>
        <v>0</v>
      </c>
      <c r="K170" s="9">
        <f>(Table1[[#This Row],[Supply Rate]]+Table1[[#This Row],[Install Rate]])*Table1[[#This Row],[Previous Qty]]</f>
        <v>0</v>
      </c>
      <c r="L170" s="9">
        <f>+Table1[[#This Row],[Current Qty]]*(Table1[[#This Row],[Supply Rate]]+Table1[[#This Row],[Install Rate]])</f>
        <v>0</v>
      </c>
      <c r="M170" s="9">
        <f>(Table1[[#This Row],[Supply Rate]]+Table1[[#This Row],[Install Rate]])*Table1[[#This Row],[Cumulative]]</f>
        <v>0</v>
      </c>
    </row>
    <row r="171" spans="1:13" ht="29" x14ac:dyDescent="0.35">
      <c r="A171" s="6">
        <v>98</v>
      </c>
      <c r="B171" s="11" t="s">
        <v>124</v>
      </c>
      <c r="C171" s="22">
        <v>13.32</v>
      </c>
      <c r="D171" s="8" t="s">
        <v>10</v>
      </c>
      <c r="E171" s="9">
        <v>193</v>
      </c>
      <c r="F171" s="9">
        <v>83</v>
      </c>
      <c r="G171" s="9">
        <f t="shared" ref="G171:G173" si="35">(E171+F171)*C171</f>
        <v>3676.32</v>
      </c>
      <c r="H171" s="22">
        <v>4.3899999999999997</v>
      </c>
      <c r="I171" s="265">
        <v>0</v>
      </c>
      <c r="J171" s="22">
        <f>+Table1[[#This Row],[Previous Qty]]+Table1[[#This Row],[Current Qty]]</f>
        <v>4.3899999999999997</v>
      </c>
      <c r="K171" s="9">
        <f>(Table1[[#This Row],[Supply Rate]]+Table1[[#This Row],[Install Rate]])*Table1[[#This Row],[Previous Qty]]</f>
        <v>1211.6399999999999</v>
      </c>
      <c r="L171" s="9">
        <f>+Table1[[#This Row],[Current Qty]]*(Table1[[#This Row],[Supply Rate]]+Table1[[#This Row],[Install Rate]])</f>
        <v>0</v>
      </c>
      <c r="M171" s="9">
        <f>(Table1[[#This Row],[Supply Rate]]+Table1[[#This Row],[Install Rate]])*Table1[[#This Row],[Cumulative]]</f>
        <v>1211.6399999999999</v>
      </c>
    </row>
    <row r="172" spans="1:13" ht="29" x14ac:dyDescent="0.35">
      <c r="A172" s="6">
        <v>99</v>
      </c>
      <c r="B172" s="11" t="s">
        <v>125</v>
      </c>
      <c r="C172" s="22">
        <v>13.32</v>
      </c>
      <c r="D172" s="8" t="s">
        <v>10</v>
      </c>
      <c r="E172" s="9">
        <v>52</v>
      </c>
      <c r="F172" s="9">
        <v>27</v>
      </c>
      <c r="G172" s="9">
        <f t="shared" si="35"/>
        <v>1052.28</v>
      </c>
      <c r="H172" s="22">
        <v>1.1299999999999999</v>
      </c>
      <c r="I172" s="265">
        <v>0</v>
      </c>
      <c r="J172" s="22">
        <f>+Table1[[#This Row],[Previous Qty]]+Table1[[#This Row],[Current Qty]]</f>
        <v>1.1299999999999999</v>
      </c>
      <c r="K172" s="9">
        <f>(Table1[[#This Row],[Supply Rate]]+Table1[[#This Row],[Install Rate]])*Table1[[#This Row],[Previous Qty]]</f>
        <v>89.27</v>
      </c>
      <c r="L172" s="9">
        <f>+Table1[[#This Row],[Current Qty]]*(Table1[[#This Row],[Supply Rate]]+Table1[[#This Row],[Install Rate]])</f>
        <v>0</v>
      </c>
      <c r="M172" s="9">
        <f>(Table1[[#This Row],[Supply Rate]]+Table1[[#This Row],[Install Rate]])*Table1[[#This Row],[Cumulative]]</f>
        <v>89.27</v>
      </c>
    </row>
    <row r="173" spans="1:13" ht="29" x14ac:dyDescent="0.35">
      <c r="A173" s="6">
        <v>100</v>
      </c>
      <c r="B173" s="11" t="s">
        <v>117</v>
      </c>
      <c r="C173" s="22">
        <v>40.450000000000003</v>
      </c>
      <c r="D173" s="8" t="s">
        <v>10</v>
      </c>
      <c r="E173" s="9">
        <v>187.76470588235293</v>
      </c>
      <c r="F173" s="9">
        <v>46.941176470588232</v>
      </c>
      <c r="G173" s="9">
        <f t="shared" si="35"/>
        <v>9493.8529411764703</v>
      </c>
      <c r="H173" s="22">
        <v>0</v>
      </c>
      <c r="I173" s="265"/>
      <c r="J173" s="22">
        <f>+Table1[[#This Row],[Previous Qty]]+Table1[[#This Row],[Current Qty]]</f>
        <v>0</v>
      </c>
      <c r="K173" s="9">
        <f>(Table1[[#This Row],[Supply Rate]]+Table1[[#This Row],[Install Rate]])*Table1[[#This Row],[Previous Qty]]</f>
        <v>0</v>
      </c>
      <c r="L173" s="9">
        <f>+Table1[[#This Row],[Current Qty]]*(Table1[[#This Row],[Supply Rate]]+Table1[[#This Row],[Install Rate]])</f>
        <v>0</v>
      </c>
      <c r="M173" s="9">
        <f>(Table1[[#This Row],[Supply Rate]]+Table1[[#This Row],[Install Rate]])*Table1[[#This Row],[Cumulative]]</f>
        <v>0</v>
      </c>
    </row>
    <row r="174" spans="1:13" x14ac:dyDescent="0.35">
      <c r="A174" s="6"/>
      <c r="B174" s="10" t="s">
        <v>54</v>
      </c>
      <c r="C174" s="22"/>
      <c r="D174" s="8"/>
      <c r="E174" s="9"/>
      <c r="F174" s="9"/>
      <c r="G174" s="9"/>
      <c r="H174" s="22">
        <v>0</v>
      </c>
      <c r="I174" s="265"/>
      <c r="J174" s="22">
        <f>+Table1[[#This Row],[Previous Qty]]+Table1[[#This Row],[Current Qty]]</f>
        <v>0</v>
      </c>
      <c r="K174" s="9">
        <f>(Table1[[#This Row],[Supply Rate]]+Table1[[#This Row],[Install Rate]])*Table1[[#This Row],[Previous Qty]]</f>
        <v>0</v>
      </c>
      <c r="L174" s="9">
        <f>+Table1[[#This Row],[Current Qty]]*(Table1[[#This Row],[Supply Rate]]+Table1[[#This Row],[Install Rate]])</f>
        <v>0</v>
      </c>
      <c r="M174" s="9">
        <f>(Table1[[#This Row],[Supply Rate]]+Table1[[#This Row],[Install Rate]])*Table1[[#This Row],[Cumulative]]</f>
        <v>0</v>
      </c>
    </row>
    <row r="175" spans="1:13" ht="29" x14ac:dyDescent="0.35">
      <c r="A175" s="6">
        <v>101</v>
      </c>
      <c r="B175" s="11" t="s">
        <v>126</v>
      </c>
      <c r="C175" s="22">
        <v>31.56</v>
      </c>
      <c r="D175" s="8" t="s">
        <v>10</v>
      </c>
      <c r="E175" s="9">
        <v>185</v>
      </c>
      <c r="F175" s="9">
        <v>577.89702154626116</v>
      </c>
      <c r="G175" s="9">
        <f t="shared" ref="G175:G179" si="36">(E175+F175)*C175</f>
        <v>24077.030000000002</v>
      </c>
      <c r="H175" s="22">
        <v>31.56</v>
      </c>
      <c r="I175" s="265">
        <v>0</v>
      </c>
      <c r="J175" s="22">
        <f>+Table1[[#This Row],[Previous Qty]]+Table1[[#This Row],[Current Qty]]</f>
        <v>31.56</v>
      </c>
      <c r="K175" s="9">
        <f>(Table1[[#This Row],[Supply Rate]]+Table1[[#This Row],[Install Rate]])*Table1[[#This Row],[Previous Qty]]</f>
        <v>24077.030000000002</v>
      </c>
      <c r="L175" s="9">
        <f>+Table1[[#This Row],[Current Qty]]*(Table1[[#This Row],[Supply Rate]]+Table1[[#This Row],[Install Rate]])</f>
        <v>0</v>
      </c>
      <c r="M175" s="9">
        <f>(Table1[[#This Row],[Supply Rate]]+Table1[[#This Row],[Install Rate]])*Table1[[#This Row],[Cumulative]]</f>
        <v>24077.030000000002</v>
      </c>
    </row>
    <row r="176" spans="1:13" ht="29" x14ac:dyDescent="0.35">
      <c r="A176" s="6">
        <v>102</v>
      </c>
      <c r="B176" s="11" t="s">
        <v>127</v>
      </c>
      <c r="C176" s="22">
        <v>59.28</v>
      </c>
      <c r="D176" s="8" t="s">
        <v>17</v>
      </c>
      <c r="E176" s="9">
        <v>232</v>
      </c>
      <c r="F176" s="9">
        <v>283.56275303643724</v>
      </c>
      <c r="G176" s="9">
        <f t="shared" si="36"/>
        <v>30562.560000000001</v>
      </c>
      <c r="H176" s="22">
        <v>59.28</v>
      </c>
      <c r="I176" s="265">
        <v>0</v>
      </c>
      <c r="J176" s="22">
        <f>+Table1[[#This Row],[Previous Qty]]+Table1[[#This Row],[Current Qty]]</f>
        <v>59.28</v>
      </c>
      <c r="K176" s="9">
        <f>(Table1[[#This Row],[Supply Rate]]+Table1[[#This Row],[Install Rate]])*Table1[[#This Row],[Previous Qty]]</f>
        <v>30562.560000000001</v>
      </c>
      <c r="L176" s="9">
        <f>+Table1[[#This Row],[Current Qty]]*(Table1[[#This Row],[Supply Rate]]+Table1[[#This Row],[Install Rate]])</f>
        <v>0</v>
      </c>
      <c r="M176" s="9">
        <f>(Table1[[#This Row],[Supply Rate]]+Table1[[#This Row],[Install Rate]])*Table1[[#This Row],[Cumulative]]</f>
        <v>30562.560000000001</v>
      </c>
    </row>
    <row r="177" spans="1:13" ht="29" x14ac:dyDescent="0.35">
      <c r="A177" s="6">
        <v>103</v>
      </c>
      <c r="B177" s="11" t="s">
        <v>128</v>
      </c>
      <c r="C177" s="22">
        <v>6.12</v>
      </c>
      <c r="D177" s="8" t="s">
        <v>10</v>
      </c>
      <c r="E177" s="9">
        <v>193</v>
      </c>
      <c r="F177" s="9">
        <v>83</v>
      </c>
      <c r="G177" s="9">
        <f t="shared" si="36"/>
        <v>1689.1200000000001</v>
      </c>
      <c r="H177" s="22">
        <v>6.12</v>
      </c>
      <c r="I177" s="265">
        <v>0</v>
      </c>
      <c r="J177" s="22">
        <f>+Table1[[#This Row],[Previous Qty]]+Table1[[#This Row],[Current Qty]]</f>
        <v>6.12</v>
      </c>
      <c r="K177" s="9">
        <f>(Table1[[#This Row],[Supply Rate]]+Table1[[#This Row],[Install Rate]])*Table1[[#This Row],[Previous Qty]]</f>
        <v>1689.1200000000001</v>
      </c>
      <c r="L177" s="9">
        <f>+Table1[[#This Row],[Current Qty]]*(Table1[[#This Row],[Supply Rate]]+Table1[[#This Row],[Install Rate]])</f>
        <v>0</v>
      </c>
      <c r="M177" s="9">
        <f>(Table1[[#This Row],[Supply Rate]]+Table1[[#This Row],[Install Rate]])*Table1[[#This Row],[Cumulative]]</f>
        <v>1689.1200000000001</v>
      </c>
    </row>
    <row r="178" spans="1:13" ht="29" x14ac:dyDescent="0.35">
      <c r="A178" s="6">
        <v>104</v>
      </c>
      <c r="B178" s="11" t="s">
        <v>129</v>
      </c>
      <c r="C178" s="22">
        <v>8.16</v>
      </c>
      <c r="D178" s="8" t="s">
        <v>10</v>
      </c>
      <c r="E178" s="9">
        <v>52</v>
      </c>
      <c r="F178" s="9">
        <v>27</v>
      </c>
      <c r="G178" s="9">
        <f t="shared" si="36"/>
        <v>644.64</v>
      </c>
      <c r="H178" s="22">
        <v>8.16</v>
      </c>
      <c r="I178" s="265">
        <v>0</v>
      </c>
      <c r="J178" s="22">
        <f>+Table1[[#This Row],[Previous Qty]]+Table1[[#This Row],[Current Qty]]</f>
        <v>8.16</v>
      </c>
      <c r="K178" s="9">
        <f>(Table1[[#This Row],[Supply Rate]]+Table1[[#This Row],[Install Rate]])*Table1[[#This Row],[Previous Qty]]</f>
        <v>644.64</v>
      </c>
      <c r="L178" s="9">
        <f>+Table1[[#This Row],[Current Qty]]*(Table1[[#This Row],[Supply Rate]]+Table1[[#This Row],[Install Rate]])</f>
        <v>0</v>
      </c>
      <c r="M178" s="9">
        <f>(Table1[[#This Row],[Supply Rate]]+Table1[[#This Row],[Install Rate]])*Table1[[#This Row],[Cumulative]]</f>
        <v>644.64</v>
      </c>
    </row>
    <row r="179" spans="1:13" ht="29" x14ac:dyDescent="0.35">
      <c r="A179" s="6">
        <v>105</v>
      </c>
      <c r="B179" s="11" t="s">
        <v>130</v>
      </c>
      <c r="C179" s="22">
        <v>17</v>
      </c>
      <c r="D179" s="8" t="s">
        <v>35</v>
      </c>
      <c r="E179" s="9">
        <v>105</v>
      </c>
      <c r="F179" s="9">
        <v>172</v>
      </c>
      <c r="G179" s="9">
        <f t="shared" si="36"/>
        <v>4709</v>
      </c>
      <c r="H179" s="22">
        <v>17</v>
      </c>
      <c r="I179" s="265">
        <v>0</v>
      </c>
      <c r="J179" s="22">
        <f>+Table1[[#This Row],[Previous Qty]]+Table1[[#This Row],[Current Qty]]</f>
        <v>17</v>
      </c>
      <c r="K179" s="9">
        <f>(Table1[[#This Row],[Supply Rate]]+Table1[[#This Row],[Install Rate]])*Table1[[#This Row],[Previous Qty]]</f>
        <v>4709</v>
      </c>
      <c r="L179" s="9">
        <f>+Table1[[#This Row],[Current Qty]]*(Table1[[#This Row],[Supply Rate]]+Table1[[#This Row],[Install Rate]])</f>
        <v>0</v>
      </c>
      <c r="M179" s="9">
        <f>(Table1[[#This Row],[Supply Rate]]+Table1[[#This Row],[Install Rate]])*Table1[[#This Row],[Cumulative]]</f>
        <v>4709</v>
      </c>
    </row>
    <row r="180" spans="1:13" x14ac:dyDescent="0.35">
      <c r="A180" s="6"/>
      <c r="B180" s="7" t="s">
        <v>131</v>
      </c>
      <c r="C180" s="22"/>
      <c r="D180" s="8"/>
      <c r="E180" s="9"/>
      <c r="F180" s="9"/>
      <c r="G180" s="9"/>
      <c r="H180" s="22">
        <v>0</v>
      </c>
      <c r="I180" s="265"/>
      <c r="J180" s="22">
        <f>+Table1[[#This Row],[Previous Qty]]+Table1[[#This Row],[Current Qty]]</f>
        <v>0</v>
      </c>
      <c r="K180" s="9">
        <f>(Table1[[#This Row],[Supply Rate]]+Table1[[#This Row],[Install Rate]])*Table1[[#This Row],[Previous Qty]]</f>
        <v>0</v>
      </c>
      <c r="L180" s="9">
        <f>+Table1[[#This Row],[Current Qty]]*(Table1[[#This Row],[Supply Rate]]+Table1[[#This Row],[Install Rate]])</f>
        <v>0</v>
      </c>
      <c r="M180" s="9">
        <f>(Table1[[#This Row],[Supply Rate]]+Table1[[#This Row],[Install Rate]])*Table1[[#This Row],[Cumulative]]</f>
        <v>0</v>
      </c>
    </row>
    <row r="181" spans="1:13" x14ac:dyDescent="0.35">
      <c r="A181" s="6"/>
      <c r="B181" s="11" t="s">
        <v>9</v>
      </c>
      <c r="C181" s="22"/>
      <c r="D181" s="8"/>
      <c r="E181" s="9"/>
      <c r="F181" s="9"/>
      <c r="G181" s="9"/>
      <c r="H181" s="22">
        <v>0</v>
      </c>
      <c r="I181" s="265"/>
      <c r="J181" s="22">
        <f>+Table1[[#This Row],[Previous Qty]]+Table1[[#This Row],[Current Qty]]</f>
        <v>0</v>
      </c>
      <c r="K181" s="9">
        <f>(Table1[[#This Row],[Supply Rate]]+Table1[[#This Row],[Install Rate]])*Table1[[#This Row],[Previous Qty]]</f>
        <v>0</v>
      </c>
      <c r="L181" s="9">
        <f>+Table1[[#This Row],[Current Qty]]*(Table1[[#This Row],[Supply Rate]]+Table1[[#This Row],[Install Rate]])</f>
        <v>0</v>
      </c>
      <c r="M181" s="9">
        <f>(Table1[[#This Row],[Supply Rate]]+Table1[[#This Row],[Install Rate]])*Table1[[#This Row],[Cumulative]]</f>
        <v>0</v>
      </c>
    </row>
    <row r="182" spans="1:13" ht="29" x14ac:dyDescent="0.35">
      <c r="A182" s="6">
        <v>106</v>
      </c>
      <c r="B182" s="11" t="s">
        <v>132</v>
      </c>
      <c r="C182" s="22">
        <v>610.29</v>
      </c>
      <c r="D182" s="8" t="s">
        <v>17</v>
      </c>
      <c r="E182" s="9">
        <v>150</v>
      </c>
      <c r="F182" s="9">
        <v>177</v>
      </c>
      <c r="G182" s="9">
        <f t="shared" ref="G182" si="37">(E182+F182)*C182</f>
        <v>199564.83</v>
      </c>
      <c r="H182" s="22">
        <v>0</v>
      </c>
      <c r="I182" s="195"/>
      <c r="J182" s="22">
        <f>+Table1[[#This Row],[Previous Qty]]+Table1[[#This Row],[Current Qty]]</f>
        <v>0</v>
      </c>
      <c r="K182" s="9">
        <f>(Table1[[#This Row],[Supply Rate]]+Table1[[#This Row],[Install Rate]])*Table1[[#This Row],[Previous Qty]]</f>
        <v>0</v>
      </c>
      <c r="L182" s="9">
        <f>+Table1[[#This Row],[Current Qty]]*(Table1[[#This Row],[Supply Rate]]+Table1[[#This Row],[Install Rate]])</f>
        <v>0</v>
      </c>
      <c r="M182" s="9">
        <f>(Table1[[#This Row],[Supply Rate]]+Table1[[#This Row],[Install Rate]])*Table1[[#This Row],[Cumulative]]</f>
        <v>0</v>
      </c>
    </row>
    <row r="183" spans="1:13" x14ac:dyDescent="0.35">
      <c r="A183" s="6"/>
      <c r="B183" s="11" t="s">
        <v>11</v>
      </c>
      <c r="C183" s="22"/>
      <c r="D183" s="8"/>
      <c r="E183" s="9"/>
      <c r="F183" s="9"/>
      <c r="G183" s="9"/>
      <c r="H183" s="22">
        <v>0</v>
      </c>
      <c r="I183" s="265"/>
      <c r="J183" s="22">
        <f>+Table1[[#This Row],[Previous Qty]]+Table1[[#This Row],[Current Qty]]</f>
        <v>0</v>
      </c>
      <c r="K183" s="9">
        <f>(Table1[[#This Row],[Supply Rate]]+Table1[[#This Row],[Install Rate]])*Table1[[#This Row],[Previous Qty]]</f>
        <v>0</v>
      </c>
      <c r="L183" s="9">
        <f>+Table1[[#This Row],[Current Qty]]*(Table1[[#This Row],[Supply Rate]]+Table1[[#This Row],[Install Rate]])</f>
        <v>0</v>
      </c>
      <c r="M183" s="9">
        <f>(Table1[[#This Row],[Supply Rate]]+Table1[[#This Row],[Install Rate]])*Table1[[#This Row],[Cumulative]]</f>
        <v>0</v>
      </c>
    </row>
    <row r="184" spans="1:13" ht="29" x14ac:dyDescent="0.35">
      <c r="A184" s="6">
        <v>107</v>
      </c>
      <c r="B184" s="11" t="s">
        <v>133</v>
      </c>
      <c r="C184" s="22">
        <v>55</v>
      </c>
      <c r="D184" s="8" t="s">
        <v>17</v>
      </c>
      <c r="E184" s="9">
        <v>150</v>
      </c>
      <c r="F184" s="9">
        <v>177</v>
      </c>
      <c r="G184" s="9">
        <f t="shared" ref="G184" si="38">(E184+F184)*C184</f>
        <v>17985</v>
      </c>
      <c r="H184" s="22">
        <v>0</v>
      </c>
      <c r="I184" s="265"/>
      <c r="J184" s="22">
        <f>+Table1[[#This Row],[Previous Qty]]+Table1[[#This Row],[Current Qty]]</f>
        <v>0</v>
      </c>
      <c r="K184" s="9">
        <f>(Table1[[#This Row],[Supply Rate]]+Table1[[#This Row],[Install Rate]])*Table1[[#This Row],[Previous Qty]]</f>
        <v>0</v>
      </c>
      <c r="L184" s="9">
        <f>+Table1[[#This Row],[Current Qty]]*(Table1[[#This Row],[Supply Rate]]+Table1[[#This Row],[Install Rate]])</f>
        <v>0</v>
      </c>
      <c r="M184" s="9">
        <f>(Table1[[#This Row],[Supply Rate]]+Table1[[#This Row],[Install Rate]])*Table1[[#This Row],[Cumulative]]</f>
        <v>0</v>
      </c>
    </row>
    <row r="185" spans="1:13" x14ac:dyDescent="0.35">
      <c r="A185" s="6"/>
      <c r="B185" s="10" t="s">
        <v>131</v>
      </c>
      <c r="C185" s="22"/>
      <c r="D185" s="8"/>
      <c r="E185" s="9"/>
      <c r="F185" s="9"/>
      <c r="G185" s="9"/>
      <c r="H185" s="22">
        <v>0</v>
      </c>
      <c r="I185" s="265"/>
      <c r="J185" s="22">
        <f>+Table1[[#This Row],[Previous Qty]]+Table1[[#This Row],[Current Qty]]</f>
        <v>0</v>
      </c>
      <c r="K185" s="9">
        <f>(Table1[[#This Row],[Supply Rate]]+Table1[[#This Row],[Install Rate]])*Table1[[#This Row],[Previous Qty]]</f>
        <v>0</v>
      </c>
      <c r="L185" s="9">
        <f>+Table1[[#This Row],[Current Qty]]*(Table1[[#This Row],[Supply Rate]]+Table1[[#This Row],[Install Rate]])</f>
        <v>0</v>
      </c>
      <c r="M185" s="9">
        <f>(Table1[[#This Row],[Supply Rate]]+Table1[[#This Row],[Install Rate]])*Table1[[#This Row],[Cumulative]]</f>
        <v>0</v>
      </c>
    </row>
    <row r="186" spans="1:13" x14ac:dyDescent="0.35">
      <c r="A186" s="6"/>
      <c r="B186" s="11" t="s">
        <v>44</v>
      </c>
      <c r="C186" s="22"/>
      <c r="D186" s="8"/>
      <c r="E186" s="9"/>
      <c r="F186" s="9"/>
      <c r="G186" s="9"/>
      <c r="H186" s="22">
        <v>0</v>
      </c>
      <c r="I186" s="265"/>
      <c r="J186" s="22">
        <f>+Table1[[#This Row],[Previous Qty]]+Table1[[#This Row],[Current Qty]]</f>
        <v>0</v>
      </c>
      <c r="K186" s="9">
        <f>(Table1[[#This Row],[Supply Rate]]+Table1[[#This Row],[Install Rate]])*Table1[[#This Row],[Previous Qty]]</f>
        <v>0</v>
      </c>
      <c r="L186" s="9">
        <f>+Table1[[#This Row],[Current Qty]]*(Table1[[#This Row],[Supply Rate]]+Table1[[#This Row],[Install Rate]])</f>
        <v>0</v>
      </c>
      <c r="M186" s="9">
        <f>(Table1[[#This Row],[Supply Rate]]+Table1[[#This Row],[Install Rate]])*Table1[[#This Row],[Cumulative]]</f>
        <v>0</v>
      </c>
    </row>
    <row r="187" spans="1:13" ht="29" x14ac:dyDescent="0.35">
      <c r="A187" s="6">
        <v>108</v>
      </c>
      <c r="B187" s="11" t="s">
        <v>134</v>
      </c>
      <c r="C187" s="22">
        <v>1</v>
      </c>
      <c r="D187" s="8" t="s">
        <v>137</v>
      </c>
      <c r="E187" s="9">
        <v>31077</v>
      </c>
      <c r="F187" s="9">
        <v>5246</v>
      </c>
      <c r="G187" s="9">
        <f t="shared" ref="G187:G189" si="39">(E187+F187)*C187</f>
        <v>36323</v>
      </c>
      <c r="H187" s="22">
        <v>0</v>
      </c>
      <c r="I187" s="265"/>
      <c r="J187" s="22">
        <f>+Table1[[#This Row],[Previous Qty]]+Table1[[#This Row],[Current Qty]]</f>
        <v>0</v>
      </c>
      <c r="K187" s="9">
        <f>(Table1[[#This Row],[Supply Rate]]+Table1[[#This Row],[Install Rate]])*Table1[[#This Row],[Previous Qty]]</f>
        <v>0</v>
      </c>
      <c r="L187" s="9">
        <f>+Table1[[#This Row],[Current Qty]]*(Table1[[#This Row],[Supply Rate]]+Table1[[#This Row],[Install Rate]])</f>
        <v>0</v>
      </c>
      <c r="M187" s="9">
        <f>(Table1[[#This Row],[Supply Rate]]+Table1[[#This Row],[Install Rate]])*Table1[[#This Row],[Cumulative]]</f>
        <v>0</v>
      </c>
    </row>
    <row r="188" spans="1:13" ht="29" x14ac:dyDescent="0.35">
      <c r="A188" s="6">
        <v>109</v>
      </c>
      <c r="B188" s="11" t="s">
        <v>135</v>
      </c>
      <c r="C188" s="22">
        <v>17.329999999999998</v>
      </c>
      <c r="D188" s="8" t="s">
        <v>17</v>
      </c>
      <c r="E188" s="9">
        <v>2040</v>
      </c>
      <c r="F188" s="9">
        <v>266</v>
      </c>
      <c r="G188" s="9">
        <f t="shared" si="39"/>
        <v>39962.979999999996</v>
      </c>
      <c r="H188" s="22">
        <v>0</v>
      </c>
      <c r="I188" s="265"/>
      <c r="J188" s="22">
        <f>+Table1[[#This Row],[Previous Qty]]+Table1[[#This Row],[Current Qty]]</f>
        <v>0</v>
      </c>
      <c r="K188" s="9">
        <f>(Table1[[#This Row],[Supply Rate]]+Table1[[#This Row],[Install Rate]])*Table1[[#This Row],[Previous Qty]]</f>
        <v>0</v>
      </c>
      <c r="L188" s="9">
        <f>+Table1[[#This Row],[Current Qty]]*(Table1[[#This Row],[Supply Rate]]+Table1[[#This Row],[Install Rate]])</f>
        <v>0</v>
      </c>
      <c r="M188" s="9">
        <f>(Table1[[#This Row],[Supply Rate]]+Table1[[#This Row],[Install Rate]])*Table1[[#This Row],[Cumulative]]</f>
        <v>0</v>
      </c>
    </row>
    <row r="189" spans="1:13" x14ac:dyDescent="0.35">
      <c r="A189" s="6">
        <v>110</v>
      </c>
      <c r="B189" s="11" t="s">
        <v>136</v>
      </c>
      <c r="C189" s="22">
        <v>1</v>
      </c>
      <c r="D189" s="8" t="s">
        <v>137</v>
      </c>
      <c r="E189" s="9">
        <v>10543</v>
      </c>
      <c r="F189" s="9">
        <v>1990</v>
      </c>
      <c r="G189" s="9">
        <f t="shared" si="39"/>
        <v>12533</v>
      </c>
      <c r="H189" s="22">
        <v>0</v>
      </c>
      <c r="I189" s="265"/>
      <c r="J189" s="22">
        <f>+Table1[[#This Row],[Previous Qty]]+Table1[[#This Row],[Current Qty]]</f>
        <v>0</v>
      </c>
      <c r="K189" s="9">
        <f>(Table1[[#This Row],[Supply Rate]]+Table1[[#This Row],[Install Rate]])*Table1[[#This Row],[Previous Qty]]</f>
        <v>0</v>
      </c>
      <c r="L189" s="9">
        <f>+Table1[[#This Row],[Current Qty]]*(Table1[[#This Row],[Supply Rate]]+Table1[[#This Row],[Install Rate]])</f>
        <v>0</v>
      </c>
      <c r="M189" s="9">
        <f>(Table1[[#This Row],[Supply Rate]]+Table1[[#This Row],[Install Rate]])*Table1[[#This Row],[Cumulative]]</f>
        <v>0</v>
      </c>
    </row>
    <row r="190" spans="1:13" x14ac:dyDescent="0.35">
      <c r="A190" s="6"/>
      <c r="B190" s="11" t="s">
        <v>138</v>
      </c>
      <c r="C190" s="22"/>
      <c r="D190" s="8"/>
      <c r="E190" s="9"/>
      <c r="F190" s="9"/>
      <c r="G190" s="9"/>
      <c r="H190" s="22">
        <v>0</v>
      </c>
      <c r="I190" s="265"/>
      <c r="J190" s="22">
        <f>+Table1[[#This Row],[Previous Qty]]+Table1[[#This Row],[Current Qty]]</f>
        <v>0</v>
      </c>
      <c r="K190" s="9">
        <f>(Table1[[#This Row],[Supply Rate]]+Table1[[#This Row],[Install Rate]])*Table1[[#This Row],[Previous Qty]]</f>
        <v>0</v>
      </c>
      <c r="L190" s="9">
        <f>+Table1[[#This Row],[Current Qty]]*(Table1[[#This Row],[Supply Rate]]+Table1[[#This Row],[Install Rate]])</f>
        <v>0</v>
      </c>
      <c r="M190" s="9">
        <f>(Table1[[#This Row],[Supply Rate]]+Table1[[#This Row],[Install Rate]])*Table1[[#This Row],[Cumulative]]</f>
        <v>0</v>
      </c>
    </row>
    <row r="191" spans="1:13" ht="29" x14ac:dyDescent="0.35">
      <c r="A191" s="6">
        <v>111</v>
      </c>
      <c r="B191" s="11" t="s">
        <v>139</v>
      </c>
      <c r="C191" s="22">
        <v>24.7</v>
      </c>
      <c r="D191" s="8" t="s">
        <v>10</v>
      </c>
      <c r="E191" s="9">
        <v>69</v>
      </c>
      <c r="F191" s="9">
        <v>47</v>
      </c>
      <c r="G191" s="9">
        <f t="shared" ref="G191:G192" si="40">(E191+F191)*C191</f>
        <v>2865.2</v>
      </c>
      <c r="H191" s="22">
        <v>0</v>
      </c>
      <c r="I191" s="265"/>
      <c r="J191" s="22">
        <f>+Table1[[#This Row],[Previous Qty]]+Table1[[#This Row],[Current Qty]]</f>
        <v>0</v>
      </c>
      <c r="K191" s="9">
        <f>(Table1[[#This Row],[Supply Rate]]+Table1[[#This Row],[Install Rate]])*Table1[[#This Row],[Previous Qty]]</f>
        <v>0</v>
      </c>
      <c r="L191" s="9">
        <f>+Table1[[#This Row],[Current Qty]]*(Table1[[#This Row],[Supply Rate]]+Table1[[#This Row],[Install Rate]])</f>
        <v>0</v>
      </c>
      <c r="M191" s="9">
        <f>(Table1[[#This Row],[Supply Rate]]+Table1[[#This Row],[Install Rate]])*Table1[[#This Row],[Cumulative]]</f>
        <v>0</v>
      </c>
    </row>
    <row r="192" spans="1:13" ht="29" x14ac:dyDescent="0.35">
      <c r="A192" s="6">
        <v>112</v>
      </c>
      <c r="B192" s="11" t="s">
        <v>140</v>
      </c>
      <c r="C192" s="22">
        <v>148.44</v>
      </c>
      <c r="D192" s="8" t="s">
        <v>17</v>
      </c>
      <c r="E192" s="9">
        <v>163</v>
      </c>
      <c r="F192" s="9">
        <v>192</v>
      </c>
      <c r="G192" s="9">
        <f t="shared" si="40"/>
        <v>52696.2</v>
      </c>
      <c r="H192" s="22">
        <v>0</v>
      </c>
      <c r="I192" s="265"/>
      <c r="J192" s="22">
        <f>+Table1[[#This Row],[Previous Qty]]+Table1[[#This Row],[Current Qty]]</f>
        <v>0</v>
      </c>
      <c r="K192" s="9">
        <f>(Table1[[#This Row],[Supply Rate]]+Table1[[#This Row],[Install Rate]])*Table1[[#This Row],[Previous Qty]]</f>
        <v>0</v>
      </c>
      <c r="L192" s="9">
        <f>+Table1[[#This Row],[Current Qty]]*(Table1[[#This Row],[Supply Rate]]+Table1[[#This Row],[Install Rate]])</f>
        <v>0</v>
      </c>
      <c r="M192" s="9">
        <f>(Table1[[#This Row],[Supply Rate]]+Table1[[#This Row],[Install Rate]])*Table1[[#This Row],[Cumulative]]</f>
        <v>0</v>
      </c>
    </row>
    <row r="193" spans="1:13" x14ac:dyDescent="0.35">
      <c r="A193" s="6"/>
      <c r="B193" s="11" t="s">
        <v>85</v>
      </c>
      <c r="C193" s="22"/>
      <c r="D193" s="8"/>
      <c r="E193" s="9"/>
      <c r="F193" s="9"/>
      <c r="G193" s="9"/>
      <c r="H193" s="22">
        <v>0</v>
      </c>
      <c r="I193" s="265"/>
      <c r="J193" s="22">
        <f>+Table1[[#This Row],[Previous Qty]]+Table1[[#This Row],[Current Qty]]</f>
        <v>0</v>
      </c>
      <c r="K193" s="9">
        <f>(Table1[[#This Row],[Supply Rate]]+Table1[[#This Row],[Install Rate]])*Table1[[#This Row],[Previous Qty]]</f>
        <v>0</v>
      </c>
      <c r="L193" s="9">
        <f>+Table1[[#This Row],[Current Qty]]*(Table1[[#This Row],[Supply Rate]]+Table1[[#This Row],[Install Rate]])</f>
        <v>0</v>
      </c>
      <c r="M193" s="9">
        <f>(Table1[[#This Row],[Supply Rate]]+Table1[[#This Row],[Install Rate]])*Table1[[#This Row],[Cumulative]]</f>
        <v>0</v>
      </c>
    </row>
    <row r="194" spans="1:13" ht="29" x14ac:dyDescent="0.35">
      <c r="A194" s="6">
        <v>113</v>
      </c>
      <c r="B194" s="11" t="s">
        <v>141</v>
      </c>
      <c r="C194" s="22">
        <v>7.23</v>
      </c>
      <c r="D194" s="8" t="s">
        <v>10</v>
      </c>
      <c r="E194" s="9">
        <v>88.343560606060606</v>
      </c>
      <c r="F194" s="9">
        <v>37.987954545454542</v>
      </c>
      <c r="G194" s="9">
        <f t="shared" ref="G194:G195" si="41">(E194+F194)*C194</f>
        <v>913.37685454545453</v>
      </c>
      <c r="H194" s="22">
        <v>0</v>
      </c>
      <c r="I194" s="265"/>
      <c r="J194" s="22">
        <f>+Table1[[#This Row],[Previous Qty]]+Table1[[#This Row],[Current Qty]]</f>
        <v>0</v>
      </c>
      <c r="K194" s="9">
        <f>(Table1[[#This Row],[Supply Rate]]+Table1[[#This Row],[Install Rate]])*Table1[[#This Row],[Previous Qty]]</f>
        <v>0</v>
      </c>
      <c r="L194" s="9">
        <f>+Table1[[#This Row],[Current Qty]]*(Table1[[#This Row],[Supply Rate]]+Table1[[#This Row],[Install Rate]])</f>
        <v>0</v>
      </c>
      <c r="M194" s="9">
        <f>(Table1[[#This Row],[Supply Rate]]+Table1[[#This Row],[Install Rate]])*Table1[[#This Row],[Cumulative]]</f>
        <v>0</v>
      </c>
    </row>
    <row r="195" spans="1:13" ht="29" x14ac:dyDescent="0.35">
      <c r="A195" s="6">
        <v>114</v>
      </c>
      <c r="B195" s="11" t="s">
        <v>142</v>
      </c>
      <c r="C195" s="22">
        <v>7.23</v>
      </c>
      <c r="D195" s="8" t="s">
        <v>10</v>
      </c>
      <c r="E195" s="9">
        <v>46.870588235294107</v>
      </c>
      <c r="F195" s="9">
        <v>24.291176470588233</v>
      </c>
      <c r="G195" s="9">
        <f t="shared" si="41"/>
        <v>514.49955882352936</v>
      </c>
      <c r="H195" s="22">
        <v>0</v>
      </c>
      <c r="I195" s="265"/>
      <c r="J195" s="22">
        <f>+Table1[[#This Row],[Previous Qty]]+Table1[[#This Row],[Current Qty]]</f>
        <v>0</v>
      </c>
      <c r="K195" s="9">
        <f>(Table1[[#This Row],[Supply Rate]]+Table1[[#This Row],[Install Rate]])*Table1[[#This Row],[Previous Qty]]</f>
        <v>0</v>
      </c>
      <c r="L195" s="9">
        <f>+Table1[[#This Row],[Current Qty]]*(Table1[[#This Row],[Supply Rate]]+Table1[[#This Row],[Install Rate]])</f>
        <v>0</v>
      </c>
      <c r="M195" s="9">
        <f>(Table1[[#This Row],[Supply Rate]]+Table1[[#This Row],[Install Rate]])*Table1[[#This Row],[Cumulative]]</f>
        <v>0</v>
      </c>
    </row>
    <row r="196" spans="1:13" x14ac:dyDescent="0.35">
      <c r="A196" s="6"/>
      <c r="B196" s="11" t="s">
        <v>143</v>
      </c>
      <c r="C196" s="22"/>
      <c r="D196" s="8"/>
      <c r="E196" s="9"/>
      <c r="F196" s="9"/>
      <c r="G196" s="9"/>
      <c r="H196" s="22">
        <v>0</v>
      </c>
      <c r="I196" s="265"/>
      <c r="J196" s="22">
        <f>+Table1[[#This Row],[Previous Qty]]+Table1[[#This Row],[Current Qty]]</f>
        <v>0</v>
      </c>
      <c r="K196" s="9">
        <f>(Table1[[#This Row],[Supply Rate]]+Table1[[#This Row],[Install Rate]])*Table1[[#This Row],[Previous Qty]]</f>
        <v>0</v>
      </c>
      <c r="L196" s="9">
        <f>+Table1[[#This Row],[Current Qty]]*(Table1[[#This Row],[Supply Rate]]+Table1[[#This Row],[Install Rate]])</f>
        <v>0</v>
      </c>
      <c r="M196" s="9">
        <f>(Table1[[#This Row],[Supply Rate]]+Table1[[#This Row],[Install Rate]])*Table1[[#This Row],[Cumulative]]</f>
        <v>0</v>
      </c>
    </row>
    <row r="197" spans="1:13" ht="29" x14ac:dyDescent="0.35">
      <c r="A197" s="6">
        <v>115</v>
      </c>
      <c r="B197" s="11" t="s">
        <v>144</v>
      </c>
      <c r="C197" s="22">
        <v>7.94</v>
      </c>
      <c r="D197" s="8" t="s">
        <v>10</v>
      </c>
      <c r="E197" s="9">
        <v>88.343560606060606</v>
      </c>
      <c r="F197" s="9">
        <v>37.987954545454542</v>
      </c>
      <c r="G197" s="9">
        <f t="shared" ref="G197:G200" si="42">(E197+F197)*C197</f>
        <v>1003.0722303030303</v>
      </c>
      <c r="H197" s="22">
        <v>0</v>
      </c>
      <c r="I197" s="265"/>
      <c r="J197" s="22">
        <f>+Table1[[#This Row],[Previous Qty]]+Table1[[#This Row],[Current Qty]]</f>
        <v>0</v>
      </c>
      <c r="K197" s="9">
        <f>(Table1[[#This Row],[Supply Rate]]+Table1[[#This Row],[Install Rate]])*Table1[[#This Row],[Previous Qty]]</f>
        <v>0</v>
      </c>
      <c r="L197" s="9">
        <f>+Table1[[#This Row],[Current Qty]]*(Table1[[#This Row],[Supply Rate]]+Table1[[#This Row],[Install Rate]])</f>
        <v>0</v>
      </c>
      <c r="M197" s="9">
        <f>(Table1[[#This Row],[Supply Rate]]+Table1[[#This Row],[Install Rate]])*Table1[[#This Row],[Cumulative]]</f>
        <v>0</v>
      </c>
    </row>
    <row r="198" spans="1:13" ht="29" x14ac:dyDescent="0.35">
      <c r="A198" s="6">
        <v>116</v>
      </c>
      <c r="B198" s="11" t="s">
        <v>145</v>
      </c>
      <c r="C198" s="22">
        <v>11.71</v>
      </c>
      <c r="D198" s="8" t="s">
        <v>10</v>
      </c>
      <c r="E198" s="9">
        <v>46.870588235294107</v>
      </c>
      <c r="F198" s="9">
        <v>24.291176470588233</v>
      </c>
      <c r="G198" s="9">
        <f t="shared" si="42"/>
        <v>833.30426470588236</v>
      </c>
      <c r="H198" s="22">
        <v>0</v>
      </c>
      <c r="I198" s="265"/>
      <c r="J198" s="22">
        <f>+Table1[[#This Row],[Previous Qty]]+Table1[[#This Row],[Current Qty]]</f>
        <v>0</v>
      </c>
      <c r="K198" s="9">
        <f>(Table1[[#This Row],[Supply Rate]]+Table1[[#This Row],[Install Rate]])*Table1[[#This Row],[Previous Qty]]</f>
        <v>0</v>
      </c>
      <c r="L198" s="9">
        <f>+Table1[[#This Row],[Current Qty]]*(Table1[[#This Row],[Supply Rate]]+Table1[[#This Row],[Install Rate]])</f>
        <v>0</v>
      </c>
      <c r="M198" s="9">
        <f>(Table1[[#This Row],[Supply Rate]]+Table1[[#This Row],[Install Rate]])*Table1[[#This Row],[Cumulative]]</f>
        <v>0</v>
      </c>
    </row>
    <row r="199" spans="1:13" ht="29" x14ac:dyDescent="0.35">
      <c r="A199" s="6">
        <v>117</v>
      </c>
      <c r="B199" s="11" t="s">
        <v>146</v>
      </c>
      <c r="C199" s="22">
        <v>18.95</v>
      </c>
      <c r="D199" s="8" t="s">
        <v>17</v>
      </c>
      <c r="E199" s="9">
        <v>220</v>
      </c>
      <c r="F199" s="9">
        <v>174</v>
      </c>
      <c r="G199" s="9">
        <f t="shared" si="42"/>
        <v>7466.2999999999993</v>
      </c>
      <c r="H199" s="22">
        <v>0</v>
      </c>
      <c r="I199" s="265"/>
      <c r="J199" s="22">
        <f>+Table1[[#This Row],[Previous Qty]]+Table1[[#This Row],[Current Qty]]</f>
        <v>0</v>
      </c>
      <c r="K199" s="9">
        <f>(Table1[[#This Row],[Supply Rate]]+Table1[[#This Row],[Install Rate]])*Table1[[#This Row],[Previous Qty]]</f>
        <v>0</v>
      </c>
      <c r="L199" s="9">
        <f>+Table1[[#This Row],[Current Qty]]*(Table1[[#This Row],[Supply Rate]]+Table1[[#This Row],[Install Rate]])</f>
        <v>0</v>
      </c>
      <c r="M199" s="9">
        <f>(Table1[[#This Row],[Supply Rate]]+Table1[[#This Row],[Install Rate]])*Table1[[#This Row],[Cumulative]]</f>
        <v>0</v>
      </c>
    </row>
    <row r="200" spans="1:13" ht="29" x14ac:dyDescent="0.35">
      <c r="A200" s="6">
        <v>118</v>
      </c>
      <c r="B200" s="11" t="s">
        <v>147</v>
      </c>
      <c r="C200" s="22">
        <v>17.7</v>
      </c>
      <c r="D200" s="8" t="s">
        <v>10</v>
      </c>
      <c r="E200" s="9">
        <v>140.61176470588234</v>
      </c>
      <c r="F200" s="9">
        <v>72.873529411764707</v>
      </c>
      <c r="G200" s="9">
        <f t="shared" si="42"/>
        <v>3778.6897058823524</v>
      </c>
      <c r="H200" s="22">
        <v>0</v>
      </c>
      <c r="I200" s="265"/>
      <c r="J200" s="22">
        <f>+Table1[[#This Row],[Previous Qty]]+Table1[[#This Row],[Current Qty]]</f>
        <v>0</v>
      </c>
      <c r="K200" s="9">
        <f>(Table1[[#This Row],[Supply Rate]]+Table1[[#This Row],[Install Rate]])*Table1[[#This Row],[Previous Qty]]</f>
        <v>0</v>
      </c>
      <c r="L200" s="9">
        <f>+Table1[[#This Row],[Current Qty]]*(Table1[[#This Row],[Supply Rate]]+Table1[[#This Row],[Install Rate]])</f>
        <v>0</v>
      </c>
      <c r="M200" s="9">
        <f>(Table1[[#This Row],[Supply Rate]]+Table1[[#This Row],[Install Rate]])*Table1[[#This Row],[Cumulative]]</f>
        <v>0</v>
      </c>
    </row>
    <row r="201" spans="1:13" x14ac:dyDescent="0.35">
      <c r="A201" s="6"/>
      <c r="B201" s="11" t="s">
        <v>148</v>
      </c>
      <c r="C201" s="22"/>
      <c r="D201" s="8"/>
      <c r="E201" s="9"/>
      <c r="F201" s="9"/>
      <c r="G201" s="9"/>
      <c r="H201" s="22">
        <v>0</v>
      </c>
      <c r="I201" s="265"/>
      <c r="J201" s="22">
        <f>+Table1[[#This Row],[Previous Qty]]+Table1[[#This Row],[Current Qty]]</f>
        <v>0</v>
      </c>
      <c r="K201" s="9">
        <f>(Table1[[#This Row],[Supply Rate]]+Table1[[#This Row],[Install Rate]])*Table1[[#This Row],[Previous Qty]]</f>
        <v>0</v>
      </c>
      <c r="L201" s="9">
        <f>+Table1[[#This Row],[Current Qty]]*(Table1[[#This Row],[Supply Rate]]+Table1[[#This Row],[Install Rate]])</f>
        <v>0</v>
      </c>
      <c r="M201" s="9">
        <f>(Table1[[#This Row],[Supply Rate]]+Table1[[#This Row],[Install Rate]])*Table1[[#This Row],[Cumulative]]</f>
        <v>0</v>
      </c>
    </row>
    <row r="202" spans="1:13" ht="29" x14ac:dyDescent="0.35">
      <c r="A202" s="6">
        <v>119</v>
      </c>
      <c r="B202" s="11" t="s">
        <v>149</v>
      </c>
      <c r="C202" s="22">
        <v>45.25</v>
      </c>
      <c r="D202" s="8" t="s">
        <v>10</v>
      </c>
      <c r="E202" s="9">
        <v>253</v>
      </c>
      <c r="F202" s="9">
        <v>98</v>
      </c>
      <c r="G202" s="9">
        <f t="shared" ref="G202:G203" si="43">(E202+F202)*C202</f>
        <v>15882.75</v>
      </c>
      <c r="H202" s="22">
        <v>0</v>
      </c>
      <c r="I202" s="265"/>
      <c r="J202" s="22">
        <f>+Table1[[#This Row],[Previous Qty]]+Table1[[#This Row],[Current Qty]]</f>
        <v>0</v>
      </c>
      <c r="K202" s="9">
        <f>(Table1[[#This Row],[Supply Rate]]+Table1[[#This Row],[Install Rate]])*Table1[[#This Row],[Previous Qty]]</f>
        <v>0</v>
      </c>
      <c r="L202" s="9">
        <f>+Table1[[#This Row],[Current Qty]]*(Table1[[#This Row],[Supply Rate]]+Table1[[#This Row],[Install Rate]])</f>
        <v>0</v>
      </c>
      <c r="M202" s="9">
        <f>(Table1[[#This Row],[Supply Rate]]+Table1[[#This Row],[Install Rate]])*Table1[[#This Row],[Cumulative]]</f>
        <v>0</v>
      </c>
    </row>
    <row r="203" spans="1:13" ht="29" x14ac:dyDescent="0.35">
      <c r="A203" s="6">
        <v>120</v>
      </c>
      <c r="B203" s="11" t="s">
        <v>150</v>
      </c>
      <c r="C203" s="22">
        <v>45.25</v>
      </c>
      <c r="D203" s="8" t="s">
        <v>10</v>
      </c>
      <c r="E203" s="9">
        <v>28</v>
      </c>
      <c r="F203" s="9">
        <v>23</v>
      </c>
      <c r="G203" s="9">
        <f t="shared" si="43"/>
        <v>2307.75</v>
      </c>
      <c r="H203" s="22">
        <v>0</v>
      </c>
      <c r="I203" s="265"/>
      <c r="J203" s="22">
        <f>+Table1[[#This Row],[Previous Qty]]+Table1[[#This Row],[Current Qty]]</f>
        <v>0</v>
      </c>
      <c r="K203" s="9">
        <f>(Table1[[#This Row],[Supply Rate]]+Table1[[#This Row],[Install Rate]])*Table1[[#This Row],[Previous Qty]]</f>
        <v>0</v>
      </c>
      <c r="L203" s="9">
        <f>+Table1[[#This Row],[Current Qty]]*(Table1[[#This Row],[Supply Rate]]+Table1[[#This Row],[Install Rate]])</f>
        <v>0</v>
      </c>
      <c r="M203" s="9">
        <f>(Table1[[#This Row],[Supply Rate]]+Table1[[#This Row],[Install Rate]])*Table1[[#This Row],[Cumulative]]</f>
        <v>0</v>
      </c>
    </row>
    <row r="204" spans="1:13" x14ac:dyDescent="0.35">
      <c r="A204" s="6"/>
      <c r="B204" s="11" t="s">
        <v>151</v>
      </c>
      <c r="C204" s="22"/>
      <c r="D204" s="8"/>
      <c r="E204" s="9"/>
      <c r="F204" s="9"/>
      <c r="G204" s="9"/>
      <c r="H204" s="22">
        <v>0</v>
      </c>
      <c r="I204" s="265"/>
      <c r="J204" s="22">
        <f>+Table1[[#This Row],[Previous Qty]]+Table1[[#This Row],[Current Qty]]</f>
        <v>0</v>
      </c>
      <c r="K204" s="9">
        <f>(Table1[[#This Row],[Supply Rate]]+Table1[[#This Row],[Install Rate]])*Table1[[#This Row],[Previous Qty]]</f>
        <v>0</v>
      </c>
      <c r="L204" s="9">
        <f>+Table1[[#This Row],[Current Qty]]*(Table1[[#This Row],[Supply Rate]]+Table1[[#This Row],[Install Rate]])</f>
        <v>0</v>
      </c>
      <c r="M204" s="9">
        <f>(Table1[[#This Row],[Supply Rate]]+Table1[[#This Row],[Install Rate]])*Table1[[#This Row],[Cumulative]]</f>
        <v>0</v>
      </c>
    </row>
    <row r="205" spans="1:13" ht="29" x14ac:dyDescent="0.35">
      <c r="A205" s="6">
        <v>121</v>
      </c>
      <c r="B205" s="11" t="s">
        <v>152</v>
      </c>
      <c r="C205" s="22">
        <v>86.3</v>
      </c>
      <c r="D205" s="8" t="s">
        <v>36</v>
      </c>
      <c r="E205" s="9">
        <v>69</v>
      </c>
      <c r="F205" s="9">
        <v>47</v>
      </c>
      <c r="G205" s="9">
        <f t="shared" ref="G205:G223" si="44">(E205+F205)*C205</f>
        <v>10010.799999999999</v>
      </c>
      <c r="H205" s="22">
        <v>0</v>
      </c>
      <c r="I205" s="265"/>
      <c r="J205" s="22">
        <f>+Table1[[#This Row],[Previous Qty]]+Table1[[#This Row],[Current Qty]]</f>
        <v>0</v>
      </c>
      <c r="K205" s="9">
        <f>(Table1[[#This Row],[Supply Rate]]+Table1[[#This Row],[Install Rate]])*Table1[[#This Row],[Previous Qty]]</f>
        <v>0</v>
      </c>
      <c r="L205" s="9">
        <f>+Table1[[#This Row],[Current Qty]]*(Table1[[#This Row],[Supply Rate]]+Table1[[#This Row],[Install Rate]])</f>
        <v>0</v>
      </c>
      <c r="M205" s="9">
        <f>(Table1[[#This Row],[Supply Rate]]+Table1[[#This Row],[Install Rate]])*Table1[[#This Row],[Cumulative]]</f>
        <v>0</v>
      </c>
    </row>
    <row r="206" spans="1:13" ht="29" x14ac:dyDescent="0.35">
      <c r="A206" s="6">
        <v>122</v>
      </c>
      <c r="B206" s="11" t="s">
        <v>153</v>
      </c>
      <c r="C206" s="22">
        <v>453</v>
      </c>
      <c r="D206" s="8" t="s">
        <v>17</v>
      </c>
      <c r="E206" s="9">
        <v>210</v>
      </c>
      <c r="F206" s="9">
        <v>161</v>
      </c>
      <c r="G206" s="9">
        <f t="shared" si="44"/>
        <v>168063</v>
      </c>
      <c r="H206" s="22">
        <v>0</v>
      </c>
      <c r="I206" s="265"/>
      <c r="J206" s="22">
        <f>+Table1[[#This Row],[Previous Qty]]+Table1[[#This Row],[Current Qty]]</f>
        <v>0</v>
      </c>
      <c r="K206" s="9">
        <f>(Table1[[#This Row],[Supply Rate]]+Table1[[#This Row],[Install Rate]])*Table1[[#This Row],[Previous Qty]]</f>
        <v>0</v>
      </c>
      <c r="L206" s="9">
        <f>+Table1[[#This Row],[Current Qty]]*(Table1[[#This Row],[Supply Rate]]+Table1[[#This Row],[Install Rate]])</f>
        <v>0</v>
      </c>
      <c r="M206" s="9">
        <f>(Table1[[#This Row],[Supply Rate]]+Table1[[#This Row],[Install Rate]])*Table1[[#This Row],[Cumulative]]</f>
        <v>0</v>
      </c>
    </row>
    <row r="207" spans="1:13" ht="29" x14ac:dyDescent="0.35">
      <c r="A207" s="6">
        <v>123</v>
      </c>
      <c r="B207" s="11" t="s">
        <v>154</v>
      </c>
      <c r="C207" s="22">
        <v>407</v>
      </c>
      <c r="D207" s="8" t="s">
        <v>17</v>
      </c>
      <c r="E207" s="9">
        <v>210</v>
      </c>
      <c r="F207" s="9">
        <v>143</v>
      </c>
      <c r="G207" s="9">
        <f t="shared" si="44"/>
        <v>143671</v>
      </c>
      <c r="H207" s="22">
        <v>0</v>
      </c>
      <c r="I207" s="265"/>
      <c r="J207" s="22">
        <f>+Table1[[#This Row],[Previous Qty]]+Table1[[#This Row],[Current Qty]]</f>
        <v>0</v>
      </c>
      <c r="K207" s="9">
        <f>(Table1[[#This Row],[Supply Rate]]+Table1[[#This Row],[Install Rate]])*Table1[[#This Row],[Previous Qty]]</f>
        <v>0</v>
      </c>
      <c r="L207" s="9">
        <f>+Table1[[#This Row],[Current Qty]]*(Table1[[#This Row],[Supply Rate]]+Table1[[#This Row],[Install Rate]])</f>
        <v>0</v>
      </c>
      <c r="M207" s="9">
        <f>(Table1[[#This Row],[Supply Rate]]+Table1[[#This Row],[Install Rate]])*Table1[[#This Row],[Cumulative]]</f>
        <v>0</v>
      </c>
    </row>
    <row r="208" spans="1:13" ht="29" x14ac:dyDescent="0.35">
      <c r="A208" s="6">
        <v>124</v>
      </c>
      <c r="B208" s="11" t="s">
        <v>155</v>
      </c>
      <c r="C208" s="22">
        <v>158.80000000000001</v>
      </c>
      <c r="D208" s="8" t="s">
        <v>10</v>
      </c>
      <c r="E208" s="9">
        <v>143</v>
      </c>
      <c r="F208" s="9">
        <v>87</v>
      </c>
      <c r="G208" s="9">
        <f t="shared" si="44"/>
        <v>36524</v>
      </c>
      <c r="H208" s="22">
        <v>0</v>
      </c>
      <c r="I208" s="265"/>
      <c r="J208" s="22">
        <f>+Table1[[#This Row],[Previous Qty]]+Table1[[#This Row],[Current Qty]]</f>
        <v>0</v>
      </c>
      <c r="K208" s="9">
        <f>(Table1[[#This Row],[Supply Rate]]+Table1[[#This Row],[Install Rate]])*Table1[[#This Row],[Previous Qty]]</f>
        <v>0</v>
      </c>
      <c r="L208" s="9">
        <f>+Table1[[#This Row],[Current Qty]]*(Table1[[#This Row],[Supply Rate]]+Table1[[#This Row],[Install Rate]])</f>
        <v>0</v>
      </c>
      <c r="M208" s="9">
        <f>(Table1[[#This Row],[Supply Rate]]+Table1[[#This Row],[Install Rate]])*Table1[[#This Row],[Cumulative]]</f>
        <v>0</v>
      </c>
    </row>
    <row r="209" spans="1:13" ht="29" x14ac:dyDescent="0.35">
      <c r="A209" s="6">
        <v>125</v>
      </c>
      <c r="B209" s="11" t="s">
        <v>156</v>
      </c>
      <c r="C209" s="22">
        <v>29.7</v>
      </c>
      <c r="D209" s="8" t="s">
        <v>10</v>
      </c>
      <c r="E209" s="9">
        <v>279</v>
      </c>
      <c r="F209" s="9">
        <v>175</v>
      </c>
      <c r="G209" s="9">
        <f t="shared" si="44"/>
        <v>13483.8</v>
      </c>
      <c r="H209" s="22">
        <v>0</v>
      </c>
      <c r="I209" s="265"/>
      <c r="J209" s="22">
        <f>+Table1[[#This Row],[Previous Qty]]+Table1[[#This Row],[Current Qty]]</f>
        <v>0</v>
      </c>
      <c r="K209" s="9">
        <f>(Table1[[#This Row],[Supply Rate]]+Table1[[#This Row],[Install Rate]])*Table1[[#This Row],[Previous Qty]]</f>
        <v>0</v>
      </c>
      <c r="L209" s="9">
        <f>+Table1[[#This Row],[Current Qty]]*(Table1[[#This Row],[Supply Rate]]+Table1[[#This Row],[Install Rate]])</f>
        <v>0</v>
      </c>
      <c r="M209" s="9">
        <f>(Table1[[#This Row],[Supply Rate]]+Table1[[#This Row],[Install Rate]])*Table1[[#This Row],[Cumulative]]</f>
        <v>0</v>
      </c>
    </row>
    <row r="210" spans="1:13" ht="29" x14ac:dyDescent="0.35">
      <c r="A210" s="6">
        <v>126</v>
      </c>
      <c r="B210" s="11" t="s">
        <v>157</v>
      </c>
      <c r="C210" s="22">
        <v>21.5</v>
      </c>
      <c r="D210" s="8" t="s">
        <v>10</v>
      </c>
      <c r="E210" s="9">
        <v>97</v>
      </c>
      <c r="F210" s="9">
        <v>58</v>
      </c>
      <c r="G210" s="9">
        <f t="shared" si="44"/>
        <v>3332.5</v>
      </c>
      <c r="H210" s="22">
        <v>0</v>
      </c>
      <c r="I210" s="265"/>
      <c r="J210" s="22">
        <f>+Table1[[#This Row],[Previous Qty]]+Table1[[#This Row],[Current Qty]]</f>
        <v>0</v>
      </c>
      <c r="K210" s="9">
        <f>(Table1[[#This Row],[Supply Rate]]+Table1[[#This Row],[Install Rate]])*Table1[[#This Row],[Previous Qty]]</f>
        <v>0</v>
      </c>
      <c r="L210" s="9">
        <f>+Table1[[#This Row],[Current Qty]]*(Table1[[#This Row],[Supply Rate]]+Table1[[#This Row],[Install Rate]])</f>
        <v>0</v>
      </c>
      <c r="M210" s="9">
        <f>(Table1[[#This Row],[Supply Rate]]+Table1[[#This Row],[Install Rate]])*Table1[[#This Row],[Cumulative]]</f>
        <v>0</v>
      </c>
    </row>
    <row r="211" spans="1:13" ht="29" x14ac:dyDescent="0.35">
      <c r="A211" s="6">
        <v>127</v>
      </c>
      <c r="B211" s="11" t="s">
        <v>158</v>
      </c>
      <c r="C211" s="22">
        <v>6.2</v>
      </c>
      <c r="D211" s="8" t="s">
        <v>10</v>
      </c>
      <c r="E211" s="9">
        <v>75</v>
      </c>
      <c r="F211" s="9">
        <v>44</v>
      </c>
      <c r="G211" s="9">
        <f t="shared" si="44"/>
        <v>737.80000000000007</v>
      </c>
      <c r="H211" s="22">
        <v>0</v>
      </c>
      <c r="I211" s="265"/>
      <c r="J211" s="22">
        <f>+Table1[[#This Row],[Previous Qty]]+Table1[[#This Row],[Current Qty]]</f>
        <v>0</v>
      </c>
      <c r="K211" s="9">
        <f>(Table1[[#This Row],[Supply Rate]]+Table1[[#This Row],[Install Rate]])*Table1[[#This Row],[Previous Qty]]</f>
        <v>0</v>
      </c>
      <c r="L211" s="9">
        <f>+Table1[[#This Row],[Current Qty]]*(Table1[[#This Row],[Supply Rate]]+Table1[[#This Row],[Install Rate]])</f>
        <v>0</v>
      </c>
      <c r="M211" s="9">
        <f>(Table1[[#This Row],[Supply Rate]]+Table1[[#This Row],[Install Rate]])*Table1[[#This Row],[Cumulative]]</f>
        <v>0</v>
      </c>
    </row>
    <row r="212" spans="1:13" ht="29" x14ac:dyDescent="0.35">
      <c r="A212" s="6">
        <v>128</v>
      </c>
      <c r="B212" s="11" t="s">
        <v>159</v>
      </c>
      <c r="C212" s="22">
        <v>95</v>
      </c>
      <c r="D212" s="8" t="s">
        <v>10</v>
      </c>
      <c r="E212" s="9">
        <v>109</v>
      </c>
      <c r="F212" s="9">
        <v>66</v>
      </c>
      <c r="G212" s="9">
        <f t="shared" si="44"/>
        <v>16625</v>
      </c>
      <c r="H212" s="22">
        <v>0</v>
      </c>
      <c r="I212" s="265"/>
      <c r="J212" s="22">
        <f>+Table1[[#This Row],[Previous Qty]]+Table1[[#This Row],[Current Qty]]</f>
        <v>0</v>
      </c>
      <c r="K212" s="9">
        <f>(Table1[[#This Row],[Supply Rate]]+Table1[[#This Row],[Install Rate]])*Table1[[#This Row],[Previous Qty]]</f>
        <v>0</v>
      </c>
      <c r="L212" s="9">
        <f>+Table1[[#This Row],[Current Qty]]*(Table1[[#This Row],[Supply Rate]]+Table1[[#This Row],[Install Rate]])</f>
        <v>0</v>
      </c>
      <c r="M212" s="9">
        <f>(Table1[[#This Row],[Supply Rate]]+Table1[[#This Row],[Install Rate]])*Table1[[#This Row],[Cumulative]]</f>
        <v>0</v>
      </c>
    </row>
    <row r="213" spans="1:13" ht="29" x14ac:dyDescent="0.35">
      <c r="A213" s="6">
        <v>129</v>
      </c>
      <c r="B213" s="11" t="s">
        <v>160</v>
      </c>
      <c r="C213" s="22">
        <v>6.7</v>
      </c>
      <c r="D213" s="8" t="s">
        <v>10</v>
      </c>
      <c r="E213" s="9">
        <v>371</v>
      </c>
      <c r="F213" s="9">
        <v>233</v>
      </c>
      <c r="G213" s="9">
        <f t="shared" si="44"/>
        <v>4046.8</v>
      </c>
      <c r="H213" s="22">
        <v>0</v>
      </c>
      <c r="I213" s="265"/>
      <c r="J213" s="22">
        <f>+Table1[[#This Row],[Previous Qty]]+Table1[[#This Row],[Current Qty]]</f>
        <v>0</v>
      </c>
      <c r="K213" s="9">
        <f>(Table1[[#This Row],[Supply Rate]]+Table1[[#This Row],[Install Rate]])*Table1[[#This Row],[Previous Qty]]</f>
        <v>0</v>
      </c>
      <c r="L213" s="9">
        <f>+Table1[[#This Row],[Current Qty]]*(Table1[[#This Row],[Supply Rate]]+Table1[[#This Row],[Install Rate]])</f>
        <v>0</v>
      </c>
      <c r="M213" s="9">
        <f>(Table1[[#This Row],[Supply Rate]]+Table1[[#This Row],[Install Rate]])*Table1[[#This Row],[Cumulative]]</f>
        <v>0</v>
      </c>
    </row>
    <row r="214" spans="1:13" ht="29" x14ac:dyDescent="0.35">
      <c r="A214" s="6">
        <v>130</v>
      </c>
      <c r="B214" s="11" t="s">
        <v>161</v>
      </c>
      <c r="C214" s="22">
        <v>19</v>
      </c>
      <c r="D214" s="8" t="s">
        <v>10</v>
      </c>
      <c r="E214" s="9">
        <v>16</v>
      </c>
      <c r="F214" s="9">
        <v>8</v>
      </c>
      <c r="G214" s="9">
        <f t="shared" si="44"/>
        <v>456</v>
      </c>
      <c r="H214" s="22">
        <v>0</v>
      </c>
      <c r="I214" s="265"/>
      <c r="J214" s="22">
        <f>+Table1[[#This Row],[Previous Qty]]+Table1[[#This Row],[Current Qty]]</f>
        <v>0</v>
      </c>
      <c r="K214" s="9">
        <f>(Table1[[#This Row],[Supply Rate]]+Table1[[#This Row],[Install Rate]])*Table1[[#This Row],[Previous Qty]]</f>
        <v>0</v>
      </c>
      <c r="L214" s="9">
        <f>+Table1[[#This Row],[Current Qty]]*(Table1[[#This Row],[Supply Rate]]+Table1[[#This Row],[Install Rate]])</f>
        <v>0</v>
      </c>
      <c r="M214" s="9">
        <f>(Table1[[#This Row],[Supply Rate]]+Table1[[#This Row],[Install Rate]])*Table1[[#This Row],[Cumulative]]</f>
        <v>0</v>
      </c>
    </row>
    <row r="215" spans="1:13" ht="29" x14ac:dyDescent="0.35">
      <c r="A215" s="6">
        <v>131</v>
      </c>
      <c r="B215" s="11" t="s">
        <v>162</v>
      </c>
      <c r="C215" s="22">
        <v>95</v>
      </c>
      <c r="D215" s="8" t="s">
        <v>10</v>
      </c>
      <c r="E215" s="9">
        <v>30</v>
      </c>
      <c r="F215" s="9">
        <v>14</v>
      </c>
      <c r="G215" s="9">
        <f t="shared" si="44"/>
        <v>4180</v>
      </c>
      <c r="H215" s="22">
        <v>0</v>
      </c>
      <c r="I215" s="265"/>
      <c r="J215" s="22">
        <f>+Table1[[#This Row],[Previous Qty]]+Table1[[#This Row],[Current Qty]]</f>
        <v>0</v>
      </c>
      <c r="K215" s="9">
        <f>(Table1[[#This Row],[Supply Rate]]+Table1[[#This Row],[Install Rate]])*Table1[[#This Row],[Previous Qty]]</f>
        <v>0</v>
      </c>
      <c r="L215" s="9">
        <f>+Table1[[#This Row],[Current Qty]]*(Table1[[#This Row],[Supply Rate]]+Table1[[#This Row],[Install Rate]])</f>
        <v>0</v>
      </c>
      <c r="M215" s="9">
        <f>(Table1[[#This Row],[Supply Rate]]+Table1[[#This Row],[Install Rate]])*Table1[[#This Row],[Cumulative]]</f>
        <v>0</v>
      </c>
    </row>
    <row r="216" spans="1:13" ht="29" x14ac:dyDescent="0.35">
      <c r="A216" s="6">
        <v>132</v>
      </c>
      <c r="B216" s="11" t="s">
        <v>163</v>
      </c>
      <c r="C216" s="22">
        <v>23.4</v>
      </c>
      <c r="D216" s="8" t="s">
        <v>10</v>
      </c>
      <c r="E216" s="9">
        <v>45</v>
      </c>
      <c r="F216" s="9">
        <v>22</v>
      </c>
      <c r="G216" s="9">
        <f t="shared" si="44"/>
        <v>1567.8</v>
      </c>
      <c r="H216" s="22">
        <v>0</v>
      </c>
      <c r="I216" s="265"/>
      <c r="J216" s="22">
        <f>+Table1[[#This Row],[Previous Qty]]+Table1[[#This Row],[Current Qty]]</f>
        <v>0</v>
      </c>
      <c r="K216" s="9">
        <f>(Table1[[#This Row],[Supply Rate]]+Table1[[#This Row],[Install Rate]])*Table1[[#This Row],[Previous Qty]]</f>
        <v>0</v>
      </c>
      <c r="L216" s="9">
        <f>+Table1[[#This Row],[Current Qty]]*(Table1[[#This Row],[Supply Rate]]+Table1[[#This Row],[Install Rate]])</f>
        <v>0</v>
      </c>
      <c r="M216" s="9">
        <f>(Table1[[#This Row],[Supply Rate]]+Table1[[#This Row],[Install Rate]])*Table1[[#This Row],[Cumulative]]</f>
        <v>0</v>
      </c>
    </row>
    <row r="217" spans="1:13" ht="29" x14ac:dyDescent="0.35">
      <c r="A217" s="6">
        <v>133</v>
      </c>
      <c r="B217" s="11" t="s">
        <v>164</v>
      </c>
      <c r="C217" s="22">
        <v>68.400000000000006</v>
      </c>
      <c r="D217" s="8" t="s">
        <v>10</v>
      </c>
      <c r="E217" s="9">
        <v>84</v>
      </c>
      <c r="F217" s="9">
        <v>40</v>
      </c>
      <c r="G217" s="9">
        <f t="shared" si="44"/>
        <v>8481.6</v>
      </c>
      <c r="H217" s="22">
        <v>0</v>
      </c>
      <c r="I217" s="265"/>
      <c r="J217" s="22">
        <f>+Table1[[#This Row],[Previous Qty]]+Table1[[#This Row],[Current Qty]]</f>
        <v>0</v>
      </c>
      <c r="K217" s="9">
        <f>(Table1[[#This Row],[Supply Rate]]+Table1[[#This Row],[Install Rate]])*Table1[[#This Row],[Previous Qty]]</f>
        <v>0</v>
      </c>
      <c r="L217" s="9">
        <f>+Table1[[#This Row],[Current Qty]]*(Table1[[#This Row],[Supply Rate]]+Table1[[#This Row],[Install Rate]])</f>
        <v>0</v>
      </c>
      <c r="M217" s="9">
        <f>(Table1[[#This Row],[Supply Rate]]+Table1[[#This Row],[Install Rate]])*Table1[[#This Row],[Cumulative]]</f>
        <v>0</v>
      </c>
    </row>
    <row r="218" spans="1:13" ht="29" x14ac:dyDescent="0.35">
      <c r="A218" s="6">
        <v>134</v>
      </c>
      <c r="B218" s="11" t="s">
        <v>165</v>
      </c>
      <c r="C218" s="22">
        <v>31</v>
      </c>
      <c r="D218" s="8" t="s">
        <v>10</v>
      </c>
      <c r="E218" s="9">
        <v>96</v>
      </c>
      <c r="F218" s="9">
        <v>46</v>
      </c>
      <c r="G218" s="9">
        <f t="shared" si="44"/>
        <v>4402</v>
      </c>
      <c r="H218" s="22">
        <v>0</v>
      </c>
      <c r="I218" s="265"/>
      <c r="J218" s="22">
        <f>+Table1[[#This Row],[Previous Qty]]+Table1[[#This Row],[Current Qty]]</f>
        <v>0</v>
      </c>
      <c r="K218" s="9">
        <f>(Table1[[#This Row],[Supply Rate]]+Table1[[#This Row],[Install Rate]])*Table1[[#This Row],[Previous Qty]]</f>
        <v>0</v>
      </c>
      <c r="L218" s="9">
        <f>+Table1[[#This Row],[Current Qty]]*(Table1[[#This Row],[Supply Rate]]+Table1[[#This Row],[Install Rate]])</f>
        <v>0</v>
      </c>
      <c r="M218" s="9">
        <f>(Table1[[#This Row],[Supply Rate]]+Table1[[#This Row],[Install Rate]])*Table1[[#This Row],[Cumulative]]</f>
        <v>0</v>
      </c>
    </row>
    <row r="219" spans="1:13" ht="29" x14ac:dyDescent="0.35">
      <c r="A219" s="6">
        <v>135</v>
      </c>
      <c r="B219" s="11" t="s">
        <v>166</v>
      </c>
      <c r="C219" s="22">
        <v>27.8</v>
      </c>
      <c r="D219" s="8" t="s">
        <v>10</v>
      </c>
      <c r="E219" s="9">
        <v>102</v>
      </c>
      <c r="F219" s="9">
        <v>49</v>
      </c>
      <c r="G219" s="9">
        <f t="shared" si="44"/>
        <v>4197.8</v>
      </c>
      <c r="H219" s="22">
        <v>0</v>
      </c>
      <c r="I219" s="265"/>
      <c r="J219" s="22">
        <f>+Table1[[#This Row],[Previous Qty]]+Table1[[#This Row],[Current Qty]]</f>
        <v>0</v>
      </c>
      <c r="K219" s="9">
        <f>(Table1[[#This Row],[Supply Rate]]+Table1[[#This Row],[Install Rate]])*Table1[[#This Row],[Previous Qty]]</f>
        <v>0</v>
      </c>
      <c r="L219" s="9">
        <f>+Table1[[#This Row],[Current Qty]]*(Table1[[#This Row],[Supply Rate]]+Table1[[#This Row],[Install Rate]])</f>
        <v>0</v>
      </c>
      <c r="M219" s="9">
        <f>(Table1[[#This Row],[Supply Rate]]+Table1[[#This Row],[Install Rate]])*Table1[[#This Row],[Cumulative]]</f>
        <v>0</v>
      </c>
    </row>
    <row r="220" spans="1:13" ht="29" x14ac:dyDescent="0.35">
      <c r="A220" s="6">
        <v>136</v>
      </c>
      <c r="B220" s="11" t="s">
        <v>167</v>
      </c>
      <c r="C220" s="22">
        <v>72</v>
      </c>
      <c r="D220" s="8" t="s">
        <v>10</v>
      </c>
      <c r="E220" s="9">
        <v>107</v>
      </c>
      <c r="F220" s="9">
        <v>51</v>
      </c>
      <c r="G220" s="9">
        <f t="shared" si="44"/>
        <v>11376</v>
      </c>
      <c r="H220" s="22">
        <v>0</v>
      </c>
      <c r="I220" s="265"/>
      <c r="J220" s="22">
        <f>+Table1[[#This Row],[Previous Qty]]+Table1[[#This Row],[Current Qty]]</f>
        <v>0</v>
      </c>
      <c r="K220" s="9">
        <f>(Table1[[#This Row],[Supply Rate]]+Table1[[#This Row],[Install Rate]])*Table1[[#This Row],[Previous Qty]]</f>
        <v>0</v>
      </c>
      <c r="L220" s="9">
        <f>+Table1[[#This Row],[Current Qty]]*(Table1[[#This Row],[Supply Rate]]+Table1[[#This Row],[Install Rate]])</f>
        <v>0</v>
      </c>
      <c r="M220" s="9">
        <f>(Table1[[#This Row],[Supply Rate]]+Table1[[#This Row],[Install Rate]])*Table1[[#This Row],[Cumulative]]</f>
        <v>0</v>
      </c>
    </row>
    <row r="221" spans="1:13" ht="29" x14ac:dyDescent="0.35">
      <c r="A221" s="6">
        <v>137</v>
      </c>
      <c r="B221" s="11" t="s">
        <v>168</v>
      </c>
      <c r="C221" s="22">
        <v>16.899999999999999</v>
      </c>
      <c r="D221" s="8" t="s">
        <v>10</v>
      </c>
      <c r="E221" s="9">
        <v>114</v>
      </c>
      <c r="F221" s="9">
        <v>55</v>
      </c>
      <c r="G221" s="9">
        <f t="shared" si="44"/>
        <v>2856.1</v>
      </c>
      <c r="H221" s="22">
        <v>0</v>
      </c>
      <c r="I221" s="265"/>
      <c r="J221" s="22">
        <f>+Table1[[#This Row],[Previous Qty]]+Table1[[#This Row],[Current Qty]]</f>
        <v>0</v>
      </c>
      <c r="K221" s="9">
        <f>(Table1[[#This Row],[Supply Rate]]+Table1[[#This Row],[Install Rate]])*Table1[[#This Row],[Previous Qty]]</f>
        <v>0</v>
      </c>
      <c r="L221" s="9">
        <f>+Table1[[#This Row],[Current Qty]]*(Table1[[#This Row],[Supply Rate]]+Table1[[#This Row],[Install Rate]])</f>
        <v>0</v>
      </c>
      <c r="M221" s="9">
        <f>(Table1[[#This Row],[Supply Rate]]+Table1[[#This Row],[Install Rate]])*Table1[[#This Row],[Cumulative]]</f>
        <v>0</v>
      </c>
    </row>
    <row r="222" spans="1:13" ht="43.5" x14ac:dyDescent="0.35">
      <c r="A222" s="6">
        <v>138</v>
      </c>
      <c r="B222" s="11" t="s">
        <v>169</v>
      </c>
      <c r="C222" s="22">
        <v>131</v>
      </c>
      <c r="D222" s="8" t="s">
        <v>36</v>
      </c>
      <c r="E222" s="9"/>
      <c r="F222" s="9">
        <v>169</v>
      </c>
      <c r="G222" s="9">
        <f t="shared" si="44"/>
        <v>22139</v>
      </c>
      <c r="H222" s="22">
        <v>0</v>
      </c>
      <c r="I222" s="265"/>
      <c r="J222" s="22">
        <f>+Table1[[#This Row],[Previous Qty]]+Table1[[#This Row],[Current Qty]]</f>
        <v>0</v>
      </c>
      <c r="K222" s="9">
        <f>(Table1[[#This Row],[Supply Rate]]+Table1[[#This Row],[Install Rate]])*Table1[[#This Row],[Previous Qty]]</f>
        <v>0</v>
      </c>
      <c r="L222" s="9">
        <f>+Table1[[#This Row],[Current Qty]]*(Table1[[#This Row],[Supply Rate]]+Table1[[#This Row],[Install Rate]])</f>
        <v>0</v>
      </c>
      <c r="M222" s="9">
        <f>(Table1[[#This Row],[Supply Rate]]+Table1[[#This Row],[Install Rate]])*Table1[[#This Row],[Cumulative]]</f>
        <v>0</v>
      </c>
    </row>
    <row r="223" spans="1:13" ht="58" x14ac:dyDescent="0.35">
      <c r="A223" s="12">
        <v>139</v>
      </c>
      <c r="B223" s="13" t="s">
        <v>170</v>
      </c>
      <c r="C223" s="24">
        <v>31.2</v>
      </c>
      <c r="D223" s="14" t="s">
        <v>17</v>
      </c>
      <c r="E223" s="15">
        <v>60</v>
      </c>
      <c r="F223" s="15">
        <v>24</v>
      </c>
      <c r="G223" s="15">
        <f t="shared" si="44"/>
        <v>2620.7999999999997</v>
      </c>
      <c r="H223" s="24">
        <v>0</v>
      </c>
      <c r="I223" s="270"/>
      <c r="J223" s="24">
        <f>+Table1[[#This Row],[Previous Qty]]+Table1[[#This Row],[Current Qty]]</f>
        <v>0</v>
      </c>
      <c r="K223" s="15">
        <f>(Table1[[#This Row],[Supply Rate]]+Table1[[#This Row],[Install Rate]])*Table1[[#This Row],[Previous Qty]]</f>
        <v>0</v>
      </c>
      <c r="L223" s="15">
        <f>+Table1[[#This Row],[Current Qty]]*(Table1[[#This Row],[Supply Rate]]+Table1[[#This Row],[Install Rate]])</f>
        <v>0</v>
      </c>
      <c r="M223" s="15">
        <f>(Table1[[#This Row],[Supply Rate]]+Table1[[#This Row],[Install Rate]])*Table1[[#This Row],[Cumulative]]</f>
        <v>0</v>
      </c>
    </row>
    <row r="224" spans="1:13" s="40" customFormat="1" ht="34.5" customHeight="1" x14ac:dyDescent="0.35">
      <c r="A224" s="37"/>
      <c r="B224" s="38" t="s">
        <v>187</v>
      </c>
      <c r="C224" s="39"/>
      <c r="E224" s="5"/>
      <c r="F224" s="5"/>
      <c r="G224" s="5">
        <f>SUBTOTAL(109,Table1[Amount])</f>
        <v>3352701.699835435</v>
      </c>
      <c r="H224" s="39"/>
      <c r="I224" s="271"/>
      <c r="J224" s="39"/>
      <c r="K224" s="5">
        <f>SUBTOTAL(109,Table1[Previous Amount])</f>
        <v>1469466.6261176467</v>
      </c>
      <c r="L224" s="5">
        <f>SUBTOTAL(109,Table1[Current Amount])</f>
        <v>264181.08260180702</v>
      </c>
      <c r="M224" s="5">
        <f>SUBTOTAL(109,Table1[Cumulative Amount])</f>
        <v>1733647.7087194535</v>
      </c>
    </row>
  </sheetData>
  <printOptions horizontalCentered="1"/>
  <pageMargins left="0.7" right="0.7" top="0.5" bottom="0.5" header="0.3" footer="0.3"/>
  <pageSetup paperSize="8" scale="90" orientation="landscape"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5"/>
  <sheetViews>
    <sheetView view="pageBreakPreview" topLeftCell="A114" zoomScale="85" zoomScaleNormal="100" zoomScaleSheetLayoutView="85" workbookViewId="0">
      <selection activeCell="L130" sqref="L130"/>
    </sheetView>
  </sheetViews>
  <sheetFormatPr defaultRowHeight="14.5" x14ac:dyDescent="0.35"/>
  <cols>
    <col min="2" max="2" width="43.54296875" style="3" customWidth="1"/>
    <col min="3" max="3" width="8.7265625" style="25" customWidth="1"/>
    <col min="4" max="4" width="8.81640625" customWidth="1"/>
    <col min="5" max="5" width="13.54296875" customWidth="1"/>
    <col min="6" max="6" width="13.1796875" customWidth="1"/>
    <col min="7" max="7" width="15.26953125" customWidth="1"/>
    <col min="8" max="8" width="13.453125" style="25" customWidth="1"/>
    <col min="9" max="9" width="12.7265625" style="25" customWidth="1"/>
    <col min="10" max="10" width="12.26953125" style="25" customWidth="1"/>
    <col min="11" max="11" width="18.26953125" customWidth="1"/>
    <col min="12" max="12" width="17.453125" customWidth="1"/>
    <col min="13" max="13" width="20.453125" customWidth="1"/>
  </cols>
  <sheetData>
    <row r="1" spans="1:13" s="4" customFormat="1" ht="40.15" customHeight="1" x14ac:dyDescent="0.35">
      <c r="A1" s="17" t="s">
        <v>0</v>
      </c>
      <c r="B1" s="18" t="s">
        <v>1</v>
      </c>
      <c r="C1" s="27" t="s">
        <v>2</v>
      </c>
      <c r="D1" s="18" t="s">
        <v>3</v>
      </c>
      <c r="E1" s="19" t="s">
        <v>4</v>
      </c>
      <c r="F1" s="19" t="s">
        <v>5</v>
      </c>
      <c r="G1" s="19" t="s">
        <v>6</v>
      </c>
      <c r="H1" s="27" t="s">
        <v>173</v>
      </c>
      <c r="I1" s="27" t="s">
        <v>174</v>
      </c>
      <c r="J1" s="27" t="s">
        <v>175</v>
      </c>
      <c r="K1" s="19" t="s">
        <v>176</v>
      </c>
      <c r="L1" s="19" t="s">
        <v>177</v>
      </c>
      <c r="M1" s="20" t="s">
        <v>178</v>
      </c>
    </row>
    <row r="2" spans="1:13" x14ac:dyDescent="0.35">
      <c r="A2" s="31"/>
      <c r="B2" s="32" t="s">
        <v>179</v>
      </c>
      <c r="C2" s="33"/>
      <c r="D2" s="34"/>
      <c r="E2" s="35"/>
      <c r="F2" s="35"/>
      <c r="G2" s="35"/>
      <c r="H2" s="33"/>
      <c r="I2" s="33"/>
      <c r="J2" s="33"/>
      <c r="K2" s="35">
        <f>(Table2[[#This Row],[Supply Rate]]+Table2[[#This Row],[Install Rate]])*Table2[[#This Row],[Previous Qty]]</f>
        <v>0</v>
      </c>
      <c r="L2" s="35">
        <f>Table2[[#This Row],[Cumulative Amount]]-Table2[[#This Row],[Previous Amount]]</f>
        <v>0</v>
      </c>
      <c r="M2" s="36">
        <f>(Table2[[#This Row],[Supply Rate]]+Table2[[#This Row],[Install Rate]])*Table2[[#This Row],[Cumulative]]</f>
        <v>0</v>
      </c>
    </row>
    <row r="3" spans="1:13" x14ac:dyDescent="0.35">
      <c r="A3" s="16"/>
      <c r="B3" s="11"/>
      <c r="C3" s="22"/>
      <c r="D3" s="8"/>
      <c r="E3" s="9"/>
      <c r="F3" s="9"/>
      <c r="G3" s="9"/>
      <c r="H3" s="22"/>
      <c r="I3" s="22"/>
      <c r="J3" s="22"/>
      <c r="K3" s="9">
        <f>(Table2[[#This Row],[Supply Rate]]+Table2[[#This Row],[Install Rate]])*Table2[[#This Row],[Previous Qty]]</f>
        <v>0</v>
      </c>
      <c r="L3" s="9"/>
      <c r="M3" s="26">
        <f>(Table2[[#This Row],[Supply Rate]]+Table2[[#This Row],[Install Rate]])*Table2[[#This Row],[Cumulative]]</f>
        <v>0</v>
      </c>
    </row>
    <row r="4" spans="1:13" x14ac:dyDescent="0.35">
      <c r="A4" s="16"/>
      <c r="B4" s="7" t="s">
        <v>123</v>
      </c>
      <c r="C4" s="22"/>
      <c r="D4" s="8"/>
      <c r="E4" s="9"/>
      <c r="F4" s="9"/>
      <c r="G4" s="9"/>
      <c r="H4" s="22"/>
      <c r="I4" s="22"/>
      <c r="J4" s="22"/>
      <c r="K4" s="9">
        <f>(Table2[[#This Row],[Supply Rate]]+Table2[[#This Row],[Install Rate]])*Table2[[#This Row],[Previous Qty]]</f>
        <v>0</v>
      </c>
      <c r="L4" s="9"/>
      <c r="M4" s="26">
        <f>(Table2[[#This Row],[Supply Rate]]+Table2[[#This Row],[Install Rate]])*Table2[[#This Row],[Cumulative]]</f>
        <v>0</v>
      </c>
    </row>
    <row r="5" spans="1:13" ht="29" x14ac:dyDescent="0.35">
      <c r="A5" s="16">
        <v>1</v>
      </c>
      <c r="B5" s="11" t="s">
        <v>132</v>
      </c>
      <c r="C5" s="22">
        <v>610.29</v>
      </c>
      <c r="D5" s="8" t="s">
        <v>17</v>
      </c>
      <c r="E5" s="9">
        <v>127</v>
      </c>
      <c r="F5" s="9">
        <v>0</v>
      </c>
      <c r="G5" s="9">
        <f>(E5+F5)*C5</f>
        <v>77506.83</v>
      </c>
      <c r="H5" s="22"/>
      <c r="I5" s="22">
        <f>129.12*0.8</f>
        <v>103.29600000000001</v>
      </c>
      <c r="J5" s="22">
        <f>+Table2[[#This Row],[Previous Qty]]+Table2[[#This Row],[Current Qty]]</f>
        <v>103.29600000000001</v>
      </c>
      <c r="K5" s="9">
        <f>(Table2[[#This Row],[Supply Rate]]+Table2[[#This Row],[Install Rate]])*Table2[[#This Row],[Previous Qty]]</f>
        <v>0</v>
      </c>
      <c r="L5" s="9">
        <f>+Table2[[#This Row],[Current Qty]]*(Table2[[#This Row],[Supply Rate]]+Table2[[#This Row],[Install Rate]])</f>
        <v>13118.592000000001</v>
      </c>
      <c r="M5" s="26">
        <f>(Table2[[#This Row],[Supply Rate]]+Table2[[#This Row],[Install Rate]])*Table2[[#This Row],[Cumulative]]</f>
        <v>13118.592000000001</v>
      </c>
    </row>
    <row r="6" spans="1:13" ht="29" x14ac:dyDescent="0.35">
      <c r="A6" s="16">
        <v>2</v>
      </c>
      <c r="B6" s="11" t="s">
        <v>133</v>
      </c>
      <c r="C6" s="22">
        <v>55</v>
      </c>
      <c r="D6" s="8" t="s">
        <v>17</v>
      </c>
      <c r="E6" s="9">
        <v>127</v>
      </c>
      <c r="F6" s="9">
        <v>0</v>
      </c>
      <c r="G6" s="9">
        <f>(E6+F6)*C6</f>
        <v>6985</v>
      </c>
      <c r="H6" s="22"/>
      <c r="I6" s="22"/>
      <c r="J6" s="22"/>
      <c r="K6" s="9">
        <f>(Table2[[#This Row],[Supply Rate]]+Table2[[#This Row],[Install Rate]])*Table2[[#This Row],[Previous Qty]]</f>
        <v>0</v>
      </c>
      <c r="L6" s="9"/>
      <c r="M6" s="26">
        <f>(Table2[[#This Row],[Supply Rate]]+Table2[[#This Row],[Install Rate]])*Table2[[#This Row],[Cumulative]]</f>
        <v>0</v>
      </c>
    </row>
    <row r="7" spans="1:13" ht="15" thickBot="1" x14ac:dyDescent="0.4">
      <c r="A7" s="62"/>
      <c r="B7" s="55"/>
      <c r="C7" s="56"/>
      <c r="D7" s="57"/>
      <c r="E7" s="58"/>
      <c r="F7" s="58"/>
      <c r="G7" s="58"/>
      <c r="H7" s="56"/>
      <c r="I7" s="56"/>
      <c r="J7" s="56"/>
      <c r="K7" s="58">
        <f>(Table2[[#This Row],[Supply Rate]]+Table2[[#This Row],[Install Rate]])*Table2[[#This Row],[Previous Qty]]</f>
        <v>0</v>
      </c>
      <c r="L7" s="58"/>
      <c r="M7" s="63">
        <f>(Table2[[#This Row],[Supply Rate]]+Table2[[#This Row],[Install Rate]])*Table2[[#This Row],[Cumulative]]</f>
        <v>0</v>
      </c>
    </row>
    <row r="8" spans="1:13" x14ac:dyDescent="0.35">
      <c r="A8" s="60"/>
      <c r="B8" s="59" t="s">
        <v>38</v>
      </c>
      <c r="C8" s="46"/>
      <c r="D8" s="47"/>
      <c r="E8" s="48"/>
      <c r="F8" s="48"/>
      <c r="G8" s="48"/>
      <c r="H8" s="46"/>
      <c r="I8" s="46"/>
      <c r="J8" s="46"/>
      <c r="K8" s="48">
        <f>(Table2[[#This Row],[Supply Rate]]+Table2[[#This Row],[Install Rate]])*Table2[[#This Row],[Previous Qty]]</f>
        <v>0</v>
      </c>
      <c r="L8" s="48"/>
      <c r="M8" s="61">
        <f>(Table2[[#This Row],[Supply Rate]]+Table2[[#This Row],[Install Rate]])*Table2[[#This Row],[Cumulative]]</f>
        <v>0</v>
      </c>
    </row>
    <row r="9" spans="1:13" ht="29" x14ac:dyDescent="0.35">
      <c r="A9" s="16">
        <v>3</v>
      </c>
      <c r="B9" s="11" t="s">
        <v>46</v>
      </c>
      <c r="C9" s="22">
        <v>2.9279999999999999</v>
      </c>
      <c r="D9" s="8" t="s">
        <v>17</v>
      </c>
      <c r="E9" s="9">
        <v>46</v>
      </c>
      <c r="F9" s="9">
        <v>0</v>
      </c>
      <c r="G9" s="9">
        <f>(E9+F9)*C9</f>
        <v>134.68799999999999</v>
      </c>
      <c r="H9" s="22"/>
      <c r="I9" s="22"/>
      <c r="J9" s="22"/>
      <c r="K9" s="9">
        <f>(Table2[[#This Row],[Supply Rate]]+Table2[[#This Row],[Install Rate]])*Table2[[#This Row],[Previous Qty]]</f>
        <v>0</v>
      </c>
      <c r="L9" s="9"/>
      <c r="M9" s="26">
        <f>(Table2[[#This Row],[Supply Rate]]+Table2[[#This Row],[Install Rate]])*Table2[[#This Row],[Cumulative]]</f>
        <v>0</v>
      </c>
    </row>
    <row r="10" spans="1:13" ht="29" x14ac:dyDescent="0.35">
      <c r="A10" s="16">
        <v>4</v>
      </c>
      <c r="B10" s="11" t="s">
        <v>49</v>
      </c>
      <c r="C10" s="22">
        <v>7.9343999999999992</v>
      </c>
      <c r="D10" s="8" t="s">
        <v>17</v>
      </c>
      <c r="E10" s="9">
        <v>46</v>
      </c>
      <c r="F10" s="9">
        <v>0</v>
      </c>
      <c r="G10" s="9">
        <f t="shared" ref="G10:G18" si="0">(E10+F10)*C10</f>
        <v>364.98239999999998</v>
      </c>
      <c r="H10" s="22"/>
      <c r="I10" s="22"/>
      <c r="J10" s="22"/>
      <c r="K10" s="9">
        <f>(Table2[[#This Row],[Supply Rate]]+Table2[[#This Row],[Install Rate]])*Table2[[#This Row],[Previous Qty]]</f>
        <v>0</v>
      </c>
      <c r="L10" s="9"/>
      <c r="M10" s="26">
        <f>(Table2[[#This Row],[Supply Rate]]+Table2[[#This Row],[Install Rate]])*Table2[[#This Row],[Cumulative]]</f>
        <v>0</v>
      </c>
    </row>
    <row r="11" spans="1:13" ht="29" x14ac:dyDescent="0.35">
      <c r="A11" s="16">
        <v>5</v>
      </c>
      <c r="B11" s="11" t="s">
        <v>53</v>
      </c>
      <c r="C11" s="22">
        <v>14.31</v>
      </c>
      <c r="D11" s="8" t="s">
        <v>10</v>
      </c>
      <c r="E11" s="9">
        <v>14.200000000000003</v>
      </c>
      <c r="F11" s="9">
        <v>0</v>
      </c>
      <c r="G11" s="9">
        <f t="shared" si="0"/>
        <v>203.20200000000006</v>
      </c>
      <c r="H11" s="22"/>
      <c r="I11" s="22"/>
      <c r="J11" s="22"/>
      <c r="K11" s="9">
        <f>(Table2[[#This Row],[Supply Rate]]+Table2[[#This Row],[Install Rate]])*Table2[[#This Row],[Previous Qty]]</f>
        <v>0</v>
      </c>
      <c r="L11" s="9"/>
      <c r="M11" s="26">
        <f>(Table2[[#This Row],[Supply Rate]]+Table2[[#This Row],[Install Rate]])*Table2[[#This Row],[Cumulative]]</f>
        <v>0</v>
      </c>
    </row>
    <row r="12" spans="1:13" ht="29" x14ac:dyDescent="0.35">
      <c r="A12" s="16">
        <v>6</v>
      </c>
      <c r="B12" s="11" t="s">
        <v>55</v>
      </c>
      <c r="C12" s="22">
        <v>71</v>
      </c>
      <c r="D12" s="8" t="s">
        <v>10</v>
      </c>
      <c r="E12" s="9">
        <v>22.22</v>
      </c>
      <c r="F12" s="9">
        <v>0</v>
      </c>
      <c r="G12" s="9">
        <f t="shared" si="0"/>
        <v>1577.62</v>
      </c>
      <c r="H12" s="22">
        <v>71</v>
      </c>
      <c r="I12" s="22"/>
      <c r="J12" s="22">
        <f>+Table2[[#This Row],[Previous Qty]]+Table2[[#This Row],[Current Qty]]</f>
        <v>71</v>
      </c>
      <c r="K12" s="9">
        <f>(Table2[[#This Row],[Supply Rate]]+Table2[[#This Row],[Install Rate]])*Table2[[#This Row],[Previous Qty]]</f>
        <v>1577.62</v>
      </c>
      <c r="L12" s="9">
        <f>+Table2[[#This Row],[Current Qty]]*(Table2[[#This Row],[Supply Rate]]+Table2[[#This Row],[Install Rate]])</f>
        <v>0</v>
      </c>
      <c r="M12" s="26">
        <f>(Table2[[#This Row],[Supply Rate]]+Table2[[#This Row],[Install Rate]])*Table2[[#This Row],[Cumulative]]</f>
        <v>1577.62</v>
      </c>
    </row>
    <row r="13" spans="1:13" x14ac:dyDescent="0.35">
      <c r="A13" s="16">
        <v>7</v>
      </c>
      <c r="B13" s="11" t="s">
        <v>56</v>
      </c>
      <c r="C13" s="22">
        <v>95.28</v>
      </c>
      <c r="D13" s="8" t="s">
        <v>17</v>
      </c>
      <c r="E13" s="9">
        <v>57</v>
      </c>
      <c r="F13" s="9">
        <v>0</v>
      </c>
      <c r="G13" s="9">
        <f t="shared" si="0"/>
        <v>5430.96</v>
      </c>
      <c r="H13" s="22">
        <v>95.28</v>
      </c>
      <c r="I13" s="22"/>
      <c r="J13" s="22">
        <f>+Table2[[#This Row],[Previous Qty]]+Table2[[#This Row],[Current Qty]]</f>
        <v>95.28</v>
      </c>
      <c r="K13" s="9">
        <f>(Table2[[#This Row],[Supply Rate]]+Table2[[#This Row],[Install Rate]])*Table2[[#This Row],[Previous Qty]]</f>
        <v>5430.96</v>
      </c>
      <c r="L13" s="9">
        <f>+Table2[[#This Row],[Current Qty]]*(Table2[[#This Row],[Supply Rate]]+Table2[[#This Row],[Install Rate]])</f>
        <v>0</v>
      </c>
      <c r="M13" s="26">
        <f>(Table2[[#This Row],[Supply Rate]]+Table2[[#This Row],[Install Rate]])*Table2[[#This Row],[Cumulative]]</f>
        <v>5430.96</v>
      </c>
    </row>
    <row r="14" spans="1:13" x14ac:dyDescent="0.35">
      <c r="A14" s="16">
        <v>8</v>
      </c>
      <c r="B14" s="11" t="s">
        <v>57</v>
      </c>
      <c r="C14" s="22">
        <v>174</v>
      </c>
      <c r="D14" s="8" t="s">
        <v>17</v>
      </c>
      <c r="E14" s="9">
        <v>57</v>
      </c>
      <c r="F14" s="9">
        <v>0</v>
      </c>
      <c r="G14" s="9">
        <f t="shared" si="0"/>
        <v>9918</v>
      </c>
      <c r="H14" s="22">
        <v>174</v>
      </c>
      <c r="I14" s="22"/>
      <c r="J14" s="22">
        <f>+Table2[[#This Row],[Previous Qty]]+Table2[[#This Row],[Current Qty]]</f>
        <v>174</v>
      </c>
      <c r="K14" s="9">
        <f>(Table2[[#This Row],[Supply Rate]]+Table2[[#This Row],[Install Rate]])*Table2[[#This Row],[Previous Qty]]</f>
        <v>9918</v>
      </c>
      <c r="L14" s="9">
        <f>+Table2[[#This Row],[Current Qty]]*(Table2[[#This Row],[Supply Rate]]+Table2[[#This Row],[Install Rate]])</f>
        <v>0</v>
      </c>
      <c r="M14" s="26">
        <f>(Table2[[#This Row],[Supply Rate]]+Table2[[#This Row],[Install Rate]])*Table2[[#This Row],[Cumulative]]</f>
        <v>9918</v>
      </c>
    </row>
    <row r="15" spans="1:13" ht="29" x14ac:dyDescent="0.35">
      <c r="A15" s="16">
        <v>9</v>
      </c>
      <c r="B15" s="11" t="s">
        <v>58</v>
      </c>
      <c r="C15" s="22">
        <v>7</v>
      </c>
      <c r="D15" s="8" t="s">
        <v>10</v>
      </c>
      <c r="E15" s="9">
        <v>28.460000000000008</v>
      </c>
      <c r="F15" s="9">
        <v>0</v>
      </c>
      <c r="G15" s="9">
        <f t="shared" si="0"/>
        <v>199.22000000000006</v>
      </c>
      <c r="H15" s="22">
        <v>7</v>
      </c>
      <c r="I15" s="22"/>
      <c r="J15" s="22">
        <f>+Table2[[#This Row],[Previous Qty]]+Table2[[#This Row],[Current Qty]]</f>
        <v>7</v>
      </c>
      <c r="K15" s="9">
        <f>(Table2[[#This Row],[Supply Rate]]+Table2[[#This Row],[Install Rate]])*Table2[[#This Row],[Previous Qty]]</f>
        <v>199.22000000000006</v>
      </c>
      <c r="L15" s="9">
        <f>+Table2[[#This Row],[Current Qty]]*(Table2[[#This Row],[Supply Rate]]+Table2[[#This Row],[Install Rate]])</f>
        <v>0</v>
      </c>
      <c r="M15" s="26">
        <f>(Table2[[#This Row],[Supply Rate]]+Table2[[#This Row],[Install Rate]])*Table2[[#This Row],[Cumulative]]</f>
        <v>199.22000000000006</v>
      </c>
    </row>
    <row r="16" spans="1:13" ht="29" x14ac:dyDescent="0.35">
      <c r="A16" s="16">
        <v>10</v>
      </c>
      <c r="B16" s="11" t="s">
        <v>59</v>
      </c>
      <c r="C16" s="22">
        <v>8.75</v>
      </c>
      <c r="D16" s="8" t="s">
        <v>10</v>
      </c>
      <c r="E16" s="9">
        <v>10.450000000000003</v>
      </c>
      <c r="F16" s="9">
        <v>0</v>
      </c>
      <c r="G16" s="9">
        <f t="shared" si="0"/>
        <v>91.437500000000028</v>
      </c>
      <c r="H16" s="22">
        <v>8.75</v>
      </c>
      <c r="I16" s="22"/>
      <c r="J16" s="22">
        <f>+Table2[[#This Row],[Previous Qty]]+Table2[[#This Row],[Current Qty]]</f>
        <v>8.75</v>
      </c>
      <c r="K16" s="9">
        <f>(Table2[[#This Row],[Supply Rate]]+Table2[[#This Row],[Install Rate]])*Table2[[#This Row],[Previous Qty]]</f>
        <v>91.437500000000028</v>
      </c>
      <c r="L16" s="9">
        <f>+Table2[[#This Row],[Current Qty]]*(Table2[[#This Row],[Supply Rate]]+Table2[[#This Row],[Install Rate]])</f>
        <v>0</v>
      </c>
      <c r="M16" s="26">
        <f>(Table2[[#This Row],[Supply Rate]]+Table2[[#This Row],[Install Rate]])*Table2[[#This Row],[Cumulative]]</f>
        <v>91.437500000000028</v>
      </c>
    </row>
    <row r="17" spans="1:13" ht="29" x14ac:dyDescent="0.35">
      <c r="A17" s="16">
        <v>11</v>
      </c>
      <c r="B17" s="11" t="s">
        <v>60</v>
      </c>
      <c r="C17" s="22">
        <v>31.59</v>
      </c>
      <c r="D17" s="8" t="s">
        <v>17</v>
      </c>
      <c r="E17" s="9">
        <v>57</v>
      </c>
      <c r="F17" s="9">
        <v>0</v>
      </c>
      <c r="G17" s="9">
        <f t="shared" si="0"/>
        <v>1800.6299999999999</v>
      </c>
      <c r="H17" s="22">
        <v>31.59</v>
      </c>
      <c r="I17" s="22"/>
      <c r="J17" s="22">
        <f>+Table2[[#This Row],[Previous Qty]]+Table2[[#This Row],[Current Qty]]</f>
        <v>31.59</v>
      </c>
      <c r="K17" s="9">
        <f>(Table2[[#This Row],[Supply Rate]]+Table2[[#This Row],[Install Rate]])*Table2[[#This Row],[Previous Qty]]</f>
        <v>1800.6299999999999</v>
      </c>
      <c r="L17" s="9">
        <f>+Table2[[#This Row],[Current Qty]]*(Table2[[#This Row],[Supply Rate]]+Table2[[#This Row],[Install Rate]])</f>
        <v>0</v>
      </c>
      <c r="M17" s="26">
        <f>(Table2[[#This Row],[Supply Rate]]+Table2[[#This Row],[Install Rate]])*Table2[[#This Row],[Cumulative]]</f>
        <v>1800.6299999999999</v>
      </c>
    </row>
    <row r="18" spans="1:13" ht="29" x14ac:dyDescent="0.35">
      <c r="A18" s="16">
        <v>12</v>
      </c>
      <c r="B18" s="11" t="s">
        <v>61</v>
      </c>
      <c r="C18" s="22">
        <v>19.5</v>
      </c>
      <c r="D18" s="8" t="s">
        <v>17</v>
      </c>
      <c r="E18" s="9">
        <v>58</v>
      </c>
      <c r="F18" s="9">
        <v>0</v>
      </c>
      <c r="G18" s="9">
        <f t="shared" si="0"/>
        <v>1131</v>
      </c>
      <c r="H18" s="22">
        <v>19.5</v>
      </c>
      <c r="I18" s="22"/>
      <c r="J18" s="22">
        <f>+Table2[[#This Row],[Previous Qty]]+Table2[[#This Row],[Current Qty]]</f>
        <v>19.5</v>
      </c>
      <c r="K18" s="9">
        <f>(Table2[[#This Row],[Supply Rate]]+Table2[[#This Row],[Install Rate]])*Table2[[#This Row],[Previous Qty]]</f>
        <v>1131</v>
      </c>
      <c r="L18" s="9">
        <f>+Table2[[#This Row],[Current Qty]]*(Table2[[#This Row],[Supply Rate]]+Table2[[#This Row],[Install Rate]])</f>
        <v>0</v>
      </c>
      <c r="M18" s="26">
        <f>(Table2[[#This Row],[Supply Rate]]+Table2[[#This Row],[Install Rate]])*Table2[[#This Row],[Cumulative]]</f>
        <v>1131</v>
      </c>
    </row>
    <row r="19" spans="1:13" x14ac:dyDescent="0.35">
      <c r="A19" s="16"/>
      <c r="B19" s="11"/>
      <c r="C19" s="22"/>
      <c r="D19" s="8"/>
      <c r="E19" s="9"/>
      <c r="F19" s="9"/>
      <c r="G19" s="9"/>
      <c r="H19" s="22">
        <v>0</v>
      </c>
      <c r="I19" s="22"/>
      <c r="J19" s="22">
        <f>+Table2[[#This Row],[Previous Qty]]+Table2[[#This Row],[Current Qty]]</f>
        <v>0</v>
      </c>
      <c r="K19" s="9">
        <f>(Table2[[#This Row],[Supply Rate]]+Table2[[#This Row],[Install Rate]])*Table2[[#This Row],[Previous Qty]]</f>
        <v>0</v>
      </c>
      <c r="L19" s="9">
        <f>+Table2[[#This Row],[Current Qty]]*(Table2[[#This Row],[Supply Rate]]+Table2[[#This Row],[Install Rate]])</f>
        <v>0</v>
      </c>
      <c r="M19" s="26">
        <f>(Table2[[#This Row],[Supply Rate]]+Table2[[#This Row],[Install Rate]])*Table2[[#This Row],[Cumulative]]</f>
        <v>0</v>
      </c>
    </row>
    <row r="20" spans="1:13" x14ac:dyDescent="0.35">
      <c r="A20" s="16"/>
      <c r="B20" s="7" t="s">
        <v>69</v>
      </c>
      <c r="C20" s="22"/>
      <c r="D20" s="8"/>
      <c r="E20" s="9"/>
      <c r="F20" s="9"/>
      <c r="G20" s="9"/>
      <c r="H20" s="22">
        <v>0</v>
      </c>
      <c r="I20" s="22"/>
      <c r="J20" s="22">
        <f>+Table2[[#This Row],[Previous Qty]]+Table2[[#This Row],[Current Qty]]</f>
        <v>0</v>
      </c>
      <c r="K20" s="9">
        <f>(Table2[[#This Row],[Supply Rate]]+Table2[[#This Row],[Install Rate]])*Table2[[#This Row],[Previous Qty]]</f>
        <v>0</v>
      </c>
      <c r="L20" s="9">
        <f>+Table2[[#This Row],[Current Qty]]*(Table2[[#This Row],[Supply Rate]]+Table2[[#This Row],[Install Rate]])</f>
        <v>0</v>
      </c>
      <c r="M20" s="26">
        <f>(Table2[[#This Row],[Supply Rate]]+Table2[[#This Row],[Install Rate]])*Table2[[#This Row],[Cumulative]]</f>
        <v>0</v>
      </c>
    </row>
    <row r="21" spans="1:13" ht="29" x14ac:dyDescent="0.35">
      <c r="A21" s="16">
        <v>13</v>
      </c>
      <c r="B21" s="11" t="s">
        <v>70</v>
      </c>
      <c r="C21" s="22">
        <v>28</v>
      </c>
      <c r="D21" s="8" t="s">
        <v>10</v>
      </c>
      <c r="E21" s="9">
        <v>21.960000000000008</v>
      </c>
      <c r="F21" s="9"/>
      <c r="G21" s="9">
        <f t="shared" ref="G21:G25" si="1">(E21+F21)*C21</f>
        <v>614.88000000000022</v>
      </c>
      <c r="H21" s="22">
        <v>0</v>
      </c>
      <c r="I21" s="22"/>
      <c r="J21" s="22">
        <f>+Table2[[#This Row],[Previous Qty]]+Table2[[#This Row],[Current Qty]]</f>
        <v>0</v>
      </c>
      <c r="K21" s="9">
        <f>(Table2[[#This Row],[Supply Rate]]+Table2[[#This Row],[Install Rate]])*Table2[[#This Row],[Previous Qty]]</f>
        <v>0</v>
      </c>
      <c r="L21" s="9">
        <f>+Table2[[#This Row],[Current Qty]]*(Table2[[#This Row],[Supply Rate]]+Table2[[#This Row],[Install Rate]])</f>
        <v>0</v>
      </c>
      <c r="M21" s="26">
        <f>(Table2[[#This Row],[Supply Rate]]+Table2[[#This Row],[Install Rate]])*Table2[[#This Row],[Cumulative]]</f>
        <v>0</v>
      </c>
    </row>
    <row r="22" spans="1:13" x14ac:dyDescent="0.35">
      <c r="A22" s="16">
        <v>14</v>
      </c>
      <c r="B22" s="11" t="s">
        <v>71</v>
      </c>
      <c r="C22" s="22">
        <v>79</v>
      </c>
      <c r="D22" s="8" t="s">
        <v>17</v>
      </c>
      <c r="E22" s="9">
        <v>57</v>
      </c>
      <c r="F22" s="9"/>
      <c r="G22" s="9">
        <f t="shared" si="1"/>
        <v>4503</v>
      </c>
      <c r="H22" s="22">
        <v>0</v>
      </c>
      <c r="I22" s="22"/>
      <c r="J22" s="22">
        <f>+Table2[[#This Row],[Previous Qty]]+Table2[[#This Row],[Current Qty]]</f>
        <v>0</v>
      </c>
      <c r="K22" s="9">
        <f>(Table2[[#This Row],[Supply Rate]]+Table2[[#This Row],[Install Rate]])*Table2[[#This Row],[Previous Qty]]</f>
        <v>0</v>
      </c>
      <c r="L22" s="9">
        <f>+Table2[[#This Row],[Current Qty]]*(Table2[[#This Row],[Supply Rate]]+Table2[[#This Row],[Install Rate]])</f>
        <v>0</v>
      </c>
      <c r="M22" s="26">
        <f>(Table2[[#This Row],[Supply Rate]]+Table2[[#This Row],[Install Rate]])*Table2[[#This Row],[Cumulative]]</f>
        <v>0</v>
      </c>
    </row>
    <row r="23" spans="1:13" ht="29" x14ac:dyDescent="0.35">
      <c r="A23" s="16">
        <v>15</v>
      </c>
      <c r="B23" s="11" t="s">
        <v>72</v>
      </c>
      <c r="C23" s="22">
        <v>17</v>
      </c>
      <c r="D23" s="8" t="s">
        <v>36</v>
      </c>
      <c r="E23" s="9">
        <v>36.02000000000001</v>
      </c>
      <c r="F23" s="9"/>
      <c r="G23" s="9">
        <f t="shared" si="1"/>
        <v>612.34000000000015</v>
      </c>
      <c r="H23" s="22">
        <v>0</v>
      </c>
      <c r="I23" s="22"/>
      <c r="J23" s="22">
        <f>+Table2[[#This Row],[Previous Qty]]+Table2[[#This Row],[Current Qty]]</f>
        <v>0</v>
      </c>
      <c r="K23" s="9">
        <f>(Table2[[#This Row],[Supply Rate]]+Table2[[#This Row],[Install Rate]])*Table2[[#This Row],[Previous Qty]]</f>
        <v>0</v>
      </c>
      <c r="L23" s="9">
        <f>+Table2[[#This Row],[Current Qty]]*(Table2[[#This Row],[Supply Rate]]+Table2[[#This Row],[Install Rate]])</f>
        <v>0</v>
      </c>
      <c r="M23" s="26">
        <f>(Table2[[#This Row],[Supply Rate]]+Table2[[#This Row],[Install Rate]])*Table2[[#This Row],[Cumulative]]</f>
        <v>0</v>
      </c>
    </row>
    <row r="24" spans="1:13" ht="29" x14ac:dyDescent="0.35">
      <c r="A24" s="16">
        <v>16</v>
      </c>
      <c r="B24" s="11" t="s">
        <v>73</v>
      </c>
      <c r="C24" s="22">
        <v>20.399999999999999</v>
      </c>
      <c r="D24" s="8" t="s">
        <v>36</v>
      </c>
      <c r="E24" s="9">
        <v>12.5</v>
      </c>
      <c r="F24" s="9"/>
      <c r="G24" s="9">
        <f t="shared" si="1"/>
        <v>254.99999999999997</v>
      </c>
      <c r="H24" s="22">
        <v>0</v>
      </c>
      <c r="I24" s="22"/>
      <c r="J24" s="22">
        <f>+Table2[[#This Row],[Previous Qty]]+Table2[[#This Row],[Current Qty]]</f>
        <v>0</v>
      </c>
      <c r="K24" s="9">
        <f>(Table2[[#This Row],[Supply Rate]]+Table2[[#This Row],[Install Rate]])*Table2[[#This Row],[Previous Qty]]</f>
        <v>0</v>
      </c>
      <c r="L24" s="9">
        <f>+Table2[[#This Row],[Current Qty]]*(Table2[[#This Row],[Supply Rate]]+Table2[[#This Row],[Install Rate]])</f>
        <v>0</v>
      </c>
      <c r="M24" s="26">
        <f>(Table2[[#This Row],[Supply Rate]]+Table2[[#This Row],[Install Rate]])*Table2[[#This Row],[Cumulative]]</f>
        <v>0</v>
      </c>
    </row>
    <row r="25" spans="1:13" ht="29" x14ac:dyDescent="0.35">
      <c r="A25" s="16">
        <v>17</v>
      </c>
      <c r="B25" s="11" t="s">
        <v>74</v>
      </c>
      <c r="C25" s="22">
        <v>5.72</v>
      </c>
      <c r="D25" s="8" t="s">
        <v>17</v>
      </c>
      <c r="E25" s="9">
        <v>57</v>
      </c>
      <c r="F25" s="9"/>
      <c r="G25" s="9">
        <f t="shared" si="1"/>
        <v>326.03999999999996</v>
      </c>
      <c r="H25" s="22">
        <v>0</v>
      </c>
      <c r="I25" s="22"/>
      <c r="J25" s="22">
        <f>+Table2[[#This Row],[Previous Qty]]+Table2[[#This Row],[Current Qty]]</f>
        <v>0</v>
      </c>
      <c r="K25" s="9">
        <f>(Table2[[#This Row],[Supply Rate]]+Table2[[#This Row],[Install Rate]])*Table2[[#This Row],[Previous Qty]]</f>
        <v>0</v>
      </c>
      <c r="L25" s="9">
        <f>+Table2[[#This Row],[Current Qty]]*(Table2[[#This Row],[Supply Rate]]+Table2[[#This Row],[Install Rate]])</f>
        <v>0</v>
      </c>
      <c r="M25" s="26">
        <f>(Table2[[#This Row],[Supply Rate]]+Table2[[#This Row],[Install Rate]])*Table2[[#This Row],[Cumulative]]</f>
        <v>0</v>
      </c>
    </row>
    <row r="26" spans="1:13" x14ac:dyDescent="0.35">
      <c r="A26" s="16"/>
      <c r="B26" s="11"/>
      <c r="C26" s="22"/>
      <c r="D26" s="8"/>
      <c r="E26" s="9"/>
      <c r="F26" s="9"/>
      <c r="G26" s="9"/>
      <c r="H26" s="22">
        <v>0</v>
      </c>
      <c r="I26" s="22"/>
      <c r="J26" s="22">
        <f>+Table2[[#This Row],[Previous Qty]]+Table2[[#This Row],[Current Qty]]</f>
        <v>0</v>
      </c>
      <c r="K26" s="9">
        <f>(Table2[[#This Row],[Supply Rate]]+Table2[[#This Row],[Install Rate]])*Table2[[#This Row],[Previous Qty]]</f>
        <v>0</v>
      </c>
      <c r="L26" s="9">
        <f>+Table2[[#This Row],[Current Qty]]*(Table2[[#This Row],[Supply Rate]]+Table2[[#This Row],[Install Rate]])</f>
        <v>0</v>
      </c>
      <c r="M26" s="26">
        <f>(Table2[[#This Row],[Supply Rate]]+Table2[[#This Row],[Install Rate]])*Table2[[#This Row],[Cumulative]]</f>
        <v>0</v>
      </c>
    </row>
    <row r="27" spans="1:13" x14ac:dyDescent="0.35">
      <c r="A27" s="16"/>
      <c r="B27" s="7" t="s">
        <v>79</v>
      </c>
      <c r="C27" s="22"/>
      <c r="D27" s="8"/>
      <c r="E27" s="9"/>
      <c r="F27" s="9"/>
      <c r="G27" s="9"/>
      <c r="H27" s="22">
        <v>0</v>
      </c>
      <c r="I27" s="22"/>
      <c r="J27" s="22">
        <f>+Table2[[#This Row],[Previous Qty]]+Table2[[#This Row],[Current Qty]]</f>
        <v>0</v>
      </c>
      <c r="K27" s="9">
        <f>(Table2[[#This Row],[Supply Rate]]+Table2[[#This Row],[Install Rate]])*Table2[[#This Row],[Previous Qty]]</f>
        <v>0</v>
      </c>
      <c r="L27" s="9">
        <f>+Table2[[#This Row],[Current Qty]]*(Table2[[#This Row],[Supply Rate]]+Table2[[#This Row],[Install Rate]])</f>
        <v>0</v>
      </c>
      <c r="M27" s="26">
        <f>(Table2[[#This Row],[Supply Rate]]+Table2[[#This Row],[Install Rate]])*Table2[[#This Row],[Cumulative]]</f>
        <v>0</v>
      </c>
    </row>
    <row r="28" spans="1:13" ht="29" x14ac:dyDescent="0.35">
      <c r="A28" s="16">
        <v>18</v>
      </c>
      <c r="B28" s="11" t="s">
        <v>80</v>
      </c>
      <c r="C28" s="22">
        <v>10.72</v>
      </c>
      <c r="D28" s="8" t="s">
        <v>17</v>
      </c>
      <c r="E28" s="9">
        <v>57</v>
      </c>
      <c r="F28" s="9"/>
      <c r="G28" s="9">
        <f t="shared" ref="G28:G35" si="2">(E28+F28)*C28</f>
        <v>611.04000000000008</v>
      </c>
      <c r="H28" s="22">
        <v>10.72</v>
      </c>
      <c r="I28" s="22"/>
      <c r="J28" s="22">
        <f>+Table2[[#This Row],[Previous Qty]]+Table2[[#This Row],[Current Qty]]</f>
        <v>10.72</v>
      </c>
      <c r="K28" s="9">
        <f>(Table2[[#This Row],[Supply Rate]]+Table2[[#This Row],[Install Rate]])*Table2[[#This Row],[Previous Qty]]</f>
        <v>611.04000000000008</v>
      </c>
      <c r="L28" s="9">
        <f>+Table2[[#This Row],[Current Qty]]*(Table2[[#This Row],[Supply Rate]]+Table2[[#This Row],[Install Rate]])</f>
        <v>0</v>
      </c>
      <c r="M28" s="26">
        <f>(Table2[[#This Row],[Supply Rate]]+Table2[[#This Row],[Install Rate]])*Table2[[#This Row],[Cumulative]]</f>
        <v>611.04000000000008</v>
      </c>
    </row>
    <row r="29" spans="1:13" ht="29" x14ac:dyDescent="0.35">
      <c r="A29" s="16">
        <v>19</v>
      </c>
      <c r="B29" s="11" t="s">
        <v>83</v>
      </c>
      <c r="C29" s="22">
        <v>7.468</v>
      </c>
      <c r="D29" s="8" t="s">
        <v>17</v>
      </c>
      <c r="E29" s="9">
        <v>57</v>
      </c>
      <c r="F29" s="9"/>
      <c r="G29" s="9">
        <f t="shared" si="2"/>
        <v>425.67599999999999</v>
      </c>
      <c r="H29" s="22">
        <v>7.47</v>
      </c>
      <c r="I29" s="22"/>
      <c r="J29" s="22">
        <f>+Table2[[#This Row],[Previous Qty]]+Table2[[#This Row],[Current Qty]]</f>
        <v>7.47</v>
      </c>
      <c r="K29" s="9">
        <f>(Table2[[#This Row],[Supply Rate]]+Table2[[#This Row],[Install Rate]])*Table2[[#This Row],[Previous Qty]]</f>
        <v>425.78999999999996</v>
      </c>
      <c r="L29" s="9">
        <f>+Table2[[#This Row],[Current Qty]]*(Table2[[#This Row],[Supply Rate]]+Table2[[#This Row],[Install Rate]])</f>
        <v>0</v>
      </c>
      <c r="M29" s="26">
        <f>(Table2[[#This Row],[Supply Rate]]+Table2[[#This Row],[Install Rate]])*Table2[[#This Row],[Cumulative]]</f>
        <v>425.78999999999996</v>
      </c>
    </row>
    <row r="30" spans="1:13" ht="29" x14ac:dyDescent="0.35">
      <c r="A30" s="16">
        <v>20</v>
      </c>
      <c r="B30" s="11" t="s">
        <v>86</v>
      </c>
      <c r="C30" s="22">
        <v>13.32</v>
      </c>
      <c r="D30" s="8" t="s">
        <v>10</v>
      </c>
      <c r="E30" s="9">
        <v>39.699999999999989</v>
      </c>
      <c r="F30" s="9"/>
      <c r="G30" s="9">
        <f t="shared" si="2"/>
        <v>528.80399999999986</v>
      </c>
      <c r="H30" s="22">
        <v>13.32</v>
      </c>
      <c r="I30" s="22"/>
      <c r="J30" s="22">
        <f>+Table2[[#This Row],[Previous Qty]]+Table2[[#This Row],[Current Qty]]</f>
        <v>13.32</v>
      </c>
      <c r="K30" s="9">
        <f>(Table2[[#This Row],[Supply Rate]]+Table2[[#This Row],[Install Rate]])*Table2[[#This Row],[Previous Qty]]</f>
        <v>528.80399999999986</v>
      </c>
      <c r="L30" s="9">
        <f>+Table2[[#This Row],[Current Qty]]*(Table2[[#This Row],[Supply Rate]]+Table2[[#This Row],[Install Rate]])</f>
        <v>0</v>
      </c>
      <c r="M30" s="26">
        <f>(Table2[[#This Row],[Supply Rate]]+Table2[[#This Row],[Install Rate]])*Table2[[#This Row],[Cumulative]]</f>
        <v>528.80399999999986</v>
      </c>
    </row>
    <row r="31" spans="1:13" ht="29" x14ac:dyDescent="0.35">
      <c r="A31" s="16">
        <v>21</v>
      </c>
      <c r="B31" s="11" t="s">
        <v>87</v>
      </c>
      <c r="C31" s="22">
        <v>13.32</v>
      </c>
      <c r="D31" s="8" t="s">
        <v>10</v>
      </c>
      <c r="E31" s="9">
        <v>12.5</v>
      </c>
      <c r="F31" s="9"/>
      <c r="G31" s="9">
        <f t="shared" si="2"/>
        <v>166.5</v>
      </c>
      <c r="H31" s="22">
        <v>13.32</v>
      </c>
      <c r="I31" s="22"/>
      <c r="J31" s="22">
        <f>+Table2[[#This Row],[Previous Qty]]+Table2[[#This Row],[Current Qty]]</f>
        <v>13.32</v>
      </c>
      <c r="K31" s="9">
        <f>(Table2[[#This Row],[Supply Rate]]+Table2[[#This Row],[Install Rate]])*Table2[[#This Row],[Previous Qty]]</f>
        <v>166.5</v>
      </c>
      <c r="L31" s="9">
        <f>+Table2[[#This Row],[Current Qty]]*(Table2[[#This Row],[Supply Rate]]+Table2[[#This Row],[Install Rate]])</f>
        <v>0</v>
      </c>
      <c r="M31" s="26">
        <f>(Table2[[#This Row],[Supply Rate]]+Table2[[#This Row],[Install Rate]])*Table2[[#This Row],[Cumulative]]</f>
        <v>166.5</v>
      </c>
    </row>
    <row r="32" spans="1:13" ht="29" x14ac:dyDescent="0.35">
      <c r="A32" s="16">
        <v>22</v>
      </c>
      <c r="B32" s="11" t="s">
        <v>89</v>
      </c>
      <c r="C32" s="22">
        <v>31.1</v>
      </c>
      <c r="D32" s="8" t="s">
        <v>10</v>
      </c>
      <c r="E32" s="9">
        <v>36</v>
      </c>
      <c r="F32" s="9"/>
      <c r="G32" s="9">
        <f t="shared" si="2"/>
        <v>1119.6000000000001</v>
      </c>
      <c r="H32" s="22">
        <v>31.1</v>
      </c>
      <c r="I32" s="22"/>
      <c r="J32" s="22">
        <f>+Table2[[#This Row],[Previous Qty]]+Table2[[#This Row],[Current Qty]]</f>
        <v>31.1</v>
      </c>
      <c r="K32" s="9">
        <f>(Table2[[#This Row],[Supply Rate]]+Table2[[#This Row],[Install Rate]])*Table2[[#This Row],[Previous Qty]]</f>
        <v>1119.6000000000001</v>
      </c>
      <c r="L32" s="9">
        <f>+Table2[[#This Row],[Current Qty]]*(Table2[[#This Row],[Supply Rate]]+Table2[[#This Row],[Install Rate]])</f>
        <v>0</v>
      </c>
      <c r="M32" s="26">
        <f>(Table2[[#This Row],[Supply Rate]]+Table2[[#This Row],[Install Rate]])*Table2[[#This Row],[Cumulative]]</f>
        <v>1119.6000000000001</v>
      </c>
    </row>
    <row r="33" spans="1:13" ht="29" x14ac:dyDescent="0.35">
      <c r="A33" s="16">
        <v>23</v>
      </c>
      <c r="B33" s="11" t="s">
        <v>90</v>
      </c>
      <c r="C33" s="22">
        <v>51.76</v>
      </c>
      <c r="D33" s="8" t="s">
        <v>17</v>
      </c>
      <c r="E33" s="9">
        <v>57</v>
      </c>
      <c r="F33" s="9"/>
      <c r="G33" s="9">
        <f t="shared" si="2"/>
        <v>2950.3199999999997</v>
      </c>
      <c r="H33" s="22">
        <v>51.76</v>
      </c>
      <c r="I33" s="22"/>
      <c r="J33" s="22">
        <f>+Table2[[#This Row],[Previous Qty]]+Table2[[#This Row],[Current Qty]]</f>
        <v>51.76</v>
      </c>
      <c r="K33" s="9">
        <f>(Table2[[#This Row],[Supply Rate]]+Table2[[#This Row],[Install Rate]])*Table2[[#This Row],[Previous Qty]]</f>
        <v>2950.3199999999997</v>
      </c>
      <c r="L33" s="9">
        <f>+Table2[[#This Row],[Current Qty]]*(Table2[[#This Row],[Supply Rate]]+Table2[[#This Row],[Install Rate]])</f>
        <v>0</v>
      </c>
      <c r="M33" s="26">
        <f>(Table2[[#This Row],[Supply Rate]]+Table2[[#This Row],[Install Rate]])*Table2[[#This Row],[Cumulative]]</f>
        <v>2950.3199999999997</v>
      </c>
    </row>
    <row r="34" spans="1:13" ht="29" x14ac:dyDescent="0.35">
      <c r="A34" s="16">
        <v>24</v>
      </c>
      <c r="B34" s="11" t="s">
        <v>91</v>
      </c>
      <c r="C34" s="22">
        <v>6.12</v>
      </c>
      <c r="D34" s="8" t="s">
        <v>10</v>
      </c>
      <c r="E34" s="9">
        <v>39.699999999999989</v>
      </c>
      <c r="F34" s="9"/>
      <c r="G34" s="9">
        <f t="shared" si="2"/>
        <v>242.96399999999994</v>
      </c>
      <c r="H34" s="22">
        <v>6.12</v>
      </c>
      <c r="I34" s="22"/>
      <c r="J34" s="22">
        <f>+Table2[[#This Row],[Previous Qty]]+Table2[[#This Row],[Current Qty]]</f>
        <v>6.12</v>
      </c>
      <c r="K34" s="9">
        <f>(Table2[[#This Row],[Supply Rate]]+Table2[[#This Row],[Install Rate]])*Table2[[#This Row],[Previous Qty]]</f>
        <v>242.96399999999994</v>
      </c>
      <c r="L34" s="9">
        <f>+Table2[[#This Row],[Current Qty]]*(Table2[[#This Row],[Supply Rate]]+Table2[[#This Row],[Install Rate]])</f>
        <v>0</v>
      </c>
      <c r="M34" s="26">
        <f>(Table2[[#This Row],[Supply Rate]]+Table2[[#This Row],[Install Rate]])*Table2[[#This Row],[Cumulative]]</f>
        <v>242.96399999999994</v>
      </c>
    </row>
    <row r="35" spans="1:13" ht="29" x14ac:dyDescent="0.35">
      <c r="A35" s="16">
        <v>25</v>
      </c>
      <c r="B35" s="11" t="s">
        <v>92</v>
      </c>
      <c r="C35" s="22">
        <v>8.16</v>
      </c>
      <c r="D35" s="8" t="s">
        <v>10</v>
      </c>
      <c r="E35" s="9">
        <v>12.5</v>
      </c>
      <c r="F35" s="9"/>
      <c r="G35" s="9">
        <f t="shared" si="2"/>
        <v>102</v>
      </c>
      <c r="H35" s="22">
        <v>8.16</v>
      </c>
      <c r="I35" s="22"/>
      <c r="J35" s="22">
        <f>+Table2[[#This Row],[Previous Qty]]+Table2[[#This Row],[Current Qty]]</f>
        <v>8.16</v>
      </c>
      <c r="K35" s="9">
        <f>(Table2[[#This Row],[Supply Rate]]+Table2[[#This Row],[Install Rate]])*Table2[[#This Row],[Previous Qty]]</f>
        <v>102</v>
      </c>
      <c r="L35" s="9">
        <f>+Table2[[#This Row],[Current Qty]]*(Table2[[#This Row],[Supply Rate]]+Table2[[#This Row],[Install Rate]])</f>
        <v>0</v>
      </c>
      <c r="M35" s="26">
        <f>(Table2[[#This Row],[Supply Rate]]+Table2[[#This Row],[Install Rate]])*Table2[[#This Row],[Cumulative]]</f>
        <v>102</v>
      </c>
    </row>
    <row r="36" spans="1:13" x14ac:dyDescent="0.35">
      <c r="A36" s="16"/>
      <c r="B36" s="11"/>
      <c r="C36" s="22"/>
      <c r="D36" s="8"/>
      <c r="E36" s="9"/>
      <c r="F36" s="9"/>
      <c r="G36" s="9"/>
      <c r="H36" s="22">
        <v>0</v>
      </c>
      <c r="I36" s="22"/>
      <c r="J36" s="22">
        <f>+Table2[[#This Row],[Previous Qty]]+Table2[[#This Row],[Current Qty]]</f>
        <v>0</v>
      </c>
      <c r="K36" s="9">
        <f>(Table2[[#This Row],[Supply Rate]]+Table2[[#This Row],[Install Rate]])*Table2[[#This Row],[Previous Qty]]</f>
        <v>0</v>
      </c>
      <c r="L36" s="9">
        <f>+Table2[[#This Row],[Current Qty]]*(Table2[[#This Row],[Supply Rate]]+Table2[[#This Row],[Install Rate]])</f>
        <v>0</v>
      </c>
      <c r="M36" s="26">
        <f>(Table2[[#This Row],[Supply Rate]]+Table2[[#This Row],[Install Rate]])*Table2[[#This Row],[Cumulative]]</f>
        <v>0</v>
      </c>
    </row>
    <row r="37" spans="1:13" x14ac:dyDescent="0.35">
      <c r="A37" s="16"/>
      <c r="B37" s="7" t="s">
        <v>94</v>
      </c>
      <c r="C37" s="22"/>
      <c r="D37" s="8"/>
      <c r="E37" s="9"/>
      <c r="F37" s="9"/>
      <c r="G37" s="9"/>
      <c r="H37" s="22">
        <v>0</v>
      </c>
      <c r="I37" s="22"/>
      <c r="J37" s="22">
        <f>+Table2[[#This Row],[Previous Qty]]+Table2[[#This Row],[Current Qty]]</f>
        <v>0</v>
      </c>
      <c r="K37" s="9">
        <f>(Table2[[#This Row],[Supply Rate]]+Table2[[#This Row],[Install Rate]])*Table2[[#This Row],[Previous Qty]]</f>
        <v>0</v>
      </c>
      <c r="L37" s="9">
        <f>+Table2[[#This Row],[Current Qty]]*(Table2[[#This Row],[Supply Rate]]+Table2[[#This Row],[Install Rate]])</f>
        <v>0</v>
      </c>
      <c r="M37" s="26">
        <f>(Table2[[#This Row],[Supply Rate]]+Table2[[#This Row],[Install Rate]])*Table2[[#This Row],[Cumulative]]</f>
        <v>0</v>
      </c>
    </row>
    <row r="38" spans="1:13" ht="29" x14ac:dyDescent="0.35">
      <c r="A38" s="16">
        <v>26</v>
      </c>
      <c r="B38" s="11" t="s">
        <v>95</v>
      </c>
      <c r="C38" s="22">
        <v>16.72</v>
      </c>
      <c r="D38" s="8" t="s">
        <v>17</v>
      </c>
      <c r="E38" s="9">
        <v>57</v>
      </c>
      <c r="F38" s="9">
        <v>0</v>
      </c>
      <c r="G38" s="9">
        <f t="shared" ref="G38:G45" si="3">(E38+F38)*C38</f>
        <v>953.04</v>
      </c>
      <c r="H38" s="22">
        <v>16.72</v>
      </c>
      <c r="I38" s="22"/>
      <c r="J38" s="22">
        <f>+Table2[[#This Row],[Previous Qty]]+Table2[[#This Row],[Current Qty]]</f>
        <v>16.72</v>
      </c>
      <c r="K38" s="9">
        <f>(Table2[[#This Row],[Supply Rate]]+Table2[[#This Row],[Install Rate]])*Table2[[#This Row],[Previous Qty]]</f>
        <v>953.04</v>
      </c>
      <c r="L38" s="9">
        <f>+Table2[[#This Row],[Current Qty]]*(Table2[[#This Row],[Supply Rate]]+Table2[[#This Row],[Install Rate]])</f>
        <v>0</v>
      </c>
      <c r="M38" s="26">
        <f>(Table2[[#This Row],[Supply Rate]]+Table2[[#This Row],[Install Rate]])*Table2[[#This Row],[Cumulative]]</f>
        <v>953.04</v>
      </c>
    </row>
    <row r="39" spans="1:13" ht="29" x14ac:dyDescent="0.35">
      <c r="A39" s="16">
        <v>27</v>
      </c>
      <c r="B39" s="11" t="s">
        <v>83</v>
      </c>
      <c r="C39" s="22">
        <v>7.47</v>
      </c>
      <c r="D39" s="8" t="s">
        <v>17</v>
      </c>
      <c r="E39" s="9">
        <v>57</v>
      </c>
      <c r="F39" s="9">
        <v>0</v>
      </c>
      <c r="G39" s="9">
        <f t="shared" si="3"/>
        <v>425.78999999999996</v>
      </c>
      <c r="H39" s="22">
        <v>7.47</v>
      </c>
      <c r="I39" s="22"/>
      <c r="J39" s="22">
        <f>+Table2[[#This Row],[Previous Qty]]+Table2[[#This Row],[Current Qty]]</f>
        <v>7.47</v>
      </c>
      <c r="K39" s="9">
        <f>(Table2[[#This Row],[Supply Rate]]+Table2[[#This Row],[Install Rate]])*Table2[[#This Row],[Previous Qty]]</f>
        <v>425.78999999999996</v>
      </c>
      <c r="L39" s="9">
        <f>+Table2[[#This Row],[Current Qty]]*(Table2[[#This Row],[Supply Rate]]+Table2[[#This Row],[Install Rate]])</f>
        <v>0</v>
      </c>
      <c r="M39" s="26">
        <f>(Table2[[#This Row],[Supply Rate]]+Table2[[#This Row],[Install Rate]])*Table2[[#This Row],[Cumulative]]</f>
        <v>425.78999999999996</v>
      </c>
    </row>
    <row r="40" spans="1:13" ht="29" x14ac:dyDescent="0.35">
      <c r="A40" s="16">
        <v>28</v>
      </c>
      <c r="B40" s="11" t="s">
        <v>96</v>
      </c>
      <c r="C40" s="22">
        <v>13.32</v>
      </c>
      <c r="D40" s="8" t="s">
        <v>10</v>
      </c>
      <c r="E40" s="9">
        <v>39.699999999999989</v>
      </c>
      <c r="F40" s="9">
        <v>0</v>
      </c>
      <c r="G40" s="9">
        <f t="shared" si="3"/>
        <v>528.80399999999986</v>
      </c>
      <c r="H40" s="22">
        <v>13.32</v>
      </c>
      <c r="I40" s="22"/>
      <c r="J40" s="22">
        <f>+Table2[[#This Row],[Previous Qty]]+Table2[[#This Row],[Current Qty]]</f>
        <v>13.32</v>
      </c>
      <c r="K40" s="9">
        <f>(Table2[[#This Row],[Supply Rate]]+Table2[[#This Row],[Install Rate]])*Table2[[#This Row],[Previous Qty]]</f>
        <v>528.80399999999986</v>
      </c>
      <c r="L40" s="9">
        <f>+Table2[[#This Row],[Current Qty]]*(Table2[[#This Row],[Supply Rate]]+Table2[[#This Row],[Install Rate]])</f>
        <v>0</v>
      </c>
      <c r="M40" s="26">
        <f>(Table2[[#This Row],[Supply Rate]]+Table2[[#This Row],[Install Rate]])*Table2[[#This Row],[Cumulative]]</f>
        <v>528.80399999999986</v>
      </c>
    </row>
    <row r="41" spans="1:13" ht="29" x14ac:dyDescent="0.35">
      <c r="A41" s="16">
        <v>29</v>
      </c>
      <c r="B41" s="11" t="s">
        <v>97</v>
      </c>
      <c r="C41" s="22">
        <v>13.32</v>
      </c>
      <c r="D41" s="8" t="s">
        <v>10</v>
      </c>
      <c r="E41" s="9">
        <v>12.5</v>
      </c>
      <c r="F41" s="9">
        <v>0</v>
      </c>
      <c r="G41" s="9">
        <f t="shared" si="3"/>
        <v>166.5</v>
      </c>
      <c r="H41" s="22">
        <v>13.32</v>
      </c>
      <c r="I41" s="22"/>
      <c r="J41" s="22">
        <f>+Table2[[#This Row],[Previous Qty]]+Table2[[#This Row],[Current Qty]]</f>
        <v>13.32</v>
      </c>
      <c r="K41" s="9">
        <f>(Table2[[#This Row],[Supply Rate]]+Table2[[#This Row],[Install Rate]])*Table2[[#This Row],[Previous Qty]]</f>
        <v>166.5</v>
      </c>
      <c r="L41" s="9">
        <f>+Table2[[#This Row],[Current Qty]]*(Table2[[#This Row],[Supply Rate]]+Table2[[#This Row],[Install Rate]])</f>
        <v>0</v>
      </c>
      <c r="M41" s="26">
        <f>(Table2[[#This Row],[Supply Rate]]+Table2[[#This Row],[Install Rate]])*Table2[[#This Row],[Cumulative]]</f>
        <v>166.5</v>
      </c>
    </row>
    <row r="42" spans="1:13" ht="29" x14ac:dyDescent="0.35">
      <c r="A42" s="16">
        <v>30</v>
      </c>
      <c r="B42" s="11" t="s">
        <v>98</v>
      </c>
      <c r="C42" s="22">
        <v>31.56</v>
      </c>
      <c r="D42" s="8" t="s">
        <v>10</v>
      </c>
      <c r="E42" s="9">
        <v>36</v>
      </c>
      <c r="F42" s="9">
        <v>0</v>
      </c>
      <c r="G42" s="9">
        <f t="shared" si="3"/>
        <v>1136.1599999999999</v>
      </c>
      <c r="H42" s="22">
        <v>31.56</v>
      </c>
      <c r="I42" s="22"/>
      <c r="J42" s="22">
        <f>+Table2[[#This Row],[Previous Qty]]+Table2[[#This Row],[Current Qty]]</f>
        <v>31.56</v>
      </c>
      <c r="K42" s="9">
        <f>(Table2[[#This Row],[Supply Rate]]+Table2[[#This Row],[Install Rate]])*Table2[[#This Row],[Previous Qty]]</f>
        <v>1136.1599999999999</v>
      </c>
      <c r="L42" s="9">
        <f>+Table2[[#This Row],[Current Qty]]*(Table2[[#This Row],[Supply Rate]]+Table2[[#This Row],[Install Rate]])</f>
        <v>0</v>
      </c>
      <c r="M42" s="26">
        <f>(Table2[[#This Row],[Supply Rate]]+Table2[[#This Row],[Install Rate]])*Table2[[#This Row],[Cumulative]]</f>
        <v>1136.1599999999999</v>
      </c>
    </row>
    <row r="43" spans="1:13" ht="29" x14ac:dyDescent="0.35">
      <c r="A43" s="16">
        <v>31</v>
      </c>
      <c r="B43" s="11" t="s">
        <v>99</v>
      </c>
      <c r="C43" s="22">
        <v>60</v>
      </c>
      <c r="D43" s="8" t="s">
        <v>17</v>
      </c>
      <c r="E43" s="9">
        <v>57</v>
      </c>
      <c r="F43" s="9">
        <v>0</v>
      </c>
      <c r="G43" s="9">
        <f t="shared" si="3"/>
        <v>3420</v>
      </c>
      <c r="H43" s="22">
        <v>60</v>
      </c>
      <c r="I43" s="22"/>
      <c r="J43" s="22">
        <f>+Table2[[#This Row],[Previous Qty]]+Table2[[#This Row],[Current Qty]]</f>
        <v>60</v>
      </c>
      <c r="K43" s="9">
        <f>(Table2[[#This Row],[Supply Rate]]+Table2[[#This Row],[Install Rate]])*Table2[[#This Row],[Previous Qty]]</f>
        <v>3420</v>
      </c>
      <c r="L43" s="9">
        <f>+Table2[[#This Row],[Current Qty]]*(Table2[[#This Row],[Supply Rate]]+Table2[[#This Row],[Install Rate]])</f>
        <v>0</v>
      </c>
      <c r="M43" s="26">
        <f>(Table2[[#This Row],[Supply Rate]]+Table2[[#This Row],[Install Rate]])*Table2[[#This Row],[Cumulative]]</f>
        <v>3420</v>
      </c>
    </row>
    <row r="44" spans="1:13" ht="29" x14ac:dyDescent="0.35">
      <c r="A44" s="16">
        <v>32</v>
      </c>
      <c r="B44" s="11" t="s">
        <v>100</v>
      </c>
      <c r="C44" s="22">
        <v>6.12</v>
      </c>
      <c r="D44" s="8" t="s">
        <v>10</v>
      </c>
      <c r="E44" s="9">
        <v>39.699999999999989</v>
      </c>
      <c r="F44" s="9">
        <v>0</v>
      </c>
      <c r="G44" s="9">
        <f t="shared" si="3"/>
        <v>242.96399999999994</v>
      </c>
      <c r="H44" s="22">
        <v>6.12</v>
      </c>
      <c r="I44" s="22"/>
      <c r="J44" s="22">
        <f>+Table2[[#This Row],[Previous Qty]]+Table2[[#This Row],[Current Qty]]</f>
        <v>6.12</v>
      </c>
      <c r="K44" s="9">
        <f>(Table2[[#This Row],[Supply Rate]]+Table2[[#This Row],[Install Rate]])*Table2[[#This Row],[Previous Qty]]</f>
        <v>242.96399999999994</v>
      </c>
      <c r="L44" s="9">
        <f>+Table2[[#This Row],[Current Qty]]*(Table2[[#This Row],[Supply Rate]]+Table2[[#This Row],[Install Rate]])</f>
        <v>0</v>
      </c>
      <c r="M44" s="26">
        <f>(Table2[[#This Row],[Supply Rate]]+Table2[[#This Row],[Install Rate]])*Table2[[#This Row],[Cumulative]]</f>
        <v>242.96399999999994</v>
      </c>
    </row>
    <row r="45" spans="1:13" ht="29" x14ac:dyDescent="0.35">
      <c r="A45" s="16">
        <v>33</v>
      </c>
      <c r="B45" s="11" t="s">
        <v>101</v>
      </c>
      <c r="C45" s="22">
        <v>8.16</v>
      </c>
      <c r="D45" s="8" t="s">
        <v>10</v>
      </c>
      <c r="E45" s="9">
        <v>12.5</v>
      </c>
      <c r="F45" s="9">
        <v>0</v>
      </c>
      <c r="G45" s="9">
        <f t="shared" si="3"/>
        <v>102</v>
      </c>
      <c r="H45" s="22">
        <v>8.16</v>
      </c>
      <c r="I45" s="22"/>
      <c r="J45" s="22">
        <f>+Table2[[#This Row],[Previous Qty]]+Table2[[#This Row],[Current Qty]]</f>
        <v>8.16</v>
      </c>
      <c r="K45" s="9">
        <f>(Table2[[#This Row],[Supply Rate]]+Table2[[#This Row],[Install Rate]])*Table2[[#This Row],[Previous Qty]]</f>
        <v>102</v>
      </c>
      <c r="L45" s="9">
        <f>+Table2[[#This Row],[Current Qty]]*(Table2[[#This Row],[Supply Rate]]+Table2[[#This Row],[Install Rate]])</f>
        <v>0</v>
      </c>
      <c r="M45" s="26">
        <f>(Table2[[#This Row],[Supply Rate]]+Table2[[#This Row],[Install Rate]])*Table2[[#This Row],[Cumulative]]</f>
        <v>102</v>
      </c>
    </row>
    <row r="46" spans="1:13" x14ac:dyDescent="0.35">
      <c r="A46" s="16"/>
      <c r="B46" s="11"/>
      <c r="C46" s="22"/>
      <c r="D46" s="8"/>
      <c r="E46" s="9"/>
      <c r="F46" s="9"/>
      <c r="G46" s="9"/>
      <c r="H46" s="22">
        <v>0</v>
      </c>
      <c r="I46" s="22"/>
      <c r="J46" s="22">
        <f>+Table2[[#This Row],[Previous Qty]]+Table2[[#This Row],[Current Qty]]</f>
        <v>0</v>
      </c>
      <c r="K46" s="9">
        <f>(Table2[[#This Row],[Supply Rate]]+Table2[[#This Row],[Install Rate]])*Table2[[#This Row],[Previous Qty]]</f>
        <v>0</v>
      </c>
      <c r="L46" s="9">
        <f>+Table2[[#This Row],[Current Qty]]*(Table2[[#This Row],[Supply Rate]]+Table2[[#This Row],[Install Rate]])</f>
        <v>0</v>
      </c>
      <c r="M46" s="26">
        <f>(Table2[[#This Row],[Supply Rate]]+Table2[[#This Row],[Install Rate]])*Table2[[#This Row],[Cumulative]]</f>
        <v>0</v>
      </c>
    </row>
    <row r="47" spans="1:13" x14ac:dyDescent="0.35">
      <c r="A47" s="16"/>
      <c r="B47" s="7" t="s">
        <v>103</v>
      </c>
      <c r="C47" s="22"/>
      <c r="D47" s="8"/>
      <c r="E47" s="9"/>
      <c r="F47" s="9"/>
      <c r="G47" s="9"/>
      <c r="H47" s="22">
        <v>0</v>
      </c>
      <c r="I47" s="22"/>
      <c r="J47" s="22">
        <f>+Table2[[#This Row],[Previous Qty]]+Table2[[#This Row],[Current Qty]]</f>
        <v>0</v>
      </c>
      <c r="K47" s="9">
        <f>(Table2[[#This Row],[Supply Rate]]+Table2[[#This Row],[Install Rate]])*Table2[[#This Row],[Previous Qty]]</f>
        <v>0</v>
      </c>
      <c r="L47" s="9">
        <f>+Table2[[#This Row],[Current Qty]]*(Table2[[#This Row],[Supply Rate]]+Table2[[#This Row],[Install Rate]])</f>
        <v>0</v>
      </c>
      <c r="M47" s="26">
        <f>(Table2[[#This Row],[Supply Rate]]+Table2[[#This Row],[Install Rate]])*Table2[[#This Row],[Cumulative]]</f>
        <v>0</v>
      </c>
    </row>
    <row r="48" spans="1:13" ht="29" x14ac:dyDescent="0.35">
      <c r="A48" s="16">
        <v>34</v>
      </c>
      <c r="B48" s="11" t="s">
        <v>95</v>
      </c>
      <c r="C48" s="22">
        <v>25.34</v>
      </c>
      <c r="D48" s="8" t="s">
        <v>17</v>
      </c>
      <c r="E48" s="9">
        <v>57</v>
      </c>
      <c r="F48" s="9">
        <v>0</v>
      </c>
      <c r="G48" s="9">
        <f t="shared" ref="G48:G59" si="4">(E48+F48)*C48</f>
        <v>1444.3799999999999</v>
      </c>
      <c r="H48" s="22">
        <v>25.34</v>
      </c>
      <c r="I48" s="22"/>
      <c r="J48" s="22">
        <f>+Table2[[#This Row],[Previous Qty]]+Table2[[#This Row],[Current Qty]]</f>
        <v>25.34</v>
      </c>
      <c r="K48" s="9">
        <f>(Table2[[#This Row],[Supply Rate]]+Table2[[#This Row],[Install Rate]])*Table2[[#This Row],[Previous Qty]]</f>
        <v>1444.3799999999999</v>
      </c>
      <c r="L48" s="9">
        <f>+Table2[[#This Row],[Current Qty]]*(Table2[[#This Row],[Supply Rate]]+Table2[[#This Row],[Install Rate]])</f>
        <v>0</v>
      </c>
      <c r="M48" s="26">
        <f>(Table2[[#This Row],[Supply Rate]]+Table2[[#This Row],[Install Rate]])*Table2[[#This Row],[Cumulative]]</f>
        <v>1444.3799999999999</v>
      </c>
    </row>
    <row r="49" spans="1:13" ht="29" x14ac:dyDescent="0.35">
      <c r="A49" s="16">
        <v>35</v>
      </c>
      <c r="B49" s="11" t="s">
        <v>104</v>
      </c>
      <c r="C49" s="22">
        <v>3.91</v>
      </c>
      <c r="D49" s="8" t="s">
        <v>17</v>
      </c>
      <c r="E49" s="9">
        <v>57</v>
      </c>
      <c r="F49" s="9">
        <v>0</v>
      </c>
      <c r="G49" s="9">
        <f t="shared" si="4"/>
        <v>222.87</v>
      </c>
      <c r="H49" s="22">
        <v>0</v>
      </c>
      <c r="I49" s="22"/>
      <c r="J49" s="22">
        <f>+Table2[[#This Row],[Previous Qty]]+Table2[[#This Row],[Current Qty]]</f>
        <v>0</v>
      </c>
      <c r="K49" s="9">
        <f>(Table2[[#This Row],[Supply Rate]]+Table2[[#This Row],[Install Rate]])*Table2[[#This Row],[Previous Qty]]</f>
        <v>0</v>
      </c>
      <c r="L49" s="9">
        <f>+Table2[[#This Row],[Current Qty]]*(Table2[[#This Row],[Supply Rate]]+Table2[[#This Row],[Install Rate]])</f>
        <v>0</v>
      </c>
      <c r="M49" s="26">
        <f>(Table2[[#This Row],[Supply Rate]]+Table2[[#This Row],[Install Rate]])*Table2[[#This Row],[Cumulative]]</f>
        <v>0</v>
      </c>
    </row>
    <row r="50" spans="1:13" ht="29" x14ac:dyDescent="0.35">
      <c r="A50" s="16">
        <v>36</v>
      </c>
      <c r="B50" s="11" t="s">
        <v>105</v>
      </c>
      <c r="C50" s="22">
        <v>19.53</v>
      </c>
      <c r="D50" s="8" t="s">
        <v>17</v>
      </c>
      <c r="E50" s="9">
        <v>57</v>
      </c>
      <c r="F50" s="9">
        <v>0</v>
      </c>
      <c r="G50" s="9">
        <f t="shared" si="4"/>
        <v>1113.21</v>
      </c>
      <c r="H50" s="22">
        <v>0</v>
      </c>
      <c r="I50" s="22"/>
      <c r="J50" s="22">
        <f>+Table2[[#This Row],[Previous Qty]]+Table2[[#This Row],[Current Qty]]</f>
        <v>0</v>
      </c>
      <c r="K50" s="9">
        <f>(Table2[[#This Row],[Supply Rate]]+Table2[[#This Row],[Install Rate]])*Table2[[#This Row],[Previous Qty]]</f>
        <v>0</v>
      </c>
      <c r="L50" s="9">
        <f>+Table2[[#This Row],[Current Qty]]*(Table2[[#This Row],[Supply Rate]]+Table2[[#This Row],[Install Rate]])</f>
        <v>0</v>
      </c>
      <c r="M50" s="26">
        <f>(Table2[[#This Row],[Supply Rate]]+Table2[[#This Row],[Install Rate]])*Table2[[#This Row],[Cumulative]]</f>
        <v>0</v>
      </c>
    </row>
    <row r="51" spans="1:13" ht="29" x14ac:dyDescent="0.35">
      <c r="A51" s="16">
        <v>37</v>
      </c>
      <c r="B51" s="11" t="s">
        <v>106</v>
      </c>
      <c r="C51" s="22">
        <v>5.69</v>
      </c>
      <c r="D51" s="8" t="s">
        <v>17</v>
      </c>
      <c r="E51" s="9">
        <v>57</v>
      </c>
      <c r="F51" s="9">
        <v>0</v>
      </c>
      <c r="G51" s="9">
        <f t="shared" si="4"/>
        <v>324.33000000000004</v>
      </c>
      <c r="H51" s="22">
        <v>0</v>
      </c>
      <c r="I51" s="22"/>
      <c r="J51" s="22">
        <f>+Table2[[#This Row],[Previous Qty]]+Table2[[#This Row],[Current Qty]]</f>
        <v>0</v>
      </c>
      <c r="K51" s="9">
        <f>(Table2[[#This Row],[Supply Rate]]+Table2[[#This Row],[Install Rate]])*Table2[[#This Row],[Previous Qty]]</f>
        <v>0</v>
      </c>
      <c r="L51" s="9">
        <f>+Table2[[#This Row],[Current Qty]]*(Table2[[#This Row],[Supply Rate]]+Table2[[#This Row],[Install Rate]])</f>
        <v>0</v>
      </c>
      <c r="M51" s="26">
        <f>(Table2[[#This Row],[Supply Rate]]+Table2[[#This Row],[Install Rate]])*Table2[[#This Row],[Cumulative]]</f>
        <v>0</v>
      </c>
    </row>
    <row r="52" spans="1:13" ht="29" x14ac:dyDescent="0.35">
      <c r="A52" s="16">
        <v>38</v>
      </c>
      <c r="B52" s="11" t="s">
        <v>107</v>
      </c>
      <c r="C52" s="22">
        <v>48.51</v>
      </c>
      <c r="D52" s="8" t="s">
        <v>17</v>
      </c>
      <c r="E52" s="9">
        <v>57</v>
      </c>
      <c r="F52" s="9">
        <v>0</v>
      </c>
      <c r="G52" s="9">
        <f t="shared" si="4"/>
        <v>2765.0699999999997</v>
      </c>
      <c r="H52" s="22">
        <v>0</v>
      </c>
      <c r="I52" s="22"/>
      <c r="J52" s="22">
        <f>+Table2[[#This Row],[Previous Qty]]+Table2[[#This Row],[Current Qty]]</f>
        <v>0</v>
      </c>
      <c r="K52" s="9">
        <f>(Table2[[#This Row],[Supply Rate]]+Table2[[#This Row],[Install Rate]])*Table2[[#This Row],[Previous Qty]]</f>
        <v>0</v>
      </c>
      <c r="L52" s="9">
        <f>+Table2[[#This Row],[Current Qty]]*(Table2[[#This Row],[Supply Rate]]+Table2[[#This Row],[Install Rate]])</f>
        <v>0</v>
      </c>
      <c r="M52" s="26">
        <f>(Table2[[#This Row],[Supply Rate]]+Table2[[#This Row],[Install Rate]])*Table2[[#This Row],[Cumulative]]</f>
        <v>0</v>
      </c>
    </row>
    <row r="53" spans="1:13" ht="29" x14ac:dyDescent="0.35">
      <c r="A53" s="16">
        <v>39</v>
      </c>
      <c r="B53" s="11" t="s">
        <v>108</v>
      </c>
      <c r="C53" s="22">
        <v>11</v>
      </c>
      <c r="D53" s="8" t="s">
        <v>10</v>
      </c>
      <c r="E53" s="9">
        <v>39.699999999999989</v>
      </c>
      <c r="F53" s="9">
        <v>0</v>
      </c>
      <c r="G53" s="9">
        <f t="shared" si="4"/>
        <v>436.69999999999987</v>
      </c>
      <c r="H53" s="22">
        <v>0</v>
      </c>
      <c r="I53" s="22"/>
      <c r="J53" s="22">
        <f>+Table2[[#This Row],[Previous Qty]]+Table2[[#This Row],[Current Qty]]</f>
        <v>0</v>
      </c>
      <c r="K53" s="9">
        <f>(Table2[[#This Row],[Supply Rate]]+Table2[[#This Row],[Install Rate]])*Table2[[#This Row],[Previous Qty]]</f>
        <v>0</v>
      </c>
      <c r="L53" s="9">
        <f>+Table2[[#This Row],[Current Qty]]*(Table2[[#This Row],[Supply Rate]]+Table2[[#This Row],[Install Rate]])</f>
        <v>0</v>
      </c>
      <c r="M53" s="26">
        <f>(Table2[[#This Row],[Supply Rate]]+Table2[[#This Row],[Install Rate]])*Table2[[#This Row],[Cumulative]]</f>
        <v>0</v>
      </c>
    </row>
    <row r="54" spans="1:13" ht="29" x14ac:dyDescent="0.35">
      <c r="A54" s="16">
        <v>40</v>
      </c>
      <c r="B54" s="11" t="s">
        <v>109</v>
      </c>
      <c r="C54" s="22">
        <v>11</v>
      </c>
      <c r="D54" s="8" t="s">
        <v>10</v>
      </c>
      <c r="E54" s="9">
        <v>12.5</v>
      </c>
      <c r="F54" s="9">
        <v>0</v>
      </c>
      <c r="G54" s="9">
        <f t="shared" si="4"/>
        <v>137.5</v>
      </c>
      <c r="H54" s="22">
        <v>0</v>
      </c>
      <c r="I54" s="22"/>
      <c r="J54" s="22">
        <f>+Table2[[#This Row],[Previous Qty]]+Table2[[#This Row],[Current Qty]]</f>
        <v>0</v>
      </c>
      <c r="K54" s="9">
        <f>(Table2[[#This Row],[Supply Rate]]+Table2[[#This Row],[Install Rate]])*Table2[[#This Row],[Previous Qty]]</f>
        <v>0</v>
      </c>
      <c r="L54" s="9">
        <f>+Table2[[#This Row],[Current Qty]]*(Table2[[#This Row],[Supply Rate]]+Table2[[#This Row],[Install Rate]])</f>
        <v>0</v>
      </c>
      <c r="M54" s="26">
        <f>(Table2[[#This Row],[Supply Rate]]+Table2[[#This Row],[Install Rate]])*Table2[[#This Row],[Cumulative]]</f>
        <v>0</v>
      </c>
    </row>
    <row r="55" spans="1:13" x14ac:dyDescent="0.35">
      <c r="A55" s="16">
        <v>41</v>
      </c>
      <c r="B55" s="11" t="s">
        <v>110</v>
      </c>
      <c r="C55" s="22">
        <v>14</v>
      </c>
      <c r="D55" s="8" t="s">
        <v>36</v>
      </c>
      <c r="E55" s="9">
        <v>36</v>
      </c>
      <c r="F55" s="9">
        <v>0</v>
      </c>
      <c r="G55" s="9">
        <f t="shared" si="4"/>
        <v>504</v>
      </c>
      <c r="H55" s="22">
        <v>0</v>
      </c>
      <c r="I55" s="22"/>
      <c r="J55" s="22">
        <f>+Table2[[#This Row],[Previous Qty]]+Table2[[#This Row],[Current Qty]]</f>
        <v>0</v>
      </c>
      <c r="K55" s="9">
        <f>(Table2[[#This Row],[Supply Rate]]+Table2[[#This Row],[Install Rate]])*Table2[[#This Row],[Previous Qty]]</f>
        <v>0</v>
      </c>
      <c r="L55" s="9">
        <f>+Table2[[#This Row],[Current Qty]]*(Table2[[#This Row],[Supply Rate]]+Table2[[#This Row],[Install Rate]])</f>
        <v>0</v>
      </c>
      <c r="M55" s="26">
        <f>(Table2[[#This Row],[Supply Rate]]+Table2[[#This Row],[Install Rate]])*Table2[[#This Row],[Cumulative]]</f>
        <v>0</v>
      </c>
    </row>
    <row r="56" spans="1:13" ht="29" x14ac:dyDescent="0.35">
      <c r="A56" s="16">
        <v>42</v>
      </c>
      <c r="B56" s="11" t="s">
        <v>111</v>
      </c>
      <c r="C56" s="22">
        <v>45.940000000000005</v>
      </c>
      <c r="D56" s="8" t="s">
        <v>17</v>
      </c>
      <c r="E56" s="9">
        <v>57</v>
      </c>
      <c r="F56" s="9">
        <v>0</v>
      </c>
      <c r="G56" s="9">
        <f t="shared" si="4"/>
        <v>2618.5800000000004</v>
      </c>
      <c r="H56" s="22">
        <v>0</v>
      </c>
      <c r="I56" s="265"/>
      <c r="J56" s="22">
        <f>+Table2[[#This Row],[Previous Qty]]+Table2[[#This Row],[Current Qty]]</f>
        <v>0</v>
      </c>
      <c r="K56" s="9">
        <f>(Table2[[#This Row],[Supply Rate]]+Table2[[#This Row],[Install Rate]])*Table2[[#This Row],[Previous Qty]]</f>
        <v>0</v>
      </c>
      <c r="L56" s="9">
        <f>+Table2[[#This Row],[Current Qty]]*(Table2[[#This Row],[Supply Rate]]+Table2[[#This Row],[Install Rate]])</f>
        <v>0</v>
      </c>
      <c r="M56" s="26">
        <f>(Table2[[#This Row],[Supply Rate]]+Table2[[#This Row],[Install Rate]])*Table2[[#This Row],[Cumulative]]</f>
        <v>0</v>
      </c>
    </row>
    <row r="57" spans="1:13" ht="29" x14ac:dyDescent="0.35">
      <c r="A57" s="16">
        <v>43</v>
      </c>
      <c r="B57" s="11" t="s">
        <v>112</v>
      </c>
      <c r="C57" s="22">
        <v>7.5</v>
      </c>
      <c r="D57" s="8" t="s">
        <v>10</v>
      </c>
      <c r="E57" s="9">
        <v>39.699999999999989</v>
      </c>
      <c r="F57" s="9">
        <v>0</v>
      </c>
      <c r="G57" s="9">
        <f t="shared" si="4"/>
        <v>297.74999999999989</v>
      </c>
      <c r="H57" s="22">
        <v>0</v>
      </c>
      <c r="I57" s="22"/>
      <c r="J57" s="22">
        <f>+Table2[[#This Row],[Previous Qty]]+Table2[[#This Row],[Current Qty]]</f>
        <v>0</v>
      </c>
      <c r="K57" s="9">
        <f>(Table2[[#This Row],[Supply Rate]]+Table2[[#This Row],[Install Rate]])*Table2[[#This Row],[Previous Qty]]</f>
        <v>0</v>
      </c>
      <c r="L57" s="9">
        <f>+Table2[[#This Row],[Current Qty]]*(Table2[[#This Row],[Supply Rate]]+Table2[[#This Row],[Install Rate]])</f>
        <v>0</v>
      </c>
      <c r="M57" s="26">
        <f>(Table2[[#This Row],[Supply Rate]]+Table2[[#This Row],[Install Rate]])*Table2[[#This Row],[Cumulative]]</f>
        <v>0</v>
      </c>
    </row>
    <row r="58" spans="1:13" ht="29" x14ac:dyDescent="0.35">
      <c r="A58" s="16">
        <v>44</v>
      </c>
      <c r="B58" s="11" t="s">
        <v>113</v>
      </c>
      <c r="C58" s="22">
        <v>7.5</v>
      </c>
      <c r="D58" s="8" t="s">
        <v>10</v>
      </c>
      <c r="E58" s="9">
        <v>12.5</v>
      </c>
      <c r="F58" s="9">
        <v>0</v>
      </c>
      <c r="G58" s="9">
        <f t="shared" si="4"/>
        <v>93.75</v>
      </c>
      <c r="H58" s="22">
        <v>0</v>
      </c>
      <c r="I58" s="22"/>
      <c r="J58" s="22">
        <f>+Table2[[#This Row],[Previous Qty]]+Table2[[#This Row],[Current Qty]]</f>
        <v>0</v>
      </c>
      <c r="K58" s="9">
        <f>(Table2[[#This Row],[Supply Rate]]+Table2[[#This Row],[Install Rate]])*Table2[[#This Row],[Previous Qty]]</f>
        <v>0</v>
      </c>
      <c r="L58" s="9">
        <f>+Table2[[#This Row],[Current Qty]]*(Table2[[#This Row],[Supply Rate]]+Table2[[#This Row],[Install Rate]])</f>
        <v>0</v>
      </c>
      <c r="M58" s="26">
        <f>(Table2[[#This Row],[Supply Rate]]+Table2[[#This Row],[Install Rate]])*Table2[[#This Row],[Cumulative]]</f>
        <v>0</v>
      </c>
    </row>
    <row r="59" spans="1:13" ht="29" x14ac:dyDescent="0.35">
      <c r="A59" s="16">
        <v>45</v>
      </c>
      <c r="B59" s="11" t="s">
        <v>114</v>
      </c>
      <c r="C59" s="22">
        <v>5.85</v>
      </c>
      <c r="D59" s="8" t="s">
        <v>17</v>
      </c>
      <c r="E59" s="9">
        <v>57</v>
      </c>
      <c r="F59" s="9">
        <v>0</v>
      </c>
      <c r="G59" s="9">
        <f t="shared" si="4"/>
        <v>333.45</v>
      </c>
      <c r="H59" s="22">
        <v>0</v>
      </c>
      <c r="I59" s="22"/>
      <c r="J59" s="22">
        <f>+Table2[[#This Row],[Previous Qty]]+Table2[[#This Row],[Current Qty]]</f>
        <v>0</v>
      </c>
      <c r="K59" s="9">
        <f>(Table2[[#This Row],[Supply Rate]]+Table2[[#This Row],[Install Rate]])*Table2[[#This Row],[Previous Qty]]</f>
        <v>0</v>
      </c>
      <c r="L59" s="9">
        <f>+Table2[[#This Row],[Current Qty]]*(Table2[[#This Row],[Supply Rate]]+Table2[[#This Row],[Install Rate]])</f>
        <v>0</v>
      </c>
      <c r="M59" s="26">
        <f>(Table2[[#This Row],[Supply Rate]]+Table2[[#This Row],[Install Rate]])*Table2[[#This Row],[Cumulative]]</f>
        <v>0</v>
      </c>
    </row>
    <row r="60" spans="1:13" x14ac:dyDescent="0.35">
      <c r="A60" s="16"/>
      <c r="B60" s="11"/>
      <c r="C60" s="22"/>
      <c r="D60" s="8"/>
      <c r="E60" s="9"/>
      <c r="F60" s="9"/>
      <c r="G60" s="9"/>
      <c r="H60" s="22">
        <v>0</v>
      </c>
      <c r="I60" s="22"/>
      <c r="J60" s="22">
        <f>+Table2[[#This Row],[Previous Qty]]+Table2[[#This Row],[Current Qty]]</f>
        <v>0</v>
      </c>
      <c r="K60" s="9">
        <f>(Table2[[#This Row],[Supply Rate]]+Table2[[#This Row],[Install Rate]])*Table2[[#This Row],[Previous Qty]]</f>
        <v>0</v>
      </c>
      <c r="L60" s="9">
        <f>+Table2[[#This Row],[Current Qty]]*(Table2[[#This Row],[Supply Rate]]+Table2[[#This Row],[Install Rate]])</f>
        <v>0</v>
      </c>
      <c r="M60" s="26">
        <f>(Table2[[#This Row],[Supply Rate]]+Table2[[#This Row],[Install Rate]])*Table2[[#This Row],[Cumulative]]</f>
        <v>0</v>
      </c>
    </row>
    <row r="61" spans="1:13" x14ac:dyDescent="0.35">
      <c r="A61" s="16"/>
      <c r="B61" s="7" t="s">
        <v>115</v>
      </c>
      <c r="C61" s="22"/>
      <c r="D61" s="8"/>
      <c r="E61" s="9"/>
      <c r="F61" s="9"/>
      <c r="G61" s="9"/>
      <c r="H61" s="22">
        <v>0</v>
      </c>
      <c r="I61" s="22"/>
      <c r="J61" s="22">
        <f>+Table2[[#This Row],[Previous Qty]]+Table2[[#This Row],[Current Qty]]</f>
        <v>0</v>
      </c>
      <c r="K61" s="9">
        <f>(Table2[[#This Row],[Supply Rate]]+Table2[[#This Row],[Install Rate]])*Table2[[#This Row],[Previous Qty]]</f>
        <v>0</v>
      </c>
      <c r="L61" s="9">
        <f>+Table2[[#This Row],[Current Qty]]*(Table2[[#This Row],[Supply Rate]]+Table2[[#This Row],[Install Rate]])</f>
        <v>0</v>
      </c>
      <c r="M61" s="26">
        <f>(Table2[[#This Row],[Supply Rate]]+Table2[[#This Row],[Install Rate]])*Table2[[#This Row],[Cumulative]]</f>
        <v>0</v>
      </c>
    </row>
    <row r="62" spans="1:13" ht="29" x14ac:dyDescent="0.35">
      <c r="A62" s="16">
        <v>46</v>
      </c>
      <c r="B62" s="11" t="s">
        <v>95</v>
      </c>
      <c r="C62" s="22">
        <v>10.72</v>
      </c>
      <c r="D62" s="8" t="s">
        <v>17</v>
      </c>
      <c r="E62" s="9">
        <v>57</v>
      </c>
      <c r="F62" s="9">
        <v>0</v>
      </c>
      <c r="G62" s="9">
        <f t="shared" ref="G62:G69" si="5">(E62+F62)*C62</f>
        <v>611.04000000000008</v>
      </c>
      <c r="H62" s="22">
        <v>10.72</v>
      </c>
      <c r="I62" s="22"/>
      <c r="J62" s="22">
        <f>+Table2[[#This Row],[Previous Qty]]+Table2[[#This Row],[Current Qty]]</f>
        <v>10.72</v>
      </c>
      <c r="K62" s="9">
        <f>(Table2[[#This Row],[Supply Rate]]+Table2[[#This Row],[Install Rate]])*Table2[[#This Row],[Previous Qty]]</f>
        <v>611.04000000000008</v>
      </c>
      <c r="L62" s="9">
        <f>+Table2[[#This Row],[Current Qty]]*(Table2[[#This Row],[Supply Rate]]+Table2[[#This Row],[Install Rate]])</f>
        <v>0</v>
      </c>
      <c r="M62" s="26">
        <f>(Table2[[#This Row],[Supply Rate]]+Table2[[#This Row],[Install Rate]])*Table2[[#This Row],[Cumulative]]</f>
        <v>611.04000000000008</v>
      </c>
    </row>
    <row r="63" spans="1:13" ht="29" x14ac:dyDescent="0.35">
      <c r="A63" s="16">
        <v>47</v>
      </c>
      <c r="B63" s="11" t="s">
        <v>83</v>
      </c>
      <c r="C63" s="22">
        <v>7.468</v>
      </c>
      <c r="D63" s="8" t="s">
        <v>17</v>
      </c>
      <c r="E63" s="9">
        <v>57</v>
      </c>
      <c r="F63" s="9">
        <v>0</v>
      </c>
      <c r="G63" s="9">
        <f t="shared" si="5"/>
        <v>425.67599999999999</v>
      </c>
      <c r="H63" s="22">
        <v>7.47</v>
      </c>
      <c r="I63" s="22"/>
      <c r="J63" s="22">
        <f>+Table2[[#This Row],[Previous Qty]]+Table2[[#This Row],[Current Qty]]</f>
        <v>7.47</v>
      </c>
      <c r="K63" s="9">
        <f>(Table2[[#This Row],[Supply Rate]]+Table2[[#This Row],[Install Rate]])*Table2[[#This Row],[Previous Qty]]</f>
        <v>425.78999999999996</v>
      </c>
      <c r="L63" s="9">
        <f>+Table2[[#This Row],[Current Qty]]*(Table2[[#This Row],[Supply Rate]]+Table2[[#This Row],[Install Rate]])</f>
        <v>0</v>
      </c>
      <c r="M63" s="26">
        <f>(Table2[[#This Row],[Supply Rate]]+Table2[[#This Row],[Install Rate]])*Table2[[#This Row],[Cumulative]]</f>
        <v>425.78999999999996</v>
      </c>
    </row>
    <row r="64" spans="1:13" ht="29" x14ac:dyDescent="0.35">
      <c r="A64" s="16">
        <v>48</v>
      </c>
      <c r="B64" s="11" t="s">
        <v>86</v>
      </c>
      <c r="C64" s="22">
        <v>13.32</v>
      </c>
      <c r="D64" s="8" t="s">
        <v>10</v>
      </c>
      <c r="E64" s="9">
        <v>39.699999999999989</v>
      </c>
      <c r="F64" s="9">
        <v>0</v>
      </c>
      <c r="G64" s="9">
        <f t="shared" si="5"/>
        <v>528.80399999999986</v>
      </c>
      <c r="H64" s="22">
        <v>13.32</v>
      </c>
      <c r="I64" s="22"/>
      <c r="J64" s="22">
        <f>+Table2[[#This Row],[Previous Qty]]+Table2[[#This Row],[Current Qty]]</f>
        <v>13.32</v>
      </c>
      <c r="K64" s="9">
        <f>(Table2[[#This Row],[Supply Rate]]+Table2[[#This Row],[Install Rate]])*Table2[[#This Row],[Previous Qty]]</f>
        <v>528.80399999999986</v>
      </c>
      <c r="L64" s="9">
        <f>+Table2[[#This Row],[Current Qty]]*(Table2[[#This Row],[Supply Rate]]+Table2[[#This Row],[Install Rate]])</f>
        <v>0</v>
      </c>
      <c r="M64" s="26">
        <f>(Table2[[#This Row],[Supply Rate]]+Table2[[#This Row],[Install Rate]])*Table2[[#This Row],[Cumulative]]</f>
        <v>528.80399999999986</v>
      </c>
    </row>
    <row r="65" spans="1:13" ht="29" x14ac:dyDescent="0.35">
      <c r="A65" s="16">
        <v>49</v>
      </c>
      <c r="B65" s="11" t="s">
        <v>87</v>
      </c>
      <c r="C65" s="22">
        <v>13.32</v>
      </c>
      <c r="D65" s="8" t="s">
        <v>10</v>
      </c>
      <c r="E65" s="9">
        <v>12.5</v>
      </c>
      <c r="F65" s="9">
        <v>0</v>
      </c>
      <c r="G65" s="9">
        <f t="shared" si="5"/>
        <v>166.5</v>
      </c>
      <c r="H65" s="22">
        <v>13.32</v>
      </c>
      <c r="I65" s="22"/>
      <c r="J65" s="22">
        <f>+Table2[[#This Row],[Previous Qty]]+Table2[[#This Row],[Current Qty]]</f>
        <v>13.32</v>
      </c>
      <c r="K65" s="9">
        <f>(Table2[[#This Row],[Supply Rate]]+Table2[[#This Row],[Install Rate]])*Table2[[#This Row],[Previous Qty]]</f>
        <v>166.5</v>
      </c>
      <c r="L65" s="9">
        <f>+Table2[[#This Row],[Current Qty]]*(Table2[[#This Row],[Supply Rate]]+Table2[[#This Row],[Install Rate]])</f>
        <v>0</v>
      </c>
      <c r="M65" s="26">
        <f>(Table2[[#This Row],[Supply Rate]]+Table2[[#This Row],[Install Rate]])*Table2[[#This Row],[Cumulative]]</f>
        <v>166.5</v>
      </c>
    </row>
    <row r="66" spans="1:13" ht="29" x14ac:dyDescent="0.35">
      <c r="A66" s="16">
        <v>50</v>
      </c>
      <c r="B66" s="11" t="s">
        <v>118</v>
      </c>
      <c r="C66" s="22">
        <v>31.56</v>
      </c>
      <c r="D66" s="8" t="s">
        <v>10</v>
      </c>
      <c r="E66" s="9">
        <v>36</v>
      </c>
      <c r="F66" s="9">
        <v>0</v>
      </c>
      <c r="G66" s="9">
        <f t="shared" si="5"/>
        <v>1136.1599999999999</v>
      </c>
      <c r="H66" s="22">
        <v>31.56</v>
      </c>
      <c r="I66" s="22"/>
      <c r="J66" s="22">
        <f>+Table2[[#This Row],[Previous Qty]]+Table2[[#This Row],[Current Qty]]</f>
        <v>31.56</v>
      </c>
      <c r="K66" s="9">
        <f>(Table2[[#This Row],[Supply Rate]]+Table2[[#This Row],[Install Rate]])*Table2[[#This Row],[Previous Qty]]</f>
        <v>1136.1599999999999</v>
      </c>
      <c r="L66" s="9">
        <f>+Table2[[#This Row],[Current Qty]]*(Table2[[#This Row],[Supply Rate]]+Table2[[#This Row],[Install Rate]])</f>
        <v>0</v>
      </c>
      <c r="M66" s="26">
        <f>(Table2[[#This Row],[Supply Rate]]+Table2[[#This Row],[Install Rate]])*Table2[[#This Row],[Cumulative]]</f>
        <v>1136.1599999999999</v>
      </c>
    </row>
    <row r="67" spans="1:13" ht="29" x14ac:dyDescent="0.35">
      <c r="A67" s="16">
        <v>51</v>
      </c>
      <c r="B67" s="11" t="s">
        <v>119</v>
      </c>
      <c r="C67" s="22">
        <v>46.48</v>
      </c>
      <c r="D67" s="8" t="s">
        <v>17</v>
      </c>
      <c r="E67" s="9">
        <v>57</v>
      </c>
      <c r="F67" s="9">
        <v>0</v>
      </c>
      <c r="G67" s="9">
        <f t="shared" si="5"/>
        <v>2649.3599999999997</v>
      </c>
      <c r="H67" s="22">
        <v>46.48</v>
      </c>
      <c r="I67" s="22"/>
      <c r="J67" s="22">
        <f>+Table2[[#This Row],[Previous Qty]]+Table2[[#This Row],[Current Qty]]</f>
        <v>46.48</v>
      </c>
      <c r="K67" s="9">
        <f>(Table2[[#This Row],[Supply Rate]]+Table2[[#This Row],[Install Rate]])*Table2[[#This Row],[Previous Qty]]</f>
        <v>2649.3599999999997</v>
      </c>
      <c r="L67" s="9">
        <f>+Table2[[#This Row],[Current Qty]]*(Table2[[#This Row],[Supply Rate]]+Table2[[#This Row],[Install Rate]])</f>
        <v>0</v>
      </c>
      <c r="M67" s="26">
        <f>(Table2[[#This Row],[Supply Rate]]+Table2[[#This Row],[Install Rate]])*Table2[[#This Row],[Cumulative]]</f>
        <v>2649.3599999999997</v>
      </c>
    </row>
    <row r="68" spans="1:13" ht="29" x14ac:dyDescent="0.35">
      <c r="A68" s="16">
        <v>52</v>
      </c>
      <c r="B68" s="11" t="s">
        <v>120</v>
      </c>
      <c r="C68" s="22">
        <v>6.15</v>
      </c>
      <c r="D68" s="8" t="s">
        <v>10</v>
      </c>
      <c r="E68" s="9">
        <v>39.699999999999989</v>
      </c>
      <c r="F68" s="9">
        <v>0</v>
      </c>
      <c r="G68" s="9">
        <f t="shared" si="5"/>
        <v>244.15499999999994</v>
      </c>
      <c r="H68" s="22">
        <v>6.15</v>
      </c>
      <c r="I68" s="22"/>
      <c r="J68" s="22">
        <f>+Table2[[#This Row],[Previous Qty]]+Table2[[#This Row],[Current Qty]]</f>
        <v>6.15</v>
      </c>
      <c r="K68" s="9">
        <f>(Table2[[#This Row],[Supply Rate]]+Table2[[#This Row],[Install Rate]])*Table2[[#This Row],[Previous Qty]]</f>
        <v>244.15499999999994</v>
      </c>
      <c r="L68" s="9">
        <f>+Table2[[#This Row],[Current Qty]]*(Table2[[#This Row],[Supply Rate]]+Table2[[#This Row],[Install Rate]])</f>
        <v>0</v>
      </c>
      <c r="M68" s="26">
        <f>(Table2[[#This Row],[Supply Rate]]+Table2[[#This Row],[Install Rate]])*Table2[[#This Row],[Cumulative]]</f>
        <v>244.15499999999994</v>
      </c>
    </row>
    <row r="69" spans="1:13" ht="29" x14ac:dyDescent="0.35">
      <c r="A69" s="16">
        <v>53</v>
      </c>
      <c r="B69" s="11" t="s">
        <v>121</v>
      </c>
      <c r="C69" s="22">
        <v>8.1999999999999993</v>
      </c>
      <c r="D69" s="8" t="s">
        <v>10</v>
      </c>
      <c r="E69" s="9">
        <v>12.5</v>
      </c>
      <c r="F69" s="9">
        <v>0</v>
      </c>
      <c r="G69" s="9">
        <f t="shared" si="5"/>
        <v>102.49999999999999</v>
      </c>
      <c r="H69" s="22">
        <v>8.1999999999999993</v>
      </c>
      <c r="I69" s="22"/>
      <c r="J69" s="22">
        <f>+Table2[[#This Row],[Previous Qty]]+Table2[[#This Row],[Current Qty]]</f>
        <v>8.1999999999999993</v>
      </c>
      <c r="K69" s="9">
        <f>(Table2[[#This Row],[Supply Rate]]+Table2[[#This Row],[Install Rate]])*Table2[[#This Row],[Previous Qty]]</f>
        <v>102.49999999999999</v>
      </c>
      <c r="L69" s="9">
        <f>+Table2[[#This Row],[Current Qty]]*(Table2[[#This Row],[Supply Rate]]+Table2[[#This Row],[Install Rate]])</f>
        <v>0</v>
      </c>
      <c r="M69" s="26">
        <f>(Table2[[#This Row],[Supply Rate]]+Table2[[#This Row],[Install Rate]])*Table2[[#This Row],[Cumulative]]</f>
        <v>102.49999999999999</v>
      </c>
    </row>
    <row r="70" spans="1:13" x14ac:dyDescent="0.35">
      <c r="A70" s="16"/>
      <c r="B70" s="11"/>
      <c r="C70" s="22"/>
      <c r="D70" s="8"/>
      <c r="E70" s="9"/>
      <c r="F70" s="9"/>
      <c r="G70" s="9"/>
      <c r="H70" s="22">
        <v>0</v>
      </c>
      <c r="I70" s="22"/>
      <c r="J70" s="22">
        <f>+Table2[[#This Row],[Previous Qty]]+Table2[[#This Row],[Current Qty]]</f>
        <v>0</v>
      </c>
      <c r="K70" s="9">
        <f>(Table2[[#This Row],[Supply Rate]]+Table2[[#This Row],[Install Rate]])*Table2[[#This Row],[Previous Qty]]</f>
        <v>0</v>
      </c>
      <c r="L70" s="9">
        <f>+Table2[[#This Row],[Current Qty]]*(Table2[[#This Row],[Supply Rate]]+Table2[[#This Row],[Install Rate]])</f>
        <v>0</v>
      </c>
      <c r="M70" s="26">
        <f>(Table2[[#This Row],[Supply Rate]]+Table2[[#This Row],[Install Rate]])*Table2[[#This Row],[Cumulative]]</f>
        <v>0</v>
      </c>
    </row>
    <row r="71" spans="1:13" x14ac:dyDescent="0.35">
      <c r="A71" s="16"/>
      <c r="B71" s="7" t="s">
        <v>123</v>
      </c>
      <c r="C71" s="22"/>
      <c r="D71" s="8"/>
      <c r="E71" s="9"/>
      <c r="F71" s="9"/>
      <c r="G71" s="9"/>
      <c r="H71" s="22">
        <v>0</v>
      </c>
      <c r="I71" s="22"/>
      <c r="J71" s="22">
        <f>+Table2[[#This Row],[Previous Qty]]+Table2[[#This Row],[Current Qty]]</f>
        <v>0</v>
      </c>
      <c r="K71" s="9">
        <f>(Table2[[#This Row],[Supply Rate]]+Table2[[#This Row],[Install Rate]])*Table2[[#This Row],[Previous Qty]]</f>
        <v>0</v>
      </c>
      <c r="L71" s="9">
        <f>+Table2[[#This Row],[Current Qty]]*(Table2[[#This Row],[Supply Rate]]+Table2[[#This Row],[Install Rate]])</f>
        <v>0</v>
      </c>
      <c r="M71" s="26">
        <f>(Table2[[#This Row],[Supply Rate]]+Table2[[#This Row],[Install Rate]])*Table2[[#This Row],[Cumulative]]</f>
        <v>0</v>
      </c>
    </row>
    <row r="72" spans="1:13" ht="29" x14ac:dyDescent="0.35">
      <c r="A72" s="16">
        <v>54</v>
      </c>
      <c r="B72" s="11" t="s">
        <v>95</v>
      </c>
      <c r="C72" s="22">
        <v>10.72</v>
      </c>
      <c r="D72" s="8" t="s">
        <v>17</v>
      </c>
      <c r="E72" s="9">
        <v>57</v>
      </c>
      <c r="F72" s="9">
        <v>0</v>
      </c>
      <c r="G72" s="9">
        <f t="shared" ref="G72:G79" si="6">(E72+F72)*C72</f>
        <v>611.04000000000008</v>
      </c>
      <c r="H72" s="22">
        <v>10.72</v>
      </c>
      <c r="I72" s="22"/>
      <c r="J72" s="22">
        <f>+Table2[[#This Row],[Previous Qty]]+Table2[[#This Row],[Current Qty]]</f>
        <v>10.72</v>
      </c>
      <c r="K72" s="9">
        <f>(Table2[[#This Row],[Supply Rate]]+Table2[[#This Row],[Install Rate]])*Table2[[#This Row],[Previous Qty]]</f>
        <v>611.04000000000008</v>
      </c>
      <c r="L72" s="9">
        <f>+Table2[[#This Row],[Current Qty]]*(Table2[[#This Row],[Supply Rate]]+Table2[[#This Row],[Install Rate]])</f>
        <v>0</v>
      </c>
      <c r="M72" s="26">
        <f>(Table2[[#This Row],[Supply Rate]]+Table2[[#This Row],[Install Rate]])*Table2[[#This Row],[Cumulative]]</f>
        <v>611.04000000000008</v>
      </c>
    </row>
    <row r="73" spans="1:13" ht="29" x14ac:dyDescent="0.35">
      <c r="A73" s="16">
        <v>55</v>
      </c>
      <c r="B73" s="11" t="s">
        <v>83</v>
      </c>
      <c r="C73" s="22">
        <v>7.468</v>
      </c>
      <c r="D73" s="8" t="s">
        <v>17</v>
      </c>
      <c r="E73" s="9">
        <v>57</v>
      </c>
      <c r="F73" s="9">
        <v>0</v>
      </c>
      <c r="G73" s="9">
        <f t="shared" si="6"/>
        <v>425.67599999999999</v>
      </c>
      <c r="H73" s="22">
        <v>7.47</v>
      </c>
      <c r="I73" s="22"/>
      <c r="J73" s="22">
        <f>+Table2[[#This Row],[Previous Qty]]+Table2[[#This Row],[Current Qty]]</f>
        <v>7.47</v>
      </c>
      <c r="K73" s="9">
        <f>(Table2[[#This Row],[Supply Rate]]+Table2[[#This Row],[Install Rate]])*Table2[[#This Row],[Previous Qty]]</f>
        <v>425.78999999999996</v>
      </c>
      <c r="L73" s="9">
        <f>+Table2[[#This Row],[Current Qty]]*(Table2[[#This Row],[Supply Rate]]+Table2[[#This Row],[Install Rate]])</f>
        <v>0</v>
      </c>
      <c r="M73" s="26">
        <f>(Table2[[#This Row],[Supply Rate]]+Table2[[#This Row],[Install Rate]])*Table2[[#This Row],[Cumulative]]</f>
        <v>425.78999999999996</v>
      </c>
    </row>
    <row r="74" spans="1:13" ht="29" x14ac:dyDescent="0.35">
      <c r="A74" s="16">
        <v>56</v>
      </c>
      <c r="B74" s="11" t="s">
        <v>124</v>
      </c>
      <c r="C74" s="22">
        <v>13.32</v>
      </c>
      <c r="D74" s="8" t="s">
        <v>10</v>
      </c>
      <c r="E74" s="9">
        <v>39.699999999999989</v>
      </c>
      <c r="F74" s="9">
        <v>0</v>
      </c>
      <c r="G74" s="9">
        <f t="shared" si="6"/>
        <v>528.80399999999986</v>
      </c>
      <c r="H74" s="22">
        <v>4.3899999999999997</v>
      </c>
      <c r="I74" s="22"/>
      <c r="J74" s="22">
        <f>+Table2[[#This Row],[Previous Qty]]+Table2[[#This Row],[Current Qty]]</f>
        <v>4.3899999999999997</v>
      </c>
      <c r="K74" s="9">
        <f>(Table2[[#This Row],[Supply Rate]]+Table2[[#This Row],[Install Rate]])*Table2[[#This Row],[Previous Qty]]</f>
        <v>174.28299999999993</v>
      </c>
      <c r="L74" s="9">
        <f>+Table2[[#This Row],[Current Qty]]*(Table2[[#This Row],[Supply Rate]]+Table2[[#This Row],[Install Rate]])</f>
        <v>0</v>
      </c>
      <c r="M74" s="26">
        <f>(Table2[[#This Row],[Supply Rate]]+Table2[[#This Row],[Install Rate]])*Table2[[#This Row],[Cumulative]]</f>
        <v>174.28299999999993</v>
      </c>
    </row>
    <row r="75" spans="1:13" ht="29" x14ac:dyDescent="0.35">
      <c r="A75" s="16">
        <v>57</v>
      </c>
      <c r="B75" s="11" t="s">
        <v>125</v>
      </c>
      <c r="C75" s="22">
        <v>13.32</v>
      </c>
      <c r="D75" s="8" t="s">
        <v>10</v>
      </c>
      <c r="E75" s="9">
        <v>12.5</v>
      </c>
      <c r="F75" s="9">
        <v>0</v>
      </c>
      <c r="G75" s="9">
        <f t="shared" si="6"/>
        <v>166.5</v>
      </c>
      <c r="H75" s="22">
        <v>1.1299999999999999</v>
      </c>
      <c r="I75" s="22"/>
      <c r="J75" s="22">
        <f>+Table2[[#This Row],[Previous Qty]]+Table2[[#This Row],[Current Qty]]</f>
        <v>1.1299999999999999</v>
      </c>
      <c r="K75" s="9">
        <f>(Table2[[#This Row],[Supply Rate]]+Table2[[#This Row],[Install Rate]])*Table2[[#This Row],[Previous Qty]]</f>
        <v>14.124999999999998</v>
      </c>
      <c r="L75" s="9">
        <f>+Table2[[#This Row],[Current Qty]]*(Table2[[#This Row],[Supply Rate]]+Table2[[#This Row],[Install Rate]])</f>
        <v>0</v>
      </c>
      <c r="M75" s="26">
        <f>(Table2[[#This Row],[Supply Rate]]+Table2[[#This Row],[Install Rate]])*Table2[[#This Row],[Cumulative]]</f>
        <v>14.124999999999998</v>
      </c>
    </row>
    <row r="76" spans="1:13" ht="29" x14ac:dyDescent="0.35">
      <c r="A76" s="16">
        <v>58</v>
      </c>
      <c r="B76" s="11" t="s">
        <v>126</v>
      </c>
      <c r="C76" s="22">
        <v>31.56</v>
      </c>
      <c r="D76" s="8" t="s">
        <v>10</v>
      </c>
      <c r="E76" s="9">
        <v>36</v>
      </c>
      <c r="F76" s="9">
        <v>0</v>
      </c>
      <c r="G76" s="9">
        <f t="shared" si="6"/>
        <v>1136.1599999999999</v>
      </c>
      <c r="H76" s="22">
        <v>31.56</v>
      </c>
      <c r="I76" s="22"/>
      <c r="J76" s="22">
        <f>+Table2[[#This Row],[Previous Qty]]+Table2[[#This Row],[Current Qty]]</f>
        <v>31.56</v>
      </c>
      <c r="K76" s="9">
        <f>(Table2[[#This Row],[Supply Rate]]+Table2[[#This Row],[Install Rate]])*Table2[[#This Row],[Previous Qty]]</f>
        <v>1136.1599999999999</v>
      </c>
      <c r="L76" s="9">
        <f>+Table2[[#This Row],[Current Qty]]*(Table2[[#This Row],[Supply Rate]]+Table2[[#This Row],[Install Rate]])</f>
        <v>0</v>
      </c>
      <c r="M76" s="26">
        <f>(Table2[[#This Row],[Supply Rate]]+Table2[[#This Row],[Install Rate]])*Table2[[#This Row],[Cumulative]]</f>
        <v>1136.1599999999999</v>
      </c>
    </row>
    <row r="77" spans="1:13" ht="29" x14ac:dyDescent="0.35">
      <c r="A77" s="16">
        <v>59</v>
      </c>
      <c r="B77" s="11" t="s">
        <v>127</v>
      </c>
      <c r="C77" s="22">
        <v>59.28</v>
      </c>
      <c r="D77" s="8" t="s">
        <v>17</v>
      </c>
      <c r="E77" s="9">
        <v>57</v>
      </c>
      <c r="F77" s="9">
        <v>0</v>
      </c>
      <c r="G77" s="9">
        <f t="shared" si="6"/>
        <v>3378.96</v>
      </c>
      <c r="H77" s="22">
        <v>59.28</v>
      </c>
      <c r="I77" s="22"/>
      <c r="J77" s="22">
        <f>+Table2[[#This Row],[Previous Qty]]+Table2[[#This Row],[Current Qty]]</f>
        <v>59.28</v>
      </c>
      <c r="K77" s="9">
        <f>(Table2[[#This Row],[Supply Rate]]+Table2[[#This Row],[Install Rate]])*Table2[[#This Row],[Previous Qty]]</f>
        <v>3378.96</v>
      </c>
      <c r="L77" s="9">
        <f>+Table2[[#This Row],[Current Qty]]*(Table2[[#This Row],[Supply Rate]]+Table2[[#This Row],[Install Rate]])</f>
        <v>0</v>
      </c>
      <c r="M77" s="26">
        <f>(Table2[[#This Row],[Supply Rate]]+Table2[[#This Row],[Install Rate]])*Table2[[#This Row],[Cumulative]]</f>
        <v>3378.96</v>
      </c>
    </row>
    <row r="78" spans="1:13" ht="29" x14ac:dyDescent="0.35">
      <c r="A78" s="16">
        <v>60</v>
      </c>
      <c r="B78" s="11" t="s">
        <v>128</v>
      </c>
      <c r="C78" s="22">
        <v>6.12</v>
      </c>
      <c r="D78" s="8" t="s">
        <v>10</v>
      </c>
      <c r="E78" s="9">
        <v>39.699999999999989</v>
      </c>
      <c r="F78" s="9">
        <v>0</v>
      </c>
      <c r="G78" s="9">
        <f t="shared" si="6"/>
        <v>242.96399999999994</v>
      </c>
      <c r="H78" s="22">
        <v>6.12</v>
      </c>
      <c r="I78" s="22"/>
      <c r="J78" s="22">
        <f>+Table2[[#This Row],[Previous Qty]]+Table2[[#This Row],[Current Qty]]</f>
        <v>6.12</v>
      </c>
      <c r="K78" s="9">
        <f>(Table2[[#This Row],[Supply Rate]]+Table2[[#This Row],[Install Rate]])*Table2[[#This Row],[Previous Qty]]</f>
        <v>242.96399999999994</v>
      </c>
      <c r="L78" s="9">
        <f>+Table2[[#This Row],[Current Qty]]*(Table2[[#This Row],[Supply Rate]]+Table2[[#This Row],[Install Rate]])</f>
        <v>0</v>
      </c>
      <c r="M78" s="26">
        <f>(Table2[[#This Row],[Supply Rate]]+Table2[[#This Row],[Install Rate]])*Table2[[#This Row],[Cumulative]]</f>
        <v>242.96399999999994</v>
      </c>
    </row>
    <row r="79" spans="1:13" ht="29" x14ac:dyDescent="0.35">
      <c r="A79" s="16">
        <v>61</v>
      </c>
      <c r="B79" s="11" t="s">
        <v>129</v>
      </c>
      <c r="C79" s="22">
        <v>8.16</v>
      </c>
      <c r="D79" s="8" t="s">
        <v>10</v>
      </c>
      <c r="E79" s="9">
        <v>12.5</v>
      </c>
      <c r="F79" s="9">
        <v>0</v>
      </c>
      <c r="G79" s="9">
        <f t="shared" si="6"/>
        <v>102</v>
      </c>
      <c r="H79" s="22">
        <v>8.16</v>
      </c>
      <c r="I79" s="22"/>
      <c r="J79" s="22">
        <f>+Table2[[#This Row],[Previous Qty]]+Table2[[#This Row],[Current Qty]]</f>
        <v>8.16</v>
      </c>
      <c r="K79" s="9">
        <f>(Table2[[#This Row],[Supply Rate]]+Table2[[#This Row],[Install Rate]])*Table2[[#This Row],[Previous Qty]]</f>
        <v>102</v>
      </c>
      <c r="L79" s="9">
        <f>+Table2[[#This Row],[Current Qty]]*(Table2[[#This Row],[Supply Rate]]+Table2[[#This Row],[Install Rate]])</f>
        <v>0</v>
      </c>
      <c r="M79" s="26">
        <f>(Table2[[#This Row],[Supply Rate]]+Table2[[#This Row],[Install Rate]])*Table2[[#This Row],[Cumulative]]</f>
        <v>102</v>
      </c>
    </row>
    <row r="80" spans="1:13" x14ac:dyDescent="0.35">
      <c r="A80" s="16"/>
      <c r="B80" s="11"/>
      <c r="C80" s="22"/>
      <c r="D80" s="8"/>
      <c r="E80" s="9"/>
      <c r="F80" s="9"/>
      <c r="G80" s="9"/>
      <c r="H80" s="22">
        <v>0</v>
      </c>
      <c r="I80" s="22"/>
      <c r="J80" s="22">
        <f>+Table2[[#This Row],[Previous Qty]]+Table2[[#This Row],[Current Qty]]</f>
        <v>0</v>
      </c>
      <c r="K80" s="9">
        <f>(Table2[[#This Row],[Supply Rate]]+Table2[[#This Row],[Install Rate]])*Table2[[#This Row],[Previous Qty]]</f>
        <v>0</v>
      </c>
      <c r="L80" s="9">
        <f>+Table2[[#This Row],[Current Qty]]*(Table2[[#This Row],[Supply Rate]]+Table2[[#This Row],[Install Rate]])</f>
        <v>0</v>
      </c>
      <c r="M80" s="26">
        <f>(Table2[[#This Row],[Supply Rate]]+Table2[[#This Row],[Install Rate]])*Table2[[#This Row],[Cumulative]]</f>
        <v>0</v>
      </c>
    </row>
    <row r="81" spans="1:13" x14ac:dyDescent="0.35">
      <c r="A81" s="16"/>
      <c r="B81" s="7" t="s">
        <v>180</v>
      </c>
      <c r="C81" s="22"/>
      <c r="D81" s="8"/>
      <c r="E81" s="9"/>
      <c r="F81" s="9"/>
      <c r="G81" s="9"/>
      <c r="H81" s="22">
        <v>0</v>
      </c>
      <c r="I81" s="22"/>
      <c r="J81" s="22">
        <f>+Table2[[#This Row],[Previous Qty]]+Table2[[#This Row],[Current Qty]]</f>
        <v>0</v>
      </c>
      <c r="K81" s="9">
        <f>(Table2[[#This Row],[Supply Rate]]+Table2[[#This Row],[Install Rate]])*Table2[[#This Row],[Previous Qty]]</f>
        <v>0</v>
      </c>
      <c r="L81" s="9">
        <f>+Table2[[#This Row],[Current Qty]]*(Table2[[#This Row],[Supply Rate]]+Table2[[#This Row],[Install Rate]])</f>
        <v>0</v>
      </c>
      <c r="M81" s="26">
        <f>(Table2[[#This Row],[Supply Rate]]+Table2[[#This Row],[Install Rate]])*Table2[[#This Row],[Cumulative]]</f>
        <v>0</v>
      </c>
    </row>
    <row r="82" spans="1:13" x14ac:dyDescent="0.35">
      <c r="A82" s="16">
        <v>62</v>
      </c>
      <c r="B82" s="11" t="s">
        <v>136</v>
      </c>
      <c r="C82" s="22">
        <v>1</v>
      </c>
      <c r="D82" s="8" t="s">
        <v>137</v>
      </c>
      <c r="E82" s="9">
        <v>0</v>
      </c>
      <c r="F82" s="9">
        <v>0</v>
      </c>
      <c r="G82" s="9">
        <f t="shared" ref="G82:G93" si="7">(E82+F82)*C82</f>
        <v>0</v>
      </c>
      <c r="H82" s="22">
        <v>0</v>
      </c>
      <c r="I82" s="22"/>
      <c r="J82" s="22">
        <f>+Table2[[#This Row],[Previous Qty]]+Table2[[#This Row],[Current Qty]]</f>
        <v>0</v>
      </c>
      <c r="K82" s="9">
        <f>(Table2[[#This Row],[Supply Rate]]+Table2[[#This Row],[Install Rate]])*Table2[[#This Row],[Previous Qty]]</f>
        <v>0</v>
      </c>
      <c r="L82" s="9">
        <f>+Table2[[#This Row],[Current Qty]]*(Table2[[#This Row],[Supply Rate]]+Table2[[#This Row],[Install Rate]])</f>
        <v>0</v>
      </c>
      <c r="M82" s="26">
        <f>(Table2[[#This Row],[Supply Rate]]+Table2[[#This Row],[Install Rate]])*Table2[[#This Row],[Cumulative]]</f>
        <v>0</v>
      </c>
    </row>
    <row r="83" spans="1:13" ht="29" x14ac:dyDescent="0.35">
      <c r="A83" s="16">
        <v>63</v>
      </c>
      <c r="B83" s="11" t="s">
        <v>139</v>
      </c>
      <c r="C83" s="22">
        <v>24.7</v>
      </c>
      <c r="D83" s="8" t="s">
        <v>10</v>
      </c>
      <c r="E83" s="9">
        <v>14.879999999999995</v>
      </c>
      <c r="F83" s="9">
        <v>0</v>
      </c>
      <c r="G83" s="9">
        <f t="shared" si="7"/>
        <v>367.53599999999989</v>
      </c>
      <c r="H83" s="22">
        <v>0</v>
      </c>
      <c r="I83" s="22"/>
      <c r="J83" s="22">
        <f>+Table2[[#This Row],[Previous Qty]]+Table2[[#This Row],[Current Qty]]</f>
        <v>0</v>
      </c>
      <c r="K83" s="9">
        <f>(Table2[[#This Row],[Supply Rate]]+Table2[[#This Row],[Install Rate]])*Table2[[#This Row],[Previous Qty]]</f>
        <v>0</v>
      </c>
      <c r="L83" s="9">
        <f>+Table2[[#This Row],[Current Qty]]*(Table2[[#This Row],[Supply Rate]]+Table2[[#This Row],[Install Rate]])</f>
        <v>0</v>
      </c>
      <c r="M83" s="26">
        <f>(Table2[[#This Row],[Supply Rate]]+Table2[[#This Row],[Install Rate]])*Table2[[#This Row],[Cumulative]]</f>
        <v>0</v>
      </c>
    </row>
    <row r="84" spans="1:13" ht="29" x14ac:dyDescent="0.35">
      <c r="A84" s="16">
        <v>64</v>
      </c>
      <c r="B84" s="11" t="s">
        <v>140</v>
      </c>
      <c r="C84" s="22">
        <v>148.44</v>
      </c>
      <c r="D84" s="8" t="s">
        <v>17</v>
      </c>
      <c r="E84" s="9">
        <v>47</v>
      </c>
      <c r="F84" s="9">
        <v>0</v>
      </c>
      <c r="G84" s="9">
        <f t="shared" si="7"/>
        <v>6976.68</v>
      </c>
      <c r="H84" s="22">
        <v>0</v>
      </c>
      <c r="I84" s="22"/>
      <c r="J84" s="22">
        <f>+Table2[[#This Row],[Previous Qty]]+Table2[[#This Row],[Current Qty]]</f>
        <v>0</v>
      </c>
      <c r="K84" s="9">
        <f>(Table2[[#This Row],[Supply Rate]]+Table2[[#This Row],[Install Rate]])*Table2[[#This Row],[Previous Qty]]</f>
        <v>0</v>
      </c>
      <c r="L84" s="9">
        <f>+Table2[[#This Row],[Current Qty]]*(Table2[[#This Row],[Supply Rate]]+Table2[[#This Row],[Install Rate]])</f>
        <v>0</v>
      </c>
      <c r="M84" s="26">
        <f>(Table2[[#This Row],[Supply Rate]]+Table2[[#This Row],[Install Rate]])*Table2[[#This Row],[Cumulative]]</f>
        <v>0</v>
      </c>
    </row>
    <row r="85" spans="1:13" ht="29" x14ac:dyDescent="0.35">
      <c r="A85" s="16">
        <v>65</v>
      </c>
      <c r="B85" s="11" t="s">
        <v>141</v>
      </c>
      <c r="C85" s="22">
        <v>7.23</v>
      </c>
      <c r="D85" s="8" t="s">
        <v>10</v>
      </c>
      <c r="E85" s="9">
        <v>18.256439393939388</v>
      </c>
      <c r="F85" s="9">
        <v>0</v>
      </c>
      <c r="G85" s="9">
        <f t="shared" si="7"/>
        <v>131.99405681818178</v>
      </c>
      <c r="H85" s="22">
        <v>0</v>
      </c>
      <c r="I85" s="22"/>
      <c r="J85" s="22">
        <f>+Table2[[#This Row],[Previous Qty]]+Table2[[#This Row],[Current Qty]]</f>
        <v>0</v>
      </c>
      <c r="K85" s="9">
        <f>(Table2[[#This Row],[Supply Rate]]+Table2[[#This Row],[Install Rate]])*Table2[[#This Row],[Previous Qty]]</f>
        <v>0</v>
      </c>
      <c r="L85" s="9">
        <f>+Table2[[#This Row],[Current Qty]]*(Table2[[#This Row],[Supply Rate]]+Table2[[#This Row],[Install Rate]])</f>
        <v>0</v>
      </c>
      <c r="M85" s="26">
        <f>(Table2[[#This Row],[Supply Rate]]+Table2[[#This Row],[Install Rate]])*Table2[[#This Row],[Cumulative]]</f>
        <v>0</v>
      </c>
    </row>
    <row r="86" spans="1:13" ht="29" x14ac:dyDescent="0.35">
      <c r="A86" s="16">
        <v>66</v>
      </c>
      <c r="B86" s="11" t="s">
        <v>142</v>
      </c>
      <c r="C86" s="22">
        <v>7.23</v>
      </c>
      <c r="D86" s="8" t="s">
        <v>10</v>
      </c>
      <c r="E86" s="9">
        <v>11.309411764705892</v>
      </c>
      <c r="F86" s="9">
        <v>0</v>
      </c>
      <c r="G86" s="9">
        <f t="shared" si="7"/>
        <v>81.767047058823607</v>
      </c>
      <c r="H86" s="22">
        <v>0</v>
      </c>
      <c r="I86" s="22"/>
      <c r="J86" s="22">
        <f>+Table2[[#This Row],[Previous Qty]]+Table2[[#This Row],[Current Qty]]</f>
        <v>0</v>
      </c>
      <c r="K86" s="9">
        <f>(Table2[[#This Row],[Supply Rate]]+Table2[[#This Row],[Install Rate]])*Table2[[#This Row],[Previous Qty]]</f>
        <v>0</v>
      </c>
      <c r="L86" s="9">
        <f>+Table2[[#This Row],[Current Qty]]*(Table2[[#This Row],[Supply Rate]]+Table2[[#This Row],[Install Rate]])</f>
        <v>0</v>
      </c>
      <c r="M86" s="26">
        <f>(Table2[[#This Row],[Supply Rate]]+Table2[[#This Row],[Install Rate]])*Table2[[#This Row],[Cumulative]]</f>
        <v>0</v>
      </c>
    </row>
    <row r="87" spans="1:13" ht="29" x14ac:dyDescent="0.35">
      <c r="A87" s="16">
        <v>67</v>
      </c>
      <c r="B87" s="11" t="s">
        <v>144</v>
      </c>
      <c r="C87" s="22">
        <v>7.94</v>
      </c>
      <c r="D87" s="8" t="s">
        <v>10</v>
      </c>
      <c r="E87" s="9">
        <v>18.256439393939388</v>
      </c>
      <c r="F87" s="9">
        <v>0</v>
      </c>
      <c r="G87" s="9">
        <f t="shared" si="7"/>
        <v>144.95612878787875</v>
      </c>
      <c r="H87" s="22">
        <v>0</v>
      </c>
      <c r="I87" s="22"/>
      <c r="J87" s="22">
        <f>+Table2[[#This Row],[Previous Qty]]+Table2[[#This Row],[Current Qty]]</f>
        <v>0</v>
      </c>
      <c r="K87" s="9">
        <f>(Table2[[#This Row],[Supply Rate]]+Table2[[#This Row],[Install Rate]])*Table2[[#This Row],[Previous Qty]]</f>
        <v>0</v>
      </c>
      <c r="L87" s="9">
        <f>+Table2[[#This Row],[Current Qty]]*(Table2[[#This Row],[Supply Rate]]+Table2[[#This Row],[Install Rate]])</f>
        <v>0</v>
      </c>
      <c r="M87" s="26">
        <f>(Table2[[#This Row],[Supply Rate]]+Table2[[#This Row],[Install Rate]])*Table2[[#This Row],[Cumulative]]</f>
        <v>0</v>
      </c>
    </row>
    <row r="88" spans="1:13" ht="29" x14ac:dyDescent="0.35">
      <c r="A88" s="16">
        <v>68</v>
      </c>
      <c r="B88" s="11" t="s">
        <v>145</v>
      </c>
      <c r="C88" s="22">
        <v>11.71</v>
      </c>
      <c r="D88" s="8" t="s">
        <v>10</v>
      </c>
      <c r="E88" s="9">
        <v>11.309411764705892</v>
      </c>
      <c r="F88" s="9">
        <v>0</v>
      </c>
      <c r="G88" s="9">
        <f t="shared" si="7"/>
        <v>132.43321176470602</v>
      </c>
      <c r="H88" s="22">
        <v>0</v>
      </c>
      <c r="I88" s="22"/>
      <c r="J88" s="22">
        <f>+Table2[[#This Row],[Previous Qty]]+Table2[[#This Row],[Current Qty]]</f>
        <v>0</v>
      </c>
      <c r="K88" s="9">
        <f>(Table2[[#This Row],[Supply Rate]]+Table2[[#This Row],[Install Rate]])*Table2[[#This Row],[Previous Qty]]</f>
        <v>0</v>
      </c>
      <c r="L88" s="9">
        <f>+Table2[[#This Row],[Current Qty]]*(Table2[[#This Row],[Supply Rate]]+Table2[[#This Row],[Install Rate]])</f>
        <v>0</v>
      </c>
      <c r="M88" s="26">
        <f>(Table2[[#This Row],[Supply Rate]]+Table2[[#This Row],[Install Rate]])*Table2[[#This Row],[Cumulative]]</f>
        <v>0</v>
      </c>
    </row>
    <row r="89" spans="1:13" ht="29" x14ac:dyDescent="0.35">
      <c r="A89" s="16">
        <v>69</v>
      </c>
      <c r="B89" s="11" t="s">
        <v>146</v>
      </c>
      <c r="C89" s="22">
        <v>18.95</v>
      </c>
      <c r="D89" s="8" t="s">
        <v>17</v>
      </c>
      <c r="E89" s="9">
        <v>57</v>
      </c>
      <c r="F89" s="9">
        <v>0</v>
      </c>
      <c r="G89" s="9">
        <f t="shared" si="7"/>
        <v>1080.1499999999999</v>
      </c>
      <c r="H89" s="22">
        <v>0</v>
      </c>
      <c r="I89" s="22"/>
      <c r="J89" s="22">
        <f>+Table2[[#This Row],[Previous Qty]]+Table2[[#This Row],[Current Qty]]</f>
        <v>0</v>
      </c>
      <c r="K89" s="9">
        <f>(Table2[[#This Row],[Supply Rate]]+Table2[[#This Row],[Install Rate]])*Table2[[#This Row],[Previous Qty]]</f>
        <v>0</v>
      </c>
      <c r="L89" s="9">
        <f>+Table2[[#This Row],[Current Qty]]*(Table2[[#This Row],[Supply Rate]]+Table2[[#This Row],[Install Rate]])</f>
        <v>0</v>
      </c>
      <c r="M89" s="26">
        <f>(Table2[[#This Row],[Supply Rate]]+Table2[[#This Row],[Install Rate]])*Table2[[#This Row],[Cumulative]]</f>
        <v>0</v>
      </c>
    </row>
    <row r="90" spans="1:13" ht="29" x14ac:dyDescent="0.35">
      <c r="A90" s="16">
        <v>70</v>
      </c>
      <c r="B90" s="11" t="s">
        <v>147</v>
      </c>
      <c r="C90" s="22">
        <v>17.7</v>
      </c>
      <c r="D90" s="8" t="s">
        <v>10</v>
      </c>
      <c r="E90" s="9">
        <v>29.918235294117665</v>
      </c>
      <c r="F90" s="9">
        <v>0</v>
      </c>
      <c r="G90" s="9">
        <f t="shared" si="7"/>
        <v>529.55276470588262</v>
      </c>
      <c r="H90" s="22">
        <v>0</v>
      </c>
      <c r="I90" s="22"/>
      <c r="J90" s="22">
        <f>+Table2[[#This Row],[Previous Qty]]+Table2[[#This Row],[Current Qty]]</f>
        <v>0</v>
      </c>
      <c r="K90" s="9">
        <f>(Table2[[#This Row],[Supply Rate]]+Table2[[#This Row],[Install Rate]])*Table2[[#This Row],[Previous Qty]]</f>
        <v>0</v>
      </c>
      <c r="L90" s="9">
        <f>+Table2[[#This Row],[Current Qty]]*(Table2[[#This Row],[Supply Rate]]+Table2[[#This Row],[Install Rate]])</f>
        <v>0</v>
      </c>
      <c r="M90" s="26">
        <f>(Table2[[#This Row],[Supply Rate]]+Table2[[#This Row],[Install Rate]])*Table2[[#This Row],[Cumulative]]</f>
        <v>0</v>
      </c>
    </row>
    <row r="91" spans="1:13" ht="29" x14ac:dyDescent="0.35">
      <c r="A91" s="16">
        <v>71</v>
      </c>
      <c r="B91" s="11" t="s">
        <v>149</v>
      </c>
      <c r="C91" s="22">
        <v>45.25</v>
      </c>
      <c r="D91" s="8" t="s">
        <v>10</v>
      </c>
      <c r="E91" s="9">
        <v>50.680000000000007</v>
      </c>
      <c r="F91" s="9">
        <v>0</v>
      </c>
      <c r="G91" s="9">
        <f t="shared" si="7"/>
        <v>2293.2700000000004</v>
      </c>
      <c r="H91" s="22">
        <v>0</v>
      </c>
      <c r="I91" s="22"/>
      <c r="J91" s="22">
        <f>+Table2[[#This Row],[Previous Qty]]+Table2[[#This Row],[Current Qty]]</f>
        <v>0</v>
      </c>
      <c r="K91" s="9">
        <f>(Table2[[#This Row],[Supply Rate]]+Table2[[#This Row],[Install Rate]])*Table2[[#This Row],[Previous Qty]]</f>
        <v>0</v>
      </c>
      <c r="L91" s="9">
        <f>+Table2[[#This Row],[Current Qty]]*(Table2[[#This Row],[Supply Rate]]+Table2[[#This Row],[Install Rate]])</f>
        <v>0</v>
      </c>
      <c r="M91" s="26">
        <f>(Table2[[#This Row],[Supply Rate]]+Table2[[#This Row],[Install Rate]])*Table2[[#This Row],[Cumulative]]</f>
        <v>0</v>
      </c>
    </row>
    <row r="92" spans="1:13" ht="29" x14ac:dyDescent="0.35">
      <c r="A92" s="16">
        <v>72</v>
      </c>
      <c r="B92" s="11" t="s">
        <v>150</v>
      </c>
      <c r="C92" s="22">
        <v>45.25</v>
      </c>
      <c r="D92" s="8" t="s">
        <v>10</v>
      </c>
      <c r="E92" s="9">
        <v>6.7000000000000028</v>
      </c>
      <c r="F92" s="9">
        <v>0</v>
      </c>
      <c r="G92" s="9">
        <f t="shared" si="7"/>
        <v>303.17500000000013</v>
      </c>
      <c r="H92" s="22">
        <v>0</v>
      </c>
      <c r="I92" s="22"/>
      <c r="J92" s="22">
        <f>+Table2[[#This Row],[Previous Qty]]+Table2[[#This Row],[Current Qty]]</f>
        <v>0</v>
      </c>
      <c r="K92" s="9">
        <f>(Table2[[#This Row],[Supply Rate]]+Table2[[#This Row],[Install Rate]])*Table2[[#This Row],[Previous Qty]]</f>
        <v>0</v>
      </c>
      <c r="L92" s="9">
        <f>+Table2[[#This Row],[Current Qty]]*(Table2[[#This Row],[Supply Rate]]+Table2[[#This Row],[Install Rate]])</f>
        <v>0</v>
      </c>
      <c r="M92" s="26">
        <f>(Table2[[#This Row],[Supply Rate]]+Table2[[#This Row],[Install Rate]])*Table2[[#This Row],[Cumulative]]</f>
        <v>0</v>
      </c>
    </row>
    <row r="93" spans="1:13" ht="29" x14ac:dyDescent="0.35">
      <c r="A93" s="16">
        <v>73</v>
      </c>
      <c r="B93" s="11" t="s">
        <v>152</v>
      </c>
      <c r="C93" s="22">
        <v>86.3</v>
      </c>
      <c r="D93" s="8" t="s">
        <v>36</v>
      </c>
      <c r="E93" s="9">
        <v>14.879999999999995</v>
      </c>
      <c r="F93" s="9">
        <v>0</v>
      </c>
      <c r="G93" s="9">
        <f t="shared" si="7"/>
        <v>1284.1439999999996</v>
      </c>
      <c r="H93" s="22">
        <v>0</v>
      </c>
      <c r="I93" s="22"/>
      <c r="J93" s="22">
        <f>+Table2[[#This Row],[Previous Qty]]+Table2[[#This Row],[Current Qty]]</f>
        <v>0</v>
      </c>
      <c r="K93" s="9">
        <f>(Table2[[#This Row],[Supply Rate]]+Table2[[#This Row],[Install Rate]])*Table2[[#This Row],[Previous Qty]]</f>
        <v>0</v>
      </c>
      <c r="L93" s="9">
        <f>+Table2[[#This Row],[Current Qty]]*(Table2[[#This Row],[Supply Rate]]+Table2[[#This Row],[Install Rate]])</f>
        <v>0</v>
      </c>
      <c r="M93" s="26">
        <f>(Table2[[#This Row],[Supply Rate]]+Table2[[#This Row],[Install Rate]])*Table2[[#This Row],[Cumulative]]</f>
        <v>0</v>
      </c>
    </row>
    <row r="94" spans="1:13" ht="15" thickBot="1" x14ac:dyDescent="0.4">
      <c r="A94" s="62"/>
      <c r="B94" s="55"/>
      <c r="C94" s="56"/>
      <c r="D94" s="57"/>
      <c r="E94" s="58"/>
      <c r="F94" s="58"/>
      <c r="G94" s="58"/>
      <c r="H94" s="56">
        <v>0</v>
      </c>
      <c r="I94" s="56"/>
      <c r="J94" s="56">
        <f>+Table2[[#This Row],[Previous Qty]]+Table2[[#This Row],[Current Qty]]</f>
        <v>0</v>
      </c>
      <c r="K94" s="58">
        <f>(Table2[[#This Row],[Supply Rate]]+Table2[[#This Row],[Install Rate]])*Table2[[#This Row],[Previous Qty]]</f>
        <v>0</v>
      </c>
      <c r="L94" s="58">
        <f>+Table2[[#This Row],[Current Qty]]*(Table2[[#This Row],[Supply Rate]]+Table2[[#This Row],[Install Rate]])</f>
        <v>0</v>
      </c>
      <c r="M94" s="63">
        <f>(Table2[[#This Row],[Supply Rate]]+Table2[[#This Row],[Install Rate]])*Table2[[#This Row],[Cumulative]]</f>
        <v>0</v>
      </c>
    </row>
    <row r="95" spans="1:13" x14ac:dyDescent="0.35">
      <c r="A95" s="65"/>
      <c r="B95" s="66" t="s">
        <v>182</v>
      </c>
      <c r="C95" s="51"/>
      <c r="D95" s="52"/>
      <c r="E95" s="53"/>
      <c r="F95" s="53"/>
      <c r="G95" s="53"/>
      <c r="H95" s="51">
        <v>0</v>
      </c>
      <c r="I95" s="51"/>
      <c r="J95" s="51">
        <f>+Table2[[#This Row],[Previous Qty]]+Table2[[#This Row],[Current Qty]]</f>
        <v>0</v>
      </c>
      <c r="K95" s="53">
        <f>(Table2[[#This Row],[Supply Rate]]+Table2[[#This Row],[Install Rate]])*Table2[[#This Row],[Previous Qty]]</f>
        <v>0</v>
      </c>
      <c r="L95" s="53">
        <f>+Table2[[#This Row],[Current Qty]]*(Table2[[#This Row],[Supply Rate]]+Table2[[#This Row],[Install Rate]])</f>
        <v>0</v>
      </c>
      <c r="M95" s="67">
        <f>(Table2[[#This Row],[Supply Rate]]+Table2[[#This Row],[Install Rate]])*Table2[[#This Row],[Cumulative]]</f>
        <v>0</v>
      </c>
    </row>
    <row r="96" spans="1:13" x14ac:dyDescent="0.35">
      <c r="A96" s="16"/>
      <c r="B96" s="7" t="s">
        <v>75</v>
      </c>
      <c r="C96" s="22"/>
      <c r="D96" s="8"/>
      <c r="E96" s="9"/>
      <c r="F96" s="9"/>
      <c r="G96" s="9"/>
      <c r="H96" s="22">
        <v>0</v>
      </c>
      <c r="I96" s="22"/>
      <c r="J96" s="22">
        <f>+Table2[[#This Row],[Previous Qty]]+Table2[[#This Row],[Current Qty]]</f>
        <v>0</v>
      </c>
      <c r="K96" s="9">
        <f>(Table2[[#This Row],[Supply Rate]]+Table2[[#This Row],[Install Rate]])*Table2[[#This Row],[Previous Qty]]</f>
        <v>0</v>
      </c>
      <c r="L96" s="9">
        <f>+Table2[[#This Row],[Current Qty]]*(Table2[[#This Row],[Supply Rate]]+Table2[[#This Row],[Install Rate]])</f>
        <v>0</v>
      </c>
      <c r="M96" s="26">
        <f>(Table2[[#This Row],[Supply Rate]]+Table2[[#This Row],[Install Rate]])*Table2[[#This Row],[Cumulative]]</f>
        <v>0</v>
      </c>
    </row>
    <row r="97" spans="1:13" ht="29" x14ac:dyDescent="0.35">
      <c r="A97" s="16">
        <v>74</v>
      </c>
      <c r="B97" s="11" t="s">
        <v>181</v>
      </c>
      <c r="C97" s="22">
        <v>545</v>
      </c>
      <c r="D97" s="8" t="s">
        <v>17</v>
      </c>
      <c r="E97" s="9">
        <v>223</v>
      </c>
      <c r="F97" s="9">
        <v>148.94</v>
      </c>
      <c r="G97" s="9">
        <f t="shared" ref="G97" si="8">(E97+F97)*C97</f>
        <v>202707.3</v>
      </c>
      <c r="H97" s="22">
        <v>0</v>
      </c>
      <c r="I97" s="22"/>
      <c r="J97" s="22">
        <f>+Table2[[#This Row],[Previous Qty]]+Table2[[#This Row],[Current Qty]]</f>
        <v>0</v>
      </c>
      <c r="K97" s="9">
        <f>(Table2[[#This Row],[Supply Rate]]+Table2[[#This Row],[Install Rate]])*Table2[[#This Row],[Previous Qty]]</f>
        <v>0</v>
      </c>
      <c r="L97" s="9">
        <f>+Table2[[#This Row],[Current Qty]]*(Table2[[#This Row],[Supply Rate]]+Table2[[#This Row],[Install Rate]])</f>
        <v>0</v>
      </c>
      <c r="M97" s="26">
        <f>(Table2[[#This Row],[Supply Rate]]+Table2[[#This Row],[Install Rate]])*Table2[[#This Row],[Cumulative]]</f>
        <v>0</v>
      </c>
    </row>
    <row r="98" spans="1:13" ht="15" thickBot="1" x14ac:dyDescent="0.4">
      <c r="A98" s="62"/>
      <c r="B98" s="55"/>
      <c r="C98" s="56"/>
      <c r="D98" s="57"/>
      <c r="E98" s="58"/>
      <c r="F98" s="58"/>
      <c r="G98" s="58"/>
      <c r="H98" s="56">
        <v>0</v>
      </c>
      <c r="I98" s="56"/>
      <c r="J98" s="56">
        <f>+Table2[[#This Row],[Previous Qty]]+Table2[[#This Row],[Current Qty]]</f>
        <v>0</v>
      </c>
      <c r="K98" s="58">
        <f>(Table2[[#This Row],[Supply Rate]]+Table2[[#This Row],[Install Rate]])*Table2[[#This Row],[Previous Qty]]</f>
        <v>0</v>
      </c>
      <c r="L98" s="58">
        <f>+Table2[[#This Row],[Current Qty]]*(Table2[[#This Row],[Supply Rate]]+Table2[[#This Row],[Install Rate]])</f>
        <v>0</v>
      </c>
      <c r="M98" s="63">
        <f>(Table2[[#This Row],[Supply Rate]]+Table2[[#This Row],[Install Rate]])*Table2[[#This Row],[Cumulative]]</f>
        <v>0</v>
      </c>
    </row>
    <row r="99" spans="1:13" x14ac:dyDescent="0.35">
      <c r="A99" s="60"/>
      <c r="B99" s="64" t="s">
        <v>183</v>
      </c>
      <c r="C99" s="46"/>
      <c r="D99" s="47"/>
      <c r="E99" s="48"/>
      <c r="F99" s="48"/>
      <c r="G99" s="48"/>
      <c r="H99" s="46">
        <v>0</v>
      </c>
      <c r="I99" s="46"/>
      <c r="J99" s="46">
        <f>+Table2[[#This Row],[Previous Qty]]+Table2[[#This Row],[Current Qty]]</f>
        <v>0</v>
      </c>
      <c r="K99" s="48">
        <f>(Table2[[#This Row],[Supply Rate]]+Table2[[#This Row],[Install Rate]])*Table2[[#This Row],[Previous Qty]]</f>
        <v>0</v>
      </c>
      <c r="L99" s="48">
        <f>+Table2[[#This Row],[Current Qty]]*(Table2[[#This Row],[Supply Rate]]+Table2[[#This Row],[Install Rate]])</f>
        <v>0</v>
      </c>
      <c r="M99" s="61">
        <f>(Table2[[#This Row],[Supply Rate]]+Table2[[#This Row],[Install Rate]])*Table2[[#This Row],[Cumulative]]</f>
        <v>0</v>
      </c>
    </row>
    <row r="100" spans="1:13" x14ac:dyDescent="0.35">
      <c r="A100" s="16"/>
      <c r="B100" s="7" t="s">
        <v>7</v>
      </c>
      <c r="C100" s="22"/>
      <c r="D100" s="8"/>
      <c r="E100" s="9"/>
      <c r="F100" s="9"/>
      <c r="G100" s="9"/>
      <c r="H100" s="22">
        <v>0</v>
      </c>
      <c r="I100" s="22"/>
      <c r="J100" s="22">
        <f>+Table2[[#This Row],[Previous Qty]]+Table2[[#This Row],[Current Qty]]</f>
        <v>0</v>
      </c>
      <c r="K100" s="9">
        <f>(Table2[[#This Row],[Supply Rate]]+Table2[[#This Row],[Install Rate]])*Table2[[#This Row],[Previous Qty]]</f>
        <v>0</v>
      </c>
      <c r="L100" s="9">
        <f>+Table2[[#This Row],[Current Qty]]*(Table2[[#This Row],[Supply Rate]]+Table2[[#This Row],[Install Rate]])</f>
        <v>0</v>
      </c>
      <c r="M100" s="26">
        <f>(Table2[[#This Row],[Supply Rate]]+Table2[[#This Row],[Install Rate]])*Table2[[#This Row],[Cumulative]]</f>
        <v>0</v>
      </c>
    </row>
    <row r="101" spans="1:13" ht="29" x14ac:dyDescent="0.35">
      <c r="A101" s="16">
        <v>75</v>
      </c>
      <c r="B101" s="11" t="s">
        <v>12</v>
      </c>
      <c r="C101" s="22">
        <v>247.5</v>
      </c>
      <c r="D101" s="8" t="s">
        <v>10</v>
      </c>
      <c r="E101" s="9">
        <v>146</v>
      </c>
      <c r="F101" s="9">
        <v>4</v>
      </c>
      <c r="G101" s="9">
        <f t="shared" ref="G101:G104" si="9">(E101+F101)*C101</f>
        <v>37125</v>
      </c>
      <c r="H101" s="22">
        <v>63</v>
      </c>
      <c r="I101" s="22">
        <v>24.85</v>
      </c>
      <c r="J101" s="22">
        <f>+Table2[[#This Row],[Previous Qty]]+Table2[[#This Row],[Current Qty]]</f>
        <v>87.85</v>
      </c>
      <c r="K101" s="9">
        <f>(Table2[[#This Row],[Supply Rate]]+Table2[[#This Row],[Install Rate]])*Table2[[#This Row],[Previous Qty]]</f>
        <v>9450</v>
      </c>
      <c r="L101" s="9">
        <f>+Table2[[#This Row],[Current Qty]]*(Table2[[#This Row],[Supply Rate]]+Table2[[#This Row],[Install Rate]])</f>
        <v>3727.5</v>
      </c>
      <c r="M101" s="26">
        <f>(Table2[[#This Row],[Supply Rate]]+Table2[[#This Row],[Install Rate]])*Table2[[#This Row],[Cumulative]]</f>
        <v>13177.5</v>
      </c>
    </row>
    <row r="102" spans="1:13" ht="29" x14ac:dyDescent="0.35">
      <c r="A102" s="16">
        <v>76</v>
      </c>
      <c r="B102" s="11" t="s">
        <v>13</v>
      </c>
      <c r="C102" s="22">
        <v>270.8</v>
      </c>
      <c r="D102" s="8" t="s">
        <v>10</v>
      </c>
      <c r="E102" s="9">
        <v>209</v>
      </c>
      <c r="F102" s="9">
        <v>6</v>
      </c>
      <c r="G102" s="9">
        <f t="shared" si="9"/>
        <v>58222</v>
      </c>
      <c r="H102" s="22">
        <v>0</v>
      </c>
      <c r="I102" s="22"/>
      <c r="J102" s="22">
        <f>+Table2[[#This Row],[Previous Qty]]+Table2[[#This Row],[Current Qty]]</f>
        <v>0</v>
      </c>
      <c r="K102" s="9">
        <f>(Table2[[#This Row],[Supply Rate]]+Table2[[#This Row],[Install Rate]])*Table2[[#This Row],[Previous Qty]]</f>
        <v>0</v>
      </c>
      <c r="L102" s="9">
        <f>+Table2[[#This Row],[Current Qty]]*(Table2[[#This Row],[Supply Rate]]+Table2[[#This Row],[Install Rate]])</f>
        <v>0</v>
      </c>
      <c r="M102" s="26">
        <f>(Table2[[#This Row],[Supply Rate]]+Table2[[#This Row],[Install Rate]])*Table2[[#This Row],[Cumulative]]</f>
        <v>0</v>
      </c>
    </row>
    <row r="103" spans="1:13" ht="29" x14ac:dyDescent="0.35">
      <c r="A103" s="16">
        <v>77</v>
      </c>
      <c r="B103" s="11" t="s">
        <v>15</v>
      </c>
      <c r="C103" s="22">
        <v>72.5</v>
      </c>
      <c r="D103" s="8" t="s">
        <v>17</v>
      </c>
      <c r="E103" s="9">
        <v>265</v>
      </c>
      <c r="F103" s="9">
        <v>12</v>
      </c>
      <c r="G103" s="9">
        <f t="shared" si="9"/>
        <v>20082.5</v>
      </c>
      <c r="H103" s="22">
        <v>0</v>
      </c>
      <c r="I103" s="22"/>
      <c r="J103" s="22">
        <f>+Table2[[#This Row],[Previous Qty]]+Table2[[#This Row],[Current Qty]]</f>
        <v>0</v>
      </c>
      <c r="K103" s="9">
        <f>(Table2[[#This Row],[Supply Rate]]+Table2[[#This Row],[Install Rate]])*Table2[[#This Row],[Previous Qty]]</f>
        <v>0</v>
      </c>
      <c r="L103" s="9">
        <f>+Table2[[#This Row],[Current Qty]]*(Table2[[#This Row],[Supply Rate]]+Table2[[#This Row],[Install Rate]])</f>
        <v>0</v>
      </c>
      <c r="M103" s="26">
        <f>(Table2[[#This Row],[Supply Rate]]+Table2[[#This Row],[Install Rate]])*Table2[[#This Row],[Cumulative]]</f>
        <v>0</v>
      </c>
    </row>
    <row r="104" spans="1:13" ht="29" x14ac:dyDescent="0.35">
      <c r="A104" s="16">
        <v>78</v>
      </c>
      <c r="B104" s="11" t="s">
        <v>16</v>
      </c>
      <c r="C104" s="22">
        <v>224.3</v>
      </c>
      <c r="D104" s="8" t="s">
        <v>10</v>
      </c>
      <c r="E104" s="9">
        <v>81</v>
      </c>
      <c r="F104" s="9">
        <v>4</v>
      </c>
      <c r="G104" s="9">
        <f t="shared" si="9"/>
        <v>19065.5</v>
      </c>
      <c r="H104" s="22">
        <v>67.430000000000007</v>
      </c>
      <c r="I104" s="265">
        <v>88.97</v>
      </c>
      <c r="J104" s="22">
        <f>+Table2[[#This Row],[Previous Qty]]+Table2[[#This Row],[Current Qty]]</f>
        <v>156.4</v>
      </c>
      <c r="K104" s="9">
        <f>(Table2[[#This Row],[Supply Rate]]+Table2[[#This Row],[Install Rate]])*Table2[[#This Row],[Previous Qty]]</f>
        <v>5731.55</v>
      </c>
      <c r="L104" s="9">
        <f>+Table2[[#This Row],[Current Qty]]*(Table2[[#This Row],[Supply Rate]]+Table2[[#This Row],[Install Rate]])</f>
        <v>7562.45</v>
      </c>
      <c r="M104" s="26">
        <f>(Table2[[#This Row],[Supply Rate]]+Table2[[#This Row],[Install Rate]])*Table2[[#This Row],[Cumulative]]</f>
        <v>13294</v>
      </c>
    </row>
    <row r="105" spans="1:13" x14ac:dyDescent="0.35">
      <c r="A105" s="16"/>
      <c r="B105" s="11"/>
      <c r="C105" s="22"/>
      <c r="D105" s="8"/>
      <c r="E105" s="9"/>
      <c r="F105" s="9"/>
      <c r="G105" s="9"/>
      <c r="H105" s="22">
        <v>0</v>
      </c>
      <c r="I105" s="22"/>
      <c r="J105" s="22">
        <f>+Table2[[#This Row],[Previous Qty]]+Table2[[#This Row],[Current Qty]]</f>
        <v>0</v>
      </c>
      <c r="K105" s="9">
        <f>(Table2[[#This Row],[Supply Rate]]+Table2[[#This Row],[Install Rate]])*Table2[[#This Row],[Previous Qty]]</f>
        <v>0</v>
      </c>
      <c r="L105" s="9">
        <f>+Table2[[#This Row],[Current Qty]]*(Table2[[#This Row],[Supply Rate]]+Table2[[#This Row],[Install Rate]])</f>
        <v>0</v>
      </c>
      <c r="M105" s="26">
        <f>(Table2[[#This Row],[Supply Rate]]+Table2[[#This Row],[Install Rate]])*Table2[[#This Row],[Cumulative]]</f>
        <v>0</v>
      </c>
    </row>
    <row r="106" spans="1:13" x14ac:dyDescent="0.35">
      <c r="A106" s="16"/>
      <c r="B106" s="7" t="s">
        <v>20</v>
      </c>
      <c r="C106" s="22"/>
      <c r="D106" s="8"/>
      <c r="E106" s="9"/>
      <c r="F106" s="9"/>
      <c r="G106" s="9"/>
      <c r="H106" s="22">
        <v>0</v>
      </c>
      <c r="I106" s="22"/>
      <c r="J106" s="22">
        <f>+Table2[[#This Row],[Previous Qty]]+Table2[[#This Row],[Current Qty]]</f>
        <v>0</v>
      </c>
      <c r="K106" s="9">
        <f>(Table2[[#This Row],[Supply Rate]]+Table2[[#This Row],[Install Rate]])*Table2[[#This Row],[Previous Qty]]</f>
        <v>0</v>
      </c>
      <c r="L106" s="9">
        <f>+Table2[[#This Row],[Current Qty]]*(Table2[[#This Row],[Supply Rate]]+Table2[[#This Row],[Install Rate]])</f>
        <v>0</v>
      </c>
      <c r="M106" s="26">
        <f>(Table2[[#This Row],[Supply Rate]]+Table2[[#This Row],[Install Rate]])*Table2[[#This Row],[Cumulative]]</f>
        <v>0</v>
      </c>
    </row>
    <row r="107" spans="1:13" x14ac:dyDescent="0.35">
      <c r="A107" s="16">
        <v>79</v>
      </c>
      <c r="B107" s="11" t="s">
        <v>22</v>
      </c>
      <c r="C107" s="22">
        <v>30.56</v>
      </c>
      <c r="D107" s="8" t="s">
        <v>10</v>
      </c>
      <c r="E107" s="9">
        <v>46</v>
      </c>
      <c r="F107" s="9">
        <v>4</v>
      </c>
      <c r="G107" s="9">
        <f t="shared" ref="G107:G114" si="10">(E107+F107)*C107</f>
        <v>1528</v>
      </c>
      <c r="H107" s="22">
        <v>0</v>
      </c>
      <c r="I107" s="22"/>
      <c r="J107" s="22">
        <f>+Table2[[#This Row],[Previous Qty]]+Table2[[#This Row],[Current Qty]]</f>
        <v>0</v>
      </c>
      <c r="K107" s="9">
        <f>(Table2[[#This Row],[Supply Rate]]+Table2[[#This Row],[Install Rate]])*Table2[[#This Row],[Previous Qty]]</f>
        <v>0</v>
      </c>
      <c r="L107" s="9">
        <f>+Table2[[#This Row],[Current Qty]]*(Table2[[#This Row],[Supply Rate]]+Table2[[#This Row],[Install Rate]])</f>
        <v>0</v>
      </c>
      <c r="M107" s="26">
        <f>(Table2[[#This Row],[Supply Rate]]+Table2[[#This Row],[Install Rate]])*Table2[[#This Row],[Cumulative]]</f>
        <v>0</v>
      </c>
    </row>
    <row r="108" spans="1:13" x14ac:dyDescent="0.35">
      <c r="A108" s="16">
        <v>80</v>
      </c>
      <c r="B108" s="11" t="s">
        <v>25</v>
      </c>
      <c r="C108" s="22">
        <v>123.57</v>
      </c>
      <c r="D108" s="8" t="s">
        <v>10</v>
      </c>
      <c r="E108" s="9">
        <v>19</v>
      </c>
      <c r="F108" s="9">
        <v>2</v>
      </c>
      <c r="G108" s="9">
        <f t="shared" si="10"/>
        <v>2594.9699999999998</v>
      </c>
      <c r="H108" s="22">
        <v>123.57</v>
      </c>
      <c r="I108" s="22"/>
      <c r="J108" s="22">
        <f>+Table2[[#This Row],[Previous Qty]]+Table2[[#This Row],[Current Qty]]</f>
        <v>123.57</v>
      </c>
      <c r="K108" s="9">
        <f>(Table2[[#This Row],[Supply Rate]]+Table2[[#This Row],[Install Rate]])*Table2[[#This Row],[Previous Qty]]</f>
        <v>2594.9699999999998</v>
      </c>
      <c r="L108" s="9">
        <f>+Table2[[#This Row],[Current Qty]]*(Table2[[#This Row],[Supply Rate]]+Table2[[#This Row],[Install Rate]])</f>
        <v>0</v>
      </c>
      <c r="M108" s="26">
        <f>(Table2[[#This Row],[Supply Rate]]+Table2[[#This Row],[Install Rate]])*Table2[[#This Row],[Cumulative]]</f>
        <v>2594.9699999999998</v>
      </c>
    </row>
    <row r="109" spans="1:13" x14ac:dyDescent="0.35">
      <c r="A109" s="16">
        <v>81</v>
      </c>
      <c r="B109" s="11" t="s">
        <v>26</v>
      </c>
      <c r="C109" s="22">
        <v>46.63</v>
      </c>
      <c r="D109" s="8" t="s">
        <v>10</v>
      </c>
      <c r="E109" s="9">
        <v>195</v>
      </c>
      <c r="F109" s="9">
        <v>5</v>
      </c>
      <c r="G109" s="9">
        <f t="shared" si="10"/>
        <v>9326</v>
      </c>
      <c r="H109" s="22">
        <v>46.63</v>
      </c>
      <c r="I109" s="265"/>
      <c r="J109" s="22">
        <f>+Table2[[#This Row],[Previous Qty]]+Table2[[#This Row],[Current Qty]]</f>
        <v>46.63</v>
      </c>
      <c r="K109" s="9">
        <f>(Table2[[#This Row],[Supply Rate]]+Table2[[#This Row],[Install Rate]])*Table2[[#This Row],[Previous Qty]]</f>
        <v>9326</v>
      </c>
      <c r="L109" s="9">
        <f>+Table2[[#This Row],[Current Qty]]*(Table2[[#This Row],[Supply Rate]]+Table2[[#This Row],[Install Rate]])</f>
        <v>0</v>
      </c>
      <c r="M109" s="26">
        <f>(Table2[[#This Row],[Supply Rate]]+Table2[[#This Row],[Install Rate]])*Table2[[#This Row],[Cumulative]]</f>
        <v>9326</v>
      </c>
    </row>
    <row r="110" spans="1:13" x14ac:dyDescent="0.35">
      <c r="A110" s="16">
        <v>82</v>
      </c>
      <c r="B110" s="11" t="s">
        <v>29</v>
      </c>
      <c r="C110" s="22">
        <v>25.14</v>
      </c>
      <c r="D110" s="8" t="s">
        <v>10</v>
      </c>
      <c r="E110" s="9">
        <v>8.7800000000000011</v>
      </c>
      <c r="F110" s="9">
        <v>2.2199999999999989</v>
      </c>
      <c r="G110" s="9">
        <f t="shared" si="10"/>
        <v>276.54000000000002</v>
      </c>
      <c r="H110" s="22">
        <v>0</v>
      </c>
      <c r="I110" s="22"/>
      <c r="J110" s="22">
        <f>+Table2[[#This Row],[Previous Qty]]+Table2[[#This Row],[Current Qty]]</f>
        <v>0</v>
      </c>
      <c r="K110" s="9">
        <f>(Table2[[#This Row],[Supply Rate]]+Table2[[#This Row],[Install Rate]])*Table2[[#This Row],[Previous Qty]]</f>
        <v>0</v>
      </c>
      <c r="L110" s="9">
        <f>+Table2[[#This Row],[Current Qty]]*(Table2[[#This Row],[Supply Rate]]+Table2[[#This Row],[Install Rate]])</f>
        <v>0</v>
      </c>
      <c r="M110" s="26">
        <f>(Table2[[#This Row],[Supply Rate]]+Table2[[#This Row],[Install Rate]])*Table2[[#This Row],[Cumulative]]</f>
        <v>0</v>
      </c>
    </row>
    <row r="111" spans="1:13" ht="29" x14ac:dyDescent="0.35">
      <c r="A111" s="16">
        <v>83</v>
      </c>
      <c r="B111" s="11" t="s">
        <v>31</v>
      </c>
      <c r="C111" s="22">
        <v>18.670000000000002</v>
      </c>
      <c r="D111" s="8" t="s">
        <v>17</v>
      </c>
      <c r="E111" s="9">
        <v>533</v>
      </c>
      <c r="F111" s="9">
        <v>17.51472951258711</v>
      </c>
      <c r="G111" s="9">
        <f t="shared" si="10"/>
        <v>10278.110000000002</v>
      </c>
      <c r="H111" s="22">
        <v>18.670000000000002</v>
      </c>
      <c r="I111" s="22"/>
      <c r="J111" s="22">
        <f>+Table2[[#This Row],[Previous Qty]]+Table2[[#This Row],[Current Qty]]</f>
        <v>18.670000000000002</v>
      </c>
      <c r="K111" s="9">
        <f>(Table2[[#This Row],[Supply Rate]]+Table2[[#This Row],[Install Rate]])*Table2[[#This Row],[Previous Qty]]</f>
        <v>10278.110000000002</v>
      </c>
      <c r="L111" s="9">
        <f>+Table2[[#This Row],[Current Qty]]*(Table2[[#This Row],[Supply Rate]]+Table2[[#This Row],[Install Rate]])</f>
        <v>0</v>
      </c>
      <c r="M111" s="26">
        <f>(Table2[[#This Row],[Supply Rate]]+Table2[[#This Row],[Install Rate]])*Table2[[#This Row],[Cumulative]]</f>
        <v>10278.110000000002</v>
      </c>
    </row>
    <row r="112" spans="1:13" ht="29" x14ac:dyDescent="0.35">
      <c r="A112" s="16">
        <v>84</v>
      </c>
      <c r="B112" s="11" t="s">
        <v>32</v>
      </c>
      <c r="C112" s="22">
        <v>34.15</v>
      </c>
      <c r="D112" s="8" t="s">
        <v>17</v>
      </c>
      <c r="E112" s="9">
        <v>82</v>
      </c>
      <c r="F112" s="9">
        <v>5</v>
      </c>
      <c r="G112" s="9">
        <f t="shared" si="10"/>
        <v>2971.0499999999997</v>
      </c>
      <c r="H112" s="22">
        <v>34.15</v>
      </c>
      <c r="I112" s="22"/>
      <c r="J112" s="22">
        <f>+Table2[[#This Row],[Previous Qty]]+Table2[[#This Row],[Current Qty]]</f>
        <v>34.15</v>
      </c>
      <c r="K112" s="9">
        <f>(Table2[[#This Row],[Supply Rate]]+Table2[[#This Row],[Install Rate]])*Table2[[#This Row],[Previous Qty]]</f>
        <v>2971.0499999999997</v>
      </c>
      <c r="L112" s="9">
        <f>+Table2[[#This Row],[Current Qty]]*(Table2[[#This Row],[Supply Rate]]+Table2[[#This Row],[Install Rate]])</f>
        <v>0</v>
      </c>
      <c r="M112" s="26">
        <f>(Table2[[#This Row],[Supply Rate]]+Table2[[#This Row],[Install Rate]])*Table2[[#This Row],[Cumulative]]</f>
        <v>2971.0499999999997</v>
      </c>
    </row>
    <row r="113" spans="1:13" ht="29" x14ac:dyDescent="0.35">
      <c r="A113" s="16">
        <v>85</v>
      </c>
      <c r="B113" s="11" t="s">
        <v>33</v>
      </c>
      <c r="C113" s="22">
        <v>8.8218000000000014</v>
      </c>
      <c r="D113" s="8" t="s">
        <v>35</v>
      </c>
      <c r="E113" s="9">
        <v>82</v>
      </c>
      <c r="F113" s="9">
        <v>5</v>
      </c>
      <c r="G113" s="9">
        <f t="shared" si="10"/>
        <v>767.49660000000017</v>
      </c>
      <c r="H113" s="22">
        <v>8.82</v>
      </c>
      <c r="I113" s="22"/>
      <c r="J113" s="22">
        <f>+Table2[[#This Row],[Previous Qty]]+Table2[[#This Row],[Current Qty]]</f>
        <v>8.82</v>
      </c>
      <c r="K113" s="9">
        <f>(Table2[[#This Row],[Supply Rate]]+Table2[[#This Row],[Install Rate]])*Table2[[#This Row],[Previous Qty]]</f>
        <v>767.34</v>
      </c>
      <c r="L113" s="9">
        <f>+Table2[[#This Row],[Current Qty]]*(Table2[[#This Row],[Supply Rate]]+Table2[[#This Row],[Install Rate]])</f>
        <v>0</v>
      </c>
      <c r="M113" s="26">
        <f>(Table2[[#This Row],[Supply Rate]]+Table2[[#This Row],[Install Rate]])*Table2[[#This Row],[Cumulative]]</f>
        <v>767.34</v>
      </c>
    </row>
    <row r="114" spans="1:13" ht="29" x14ac:dyDescent="0.35">
      <c r="A114" s="16">
        <v>86</v>
      </c>
      <c r="B114" s="11" t="s">
        <v>34</v>
      </c>
      <c r="C114" s="22">
        <v>24.58</v>
      </c>
      <c r="D114" s="8" t="s">
        <v>36</v>
      </c>
      <c r="E114" s="9">
        <v>70</v>
      </c>
      <c r="F114" s="9">
        <v>7</v>
      </c>
      <c r="G114" s="9">
        <f t="shared" si="10"/>
        <v>1892.6599999999999</v>
      </c>
      <c r="H114" s="22">
        <v>7.37</v>
      </c>
      <c r="I114" s="22"/>
      <c r="J114" s="22">
        <f>+Table2[[#This Row],[Previous Qty]]+Table2[[#This Row],[Current Qty]]</f>
        <v>7.37</v>
      </c>
      <c r="K114" s="9">
        <f>(Table2[[#This Row],[Supply Rate]]+Table2[[#This Row],[Install Rate]])*Table2[[#This Row],[Previous Qty]]</f>
        <v>567.49</v>
      </c>
      <c r="L114" s="9">
        <f>+Table2[[#This Row],[Current Qty]]*(Table2[[#This Row],[Supply Rate]]+Table2[[#This Row],[Install Rate]])</f>
        <v>0</v>
      </c>
      <c r="M114" s="26">
        <f>(Table2[[#This Row],[Supply Rate]]+Table2[[#This Row],[Install Rate]])*Table2[[#This Row],[Cumulative]]</f>
        <v>567.49</v>
      </c>
    </row>
    <row r="115" spans="1:13" ht="15" thickBot="1" x14ac:dyDescent="0.4">
      <c r="A115" s="62"/>
      <c r="B115" s="55"/>
      <c r="C115" s="56"/>
      <c r="D115" s="57"/>
      <c r="E115" s="58"/>
      <c r="F115" s="58"/>
      <c r="G115" s="58"/>
      <c r="H115" s="56">
        <v>0</v>
      </c>
      <c r="I115" s="56"/>
      <c r="J115" s="56">
        <f>+Table2[[#This Row],[Previous Qty]]+Table2[[#This Row],[Current Qty]]</f>
        <v>0</v>
      </c>
      <c r="K115" s="58">
        <f>(Table2[[#This Row],[Supply Rate]]+Table2[[#This Row],[Install Rate]])*Table2[[#This Row],[Previous Qty]]</f>
        <v>0</v>
      </c>
      <c r="L115" s="58">
        <f>+Table2[[#This Row],[Current Qty]]*(Table2[[#This Row],[Supply Rate]]+Table2[[#This Row],[Install Rate]])</f>
        <v>0</v>
      </c>
      <c r="M115" s="63">
        <f>(Table2[[#This Row],[Supply Rate]]+Table2[[#This Row],[Install Rate]])*Table2[[#This Row],[Cumulative]]</f>
        <v>0</v>
      </c>
    </row>
    <row r="116" spans="1:13" x14ac:dyDescent="0.35">
      <c r="A116" s="60"/>
      <c r="B116" s="64" t="s">
        <v>184</v>
      </c>
      <c r="C116" s="46"/>
      <c r="D116" s="47"/>
      <c r="E116" s="48"/>
      <c r="F116" s="48"/>
      <c r="G116" s="48"/>
      <c r="H116" s="46">
        <v>0</v>
      </c>
      <c r="I116" s="46"/>
      <c r="J116" s="46">
        <f>+Table2[[#This Row],[Previous Qty]]+Table2[[#This Row],[Current Qty]]</f>
        <v>0</v>
      </c>
      <c r="K116" s="48">
        <f>(Table2[[#This Row],[Supply Rate]]+Table2[[#This Row],[Install Rate]])*Table2[[#This Row],[Previous Qty]]</f>
        <v>0</v>
      </c>
      <c r="L116" s="48">
        <f>+Table2[[#This Row],[Current Qty]]*(Table2[[#This Row],[Supply Rate]]+Table2[[#This Row],[Install Rate]])</f>
        <v>0</v>
      </c>
      <c r="M116" s="61">
        <f>(Table2[[#This Row],[Supply Rate]]+Table2[[#This Row],[Install Rate]])*Table2[[#This Row],[Cumulative]]</f>
        <v>0</v>
      </c>
    </row>
    <row r="117" spans="1:13" x14ac:dyDescent="0.35">
      <c r="A117" s="16"/>
      <c r="B117" s="7" t="s">
        <v>7</v>
      </c>
      <c r="C117" s="22"/>
      <c r="D117" s="8"/>
      <c r="E117" s="9"/>
      <c r="F117" s="9"/>
      <c r="G117" s="9"/>
      <c r="H117" s="22">
        <v>0</v>
      </c>
      <c r="I117" s="22"/>
      <c r="J117" s="22">
        <f>+Table2[[#This Row],[Previous Qty]]+Table2[[#This Row],[Current Qty]]</f>
        <v>0</v>
      </c>
      <c r="K117" s="9">
        <f>(Table2[[#This Row],[Supply Rate]]+Table2[[#This Row],[Install Rate]])*Table2[[#This Row],[Previous Qty]]</f>
        <v>0</v>
      </c>
      <c r="L117" s="9">
        <f>+Table2[[#This Row],[Current Qty]]*(Table2[[#This Row],[Supply Rate]]+Table2[[#This Row],[Install Rate]])</f>
        <v>0</v>
      </c>
      <c r="M117" s="26">
        <f>(Table2[[#This Row],[Supply Rate]]+Table2[[#This Row],[Install Rate]])*Table2[[#This Row],[Cumulative]]</f>
        <v>0</v>
      </c>
    </row>
    <row r="118" spans="1:13" ht="29" x14ac:dyDescent="0.35">
      <c r="A118" s="16">
        <v>87</v>
      </c>
      <c r="B118" s="11" t="s">
        <v>14</v>
      </c>
      <c r="C118" s="22">
        <v>1574.6</v>
      </c>
      <c r="D118" s="8" t="s">
        <v>17</v>
      </c>
      <c r="E118" s="9">
        <v>239</v>
      </c>
      <c r="F118" s="9">
        <v>6</v>
      </c>
      <c r="G118" s="9">
        <f t="shared" ref="G118:G119" si="11">(E118+F118)*C118</f>
        <v>385777</v>
      </c>
      <c r="H118" s="22">
        <v>942</v>
      </c>
      <c r="I118" s="265">
        <v>475.13999999999987</v>
      </c>
      <c r="J118" s="22">
        <f>+Table2[[#This Row],[Previous Qty]]+Table2[[#This Row],[Current Qty]]</f>
        <v>1417.1399999999999</v>
      </c>
      <c r="K118" s="9">
        <f>(Table2[[#This Row],[Supply Rate]]+Table2[[#This Row],[Install Rate]])*Table2[[#This Row],[Previous Qty]]</f>
        <v>230790</v>
      </c>
      <c r="L118" s="9">
        <f>+Table2[[#This Row],[Current Qty]]*(Table2[[#This Row],[Supply Rate]]+Table2[[#This Row],[Install Rate]])</f>
        <v>116409.29999999997</v>
      </c>
      <c r="M118" s="26">
        <f>(Table2[[#This Row],[Supply Rate]]+Table2[[#This Row],[Install Rate]])*Table2[[#This Row],[Cumulative]]</f>
        <v>347199.3</v>
      </c>
    </row>
    <row r="119" spans="1:13" ht="29" x14ac:dyDescent="0.35">
      <c r="A119" s="16">
        <v>88</v>
      </c>
      <c r="B119" s="11" t="s">
        <v>19</v>
      </c>
      <c r="C119" s="22">
        <v>144.1</v>
      </c>
      <c r="D119" s="8" t="s">
        <v>17</v>
      </c>
      <c r="E119" s="9">
        <v>239</v>
      </c>
      <c r="F119" s="9">
        <v>6</v>
      </c>
      <c r="G119" s="9">
        <f t="shared" si="11"/>
        <v>35304.5</v>
      </c>
      <c r="H119" s="22">
        <v>0</v>
      </c>
      <c r="I119" s="22">
        <v>66.19</v>
      </c>
      <c r="J119" s="22">
        <f>+Table2[[#This Row],[Previous Qty]]+Table2[[#This Row],[Current Qty]]</f>
        <v>66.19</v>
      </c>
      <c r="K119" s="9">
        <f>(Table2[[#This Row],[Supply Rate]]+Table2[[#This Row],[Install Rate]])*Table2[[#This Row],[Previous Qty]]</f>
        <v>0</v>
      </c>
      <c r="L119" s="9">
        <f>+Table2[[#This Row],[Current Qty]]*(Table2[[#This Row],[Supply Rate]]+Table2[[#This Row],[Install Rate]])</f>
        <v>16216.55</v>
      </c>
      <c r="M119" s="26">
        <f>(Table2[[#This Row],[Supply Rate]]+Table2[[#This Row],[Install Rate]])*Table2[[#This Row],[Cumulative]]</f>
        <v>16216.55</v>
      </c>
    </row>
    <row r="120" spans="1:13" x14ac:dyDescent="0.35">
      <c r="A120" s="16"/>
      <c r="B120" s="11"/>
      <c r="C120" s="22"/>
      <c r="D120" s="8"/>
      <c r="E120" s="9"/>
      <c r="F120" s="9"/>
      <c r="G120" s="9"/>
      <c r="H120" s="22">
        <v>0</v>
      </c>
      <c r="I120" s="22"/>
      <c r="J120" s="22">
        <f>+Table2[[#This Row],[Previous Qty]]+Table2[[#This Row],[Current Qty]]</f>
        <v>0</v>
      </c>
      <c r="K120" s="9">
        <f>(Table2[[#This Row],[Supply Rate]]+Table2[[#This Row],[Install Rate]])*Table2[[#This Row],[Previous Qty]]</f>
        <v>0</v>
      </c>
      <c r="L120" s="9">
        <f>+Table2[[#This Row],[Current Qty]]*(Table2[[#This Row],[Supply Rate]]+Table2[[#This Row],[Install Rate]])</f>
        <v>0</v>
      </c>
      <c r="M120" s="26">
        <f>(Table2[[#This Row],[Supply Rate]]+Table2[[#This Row],[Install Rate]])*Table2[[#This Row],[Cumulative]]</f>
        <v>0</v>
      </c>
    </row>
    <row r="121" spans="1:13" x14ac:dyDescent="0.35">
      <c r="A121" s="16"/>
      <c r="B121" s="7" t="s">
        <v>20</v>
      </c>
      <c r="C121" s="22"/>
      <c r="D121" s="8"/>
      <c r="E121" s="9"/>
      <c r="F121" s="9"/>
      <c r="G121" s="9"/>
      <c r="H121" s="22">
        <v>0</v>
      </c>
      <c r="I121" s="22"/>
      <c r="J121" s="22">
        <f>+Table2[[#This Row],[Previous Qty]]+Table2[[#This Row],[Current Qty]]</f>
        <v>0</v>
      </c>
      <c r="K121" s="9">
        <f>(Table2[[#This Row],[Supply Rate]]+Table2[[#This Row],[Install Rate]])*Table2[[#This Row],[Previous Qty]]</f>
        <v>0</v>
      </c>
      <c r="L121" s="9">
        <f>+Table2[[#This Row],[Current Qty]]*(Table2[[#This Row],[Supply Rate]]+Table2[[#This Row],[Install Rate]])</f>
        <v>0</v>
      </c>
      <c r="M121" s="26">
        <f>(Table2[[#This Row],[Supply Rate]]+Table2[[#This Row],[Install Rate]])*Table2[[#This Row],[Cumulative]]</f>
        <v>0</v>
      </c>
    </row>
    <row r="122" spans="1:13" ht="29" x14ac:dyDescent="0.35">
      <c r="A122" s="16">
        <v>89</v>
      </c>
      <c r="B122" s="11" t="s">
        <v>21</v>
      </c>
      <c r="C122" s="22">
        <v>388.47</v>
      </c>
      <c r="D122" s="8" t="s">
        <v>17</v>
      </c>
      <c r="E122" s="9">
        <v>239</v>
      </c>
      <c r="F122" s="9">
        <v>6</v>
      </c>
      <c r="G122" s="9">
        <f t="shared" ref="G122:G124" si="12">(E122+F122)*C122</f>
        <v>95175.150000000009</v>
      </c>
      <c r="H122" s="22">
        <v>0</v>
      </c>
      <c r="I122" s="22"/>
      <c r="J122" s="22">
        <f>+Table2[[#This Row],[Previous Qty]]+Table2[[#This Row],[Current Qty]]</f>
        <v>0</v>
      </c>
      <c r="K122" s="9">
        <f>(Table2[[#This Row],[Supply Rate]]+Table2[[#This Row],[Install Rate]])*Table2[[#This Row],[Previous Qty]]</f>
        <v>0</v>
      </c>
      <c r="L122" s="9">
        <f>+Table2[[#This Row],[Current Qty]]*(Table2[[#This Row],[Supply Rate]]+Table2[[#This Row],[Install Rate]])</f>
        <v>0</v>
      </c>
      <c r="M122" s="26">
        <f>(Table2[[#This Row],[Supply Rate]]+Table2[[#This Row],[Install Rate]])*Table2[[#This Row],[Cumulative]]</f>
        <v>0</v>
      </c>
    </row>
    <row r="123" spans="1:13" ht="29" x14ac:dyDescent="0.35">
      <c r="A123" s="16">
        <v>90</v>
      </c>
      <c r="B123" s="11" t="s">
        <v>23</v>
      </c>
      <c r="C123" s="22">
        <v>708.62</v>
      </c>
      <c r="D123" s="8" t="s">
        <v>17</v>
      </c>
      <c r="E123" s="9">
        <v>239</v>
      </c>
      <c r="F123" s="9">
        <v>6</v>
      </c>
      <c r="G123" s="9">
        <f t="shared" si="12"/>
        <v>173611.9</v>
      </c>
      <c r="H123" s="22">
        <v>708.62</v>
      </c>
      <c r="I123" s="22"/>
      <c r="J123" s="22">
        <f>+Table2[[#This Row],[Previous Qty]]+Table2[[#This Row],[Current Qty]]</f>
        <v>708.62</v>
      </c>
      <c r="K123" s="9">
        <f>(Table2[[#This Row],[Supply Rate]]+Table2[[#This Row],[Install Rate]])*Table2[[#This Row],[Previous Qty]]</f>
        <v>173611.9</v>
      </c>
      <c r="L123" s="9">
        <f>+Table2[[#This Row],[Current Qty]]*(Table2[[#This Row],[Supply Rate]]+Table2[[#This Row],[Install Rate]])</f>
        <v>0</v>
      </c>
      <c r="M123" s="26">
        <f>(Table2[[#This Row],[Supply Rate]]+Table2[[#This Row],[Install Rate]])*Table2[[#This Row],[Cumulative]]</f>
        <v>173611.9</v>
      </c>
    </row>
    <row r="124" spans="1:13" ht="29" x14ac:dyDescent="0.35">
      <c r="A124" s="16">
        <v>91</v>
      </c>
      <c r="B124" s="11" t="s">
        <v>27</v>
      </c>
      <c r="C124" s="22">
        <v>89.02</v>
      </c>
      <c r="D124" s="8" t="s">
        <v>17</v>
      </c>
      <c r="E124" s="9">
        <v>239</v>
      </c>
      <c r="F124" s="9">
        <v>6</v>
      </c>
      <c r="G124" s="9">
        <f t="shared" si="12"/>
        <v>21809.899999999998</v>
      </c>
      <c r="H124" s="22">
        <v>89.02</v>
      </c>
      <c r="I124" s="22"/>
      <c r="J124" s="22">
        <f>+Table2[[#This Row],[Previous Qty]]+Table2[[#This Row],[Current Qty]]</f>
        <v>89.02</v>
      </c>
      <c r="K124" s="9">
        <f>(Table2[[#This Row],[Supply Rate]]+Table2[[#This Row],[Install Rate]])*Table2[[#This Row],[Previous Qty]]</f>
        <v>21809.899999999998</v>
      </c>
      <c r="L124" s="9">
        <f>+Table2[[#This Row],[Current Qty]]*(Table2[[#This Row],[Supply Rate]]+Table2[[#This Row],[Install Rate]])</f>
        <v>0</v>
      </c>
      <c r="M124" s="26">
        <f>(Table2[[#This Row],[Supply Rate]]+Table2[[#This Row],[Install Rate]])*Table2[[#This Row],[Cumulative]]</f>
        <v>21809.899999999998</v>
      </c>
    </row>
    <row r="125" spans="1:13" ht="15" thickBot="1" x14ac:dyDescent="0.4">
      <c r="A125" s="62"/>
      <c r="B125" s="55"/>
      <c r="C125" s="56"/>
      <c r="D125" s="57"/>
      <c r="E125" s="58"/>
      <c r="F125" s="58"/>
      <c r="G125" s="58"/>
      <c r="H125" s="56">
        <v>0</v>
      </c>
      <c r="I125" s="56"/>
      <c r="J125" s="56">
        <f>+Table2[[#This Row],[Previous Qty]]+Table2[[#This Row],[Current Qty]]</f>
        <v>0</v>
      </c>
      <c r="K125" s="58">
        <f>(Table2[[#This Row],[Supply Rate]]+Table2[[#This Row],[Install Rate]])*Table2[[#This Row],[Previous Qty]]</f>
        <v>0</v>
      </c>
      <c r="L125" s="58">
        <f>+Table2[[#This Row],[Current Qty]]*(Table2[[#This Row],[Supply Rate]]+Table2[[#This Row],[Install Rate]])</f>
        <v>0</v>
      </c>
      <c r="M125" s="63">
        <f>(Table2[[#This Row],[Supply Rate]]+Table2[[#This Row],[Install Rate]])*Table2[[#This Row],[Cumulative]]</f>
        <v>0</v>
      </c>
    </row>
    <row r="126" spans="1:13" x14ac:dyDescent="0.35">
      <c r="A126" s="60"/>
      <c r="B126" s="45" t="s">
        <v>185</v>
      </c>
      <c r="C126" s="46"/>
      <c r="D126" s="47"/>
      <c r="E126" s="48"/>
      <c r="F126" s="48"/>
      <c r="G126" s="48">
        <v>-35584</v>
      </c>
      <c r="H126" s="46"/>
      <c r="I126" s="46"/>
      <c r="J126" s="46"/>
      <c r="K126" s="48">
        <v>-13204.33</v>
      </c>
      <c r="L126" s="48">
        <v>-5815.76</v>
      </c>
      <c r="M126" s="48">
        <f>+Table2[[#This Row],[Previous Amount]]+Table2[[#This Row],[Current Amount]]</f>
        <v>-19020.09</v>
      </c>
    </row>
    <row r="127" spans="1:13" ht="13.9" customHeight="1" x14ac:dyDescent="0.35">
      <c r="A127" s="16"/>
      <c r="B127" s="11"/>
      <c r="C127" s="22"/>
      <c r="D127" s="8"/>
      <c r="E127" s="9"/>
      <c r="F127" s="9"/>
      <c r="G127" s="9"/>
      <c r="H127" s="22"/>
      <c r="I127" s="22"/>
      <c r="J127" s="22"/>
      <c r="K127" s="9">
        <f>(Table2[[#This Row],[Supply Rate]]+Table2[[#This Row],[Install Rate]])*Table2[[#This Row],[Previous Qty]]</f>
        <v>0</v>
      </c>
      <c r="L127" s="9"/>
      <c r="M127" s="26">
        <f>(Table2[[#This Row],[Supply Rate]]+Table2[[#This Row],[Install Rate]])*Table2[[#This Row],[Cumulative]]</f>
        <v>0</v>
      </c>
    </row>
    <row r="128" spans="1:13" ht="36" customHeight="1" x14ac:dyDescent="0.35">
      <c r="A128" s="21"/>
      <c r="B128" s="30" t="s">
        <v>186</v>
      </c>
      <c r="C128" s="24"/>
      <c r="D128" s="14"/>
      <c r="E128" s="15"/>
      <c r="F128" s="15"/>
      <c r="G128" s="28">
        <f>SUBTOTAL(109,G2:G127)</f>
        <v>1203782.1157091353</v>
      </c>
      <c r="H128" s="24"/>
      <c r="I128" s="24"/>
      <c r="J128" s="24"/>
      <c r="K128" s="28">
        <f>SUBTOTAL(109,K2:K126)</f>
        <v>501359.13449999999</v>
      </c>
      <c r="L128" s="28">
        <f>Table2[[#This Row],[Cumulative Amount]]-Table2[[#This Row],[Previous Amount]]</f>
        <v>151218.63200000004</v>
      </c>
      <c r="M128" s="29">
        <f>SUBTOTAL(109,M2:M126)</f>
        <v>652577.76650000003</v>
      </c>
    </row>
    <row r="133" spans="12:12" x14ac:dyDescent="0.35">
      <c r="L133" s="70"/>
    </row>
    <row r="134" spans="12:12" x14ac:dyDescent="0.35">
      <c r="L134" s="70"/>
    </row>
    <row r="135" spans="12:12" x14ac:dyDescent="0.35">
      <c r="L135" s="70"/>
    </row>
  </sheetData>
  <pageMargins left="0.75" right="0.75" top="0.5" bottom="0.5" header="0.3" footer="0.3"/>
  <pageSetup paperSize="8" scale="90" orientation="landscape"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29"/>
  <sheetViews>
    <sheetView view="pageBreakPreview" zoomScaleNormal="100" zoomScaleSheetLayoutView="100" workbookViewId="0">
      <selection activeCell="G5" sqref="G5"/>
    </sheetView>
  </sheetViews>
  <sheetFormatPr defaultRowHeight="14.5" x14ac:dyDescent="0.35"/>
  <cols>
    <col min="1" max="1" width="8.7265625" style="2"/>
    <col min="2" max="2" width="43.54296875" style="3" customWidth="1"/>
    <col min="3" max="3" width="8.7265625" style="25"/>
    <col min="5" max="5" width="13.54296875" style="1" customWidth="1"/>
    <col min="6" max="6" width="21.453125" style="1" customWidth="1"/>
    <col min="7" max="7" width="13.453125" style="25" customWidth="1"/>
    <col min="8" max="8" width="12.7265625" style="25" customWidth="1"/>
    <col min="9" max="9" width="18.26953125" style="1" customWidth="1"/>
    <col min="10" max="10" width="17.453125" style="1" customWidth="1"/>
    <col min="11" max="11" width="20.453125" style="1" customWidth="1"/>
  </cols>
  <sheetData>
    <row r="1" spans="1:11" s="4" customFormat="1" ht="40.15" customHeight="1" thickBot="1" x14ac:dyDescent="0.4">
      <c r="A1" s="41" t="s">
        <v>0</v>
      </c>
      <c r="B1" s="41" t="s">
        <v>1</v>
      </c>
      <c r="C1" s="42" t="s">
        <v>2</v>
      </c>
      <c r="D1" s="41" t="s">
        <v>3</v>
      </c>
      <c r="E1" s="43" t="s">
        <v>196</v>
      </c>
      <c r="F1" s="43" t="s">
        <v>6</v>
      </c>
      <c r="G1" s="42" t="s">
        <v>198</v>
      </c>
      <c r="H1" s="42" t="s">
        <v>199</v>
      </c>
      <c r="I1" s="43" t="s">
        <v>200</v>
      </c>
      <c r="J1" s="43" t="s">
        <v>177</v>
      </c>
      <c r="K1" s="43" t="s">
        <v>178</v>
      </c>
    </row>
    <row r="2" spans="1:11" x14ac:dyDescent="0.35">
      <c r="A2" s="49"/>
      <c r="B2" s="50" t="s">
        <v>7</v>
      </c>
      <c r="C2" s="51"/>
      <c r="D2" s="52"/>
      <c r="E2" s="53"/>
      <c r="F2" s="53"/>
      <c r="G2" s="51"/>
      <c r="H2" s="51"/>
      <c r="I2" s="53">
        <f>Table14[[#This Row],[Balance Qty]]*Table14[[#This Row],[Rate]]</f>
        <v>0</v>
      </c>
      <c r="J2" s="53"/>
      <c r="K2" s="53"/>
    </row>
    <row r="3" spans="1:11" ht="22.15" customHeight="1" x14ac:dyDescent="0.35">
      <c r="A3" s="6"/>
      <c r="B3" s="10" t="s">
        <v>8</v>
      </c>
      <c r="C3" s="22"/>
      <c r="D3" s="8"/>
      <c r="E3" s="9"/>
      <c r="F3" s="9"/>
      <c r="G3" s="22"/>
      <c r="H3" s="22"/>
      <c r="I3" s="9">
        <f>Table14[[#This Row],[Balance Qty]]*Table14[[#This Row],[Rate]]</f>
        <v>0</v>
      </c>
      <c r="J3" s="9"/>
      <c r="K3" s="9"/>
    </row>
    <row r="4" spans="1:11" x14ac:dyDescent="0.35">
      <c r="A4" s="6"/>
      <c r="B4" s="11" t="s">
        <v>9</v>
      </c>
      <c r="C4" s="22"/>
      <c r="D4" s="8"/>
      <c r="E4" s="9"/>
      <c r="F4" s="9"/>
      <c r="G4" s="22"/>
      <c r="H4" s="22"/>
      <c r="I4" s="9">
        <f>Table14[[#This Row],[Balance Qty]]*Table14[[#This Row],[Rate]]</f>
        <v>0</v>
      </c>
      <c r="J4" s="9"/>
      <c r="K4" s="9"/>
    </row>
    <row r="5" spans="1:11" ht="29" x14ac:dyDescent="0.35">
      <c r="A5" s="6">
        <v>1</v>
      </c>
      <c r="B5" s="11" t="s">
        <v>12</v>
      </c>
      <c r="C5" s="22">
        <v>131.69999999999999</v>
      </c>
      <c r="D5" s="8" t="s">
        <v>10</v>
      </c>
      <c r="E5" s="9">
        <v>269.60000000000002</v>
      </c>
      <c r="F5" s="9">
        <f>Table14[[#This Row],[Rate]]*Table14[[#This Row],[Qty]]</f>
        <v>35506.32</v>
      </c>
      <c r="G5" s="22">
        <f>Table1[[#This Row],[Cumulative]]</f>
        <v>87.85</v>
      </c>
      <c r="H5" s="22">
        <f>Table14[[#This Row],[Qty]]-Table14[[#This Row],[Used Qty]]</f>
        <v>43.849999999999994</v>
      </c>
      <c r="I5" s="9">
        <f>Table14[[#This Row],[Balance Qty]]*Table14[[#This Row],[Rate]]</f>
        <v>11821.96</v>
      </c>
      <c r="J5" s="9"/>
      <c r="K5" s="9"/>
    </row>
    <row r="6" spans="1:11" ht="29" x14ac:dyDescent="0.35">
      <c r="A6" s="6">
        <v>2</v>
      </c>
      <c r="B6" s="11" t="s">
        <v>13</v>
      </c>
      <c r="C6" s="22">
        <v>292</v>
      </c>
      <c r="D6" s="8" t="s">
        <v>10</v>
      </c>
      <c r="E6" s="9">
        <v>376</v>
      </c>
      <c r="F6" s="9">
        <f>Table14[[#This Row],[Rate]]*Table14[[#This Row],[Qty]]</f>
        <v>109792</v>
      </c>
      <c r="G6" s="22">
        <f>Table1[[#This Row],[Cumulative]]</f>
        <v>0</v>
      </c>
      <c r="H6" s="22">
        <f>Table14[[#This Row],[Qty]]-Table14[[#This Row],[Used Qty]]</f>
        <v>292</v>
      </c>
      <c r="I6" s="9">
        <f>Table14[[#This Row],[Balance Qty]]*Table14[[#This Row],[Rate]]</f>
        <v>109792</v>
      </c>
      <c r="J6" s="9"/>
      <c r="K6" s="9"/>
    </row>
    <row r="7" spans="1:11" x14ac:dyDescent="0.35">
      <c r="A7" s="6"/>
      <c r="B7" s="11" t="s">
        <v>11</v>
      </c>
      <c r="C7" s="22"/>
      <c r="D7" s="8"/>
      <c r="E7" s="9"/>
      <c r="F7" s="9"/>
      <c r="G7" s="22"/>
      <c r="H7" s="22"/>
      <c r="I7" s="9">
        <f>Table14[[#This Row],[Balance Qty]]*Table14[[#This Row],[Rate]]</f>
        <v>0</v>
      </c>
      <c r="J7" s="9"/>
      <c r="K7" s="9"/>
    </row>
    <row r="8" spans="1:11" ht="29" x14ac:dyDescent="0.35">
      <c r="A8" s="6">
        <v>3</v>
      </c>
      <c r="B8" s="11" t="s">
        <v>14</v>
      </c>
      <c r="C8" s="22">
        <v>1574.6</v>
      </c>
      <c r="D8" s="8" t="s">
        <v>17</v>
      </c>
      <c r="E8" s="9">
        <v>343.2</v>
      </c>
      <c r="F8" s="9">
        <f>Table14[[#This Row],[Rate]]*Table14[[#This Row],[Qty]]</f>
        <v>540402.72</v>
      </c>
      <c r="G8" s="22">
        <f>Table1[[#This Row],[Cumulative]]</f>
        <v>1417.1399999999999</v>
      </c>
      <c r="H8" s="22">
        <f>Table14[[#This Row],[Qty]]-Table14[[#This Row],[Used Qty]]</f>
        <v>157.46000000000004</v>
      </c>
      <c r="I8" s="9">
        <f>Table14[[#This Row],[Balance Qty]]*Table14[[#This Row],[Rate]]</f>
        <v>54040.272000000012</v>
      </c>
      <c r="J8" s="9"/>
      <c r="K8" s="9"/>
    </row>
    <row r="9" spans="1:11" ht="29" x14ac:dyDescent="0.35">
      <c r="A9" s="6">
        <v>4</v>
      </c>
      <c r="B9" s="11" t="s">
        <v>15</v>
      </c>
      <c r="C9" s="22">
        <v>72.5</v>
      </c>
      <c r="D9" s="8" t="s">
        <v>17</v>
      </c>
      <c r="E9" s="9">
        <v>530.4</v>
      </c>
      <c r="F9" s="9">
        <f>Table14[[#This Row],[Rate]]*Table14[[#This Row],[Qty]]</f>
        <v>38454</v>
      </c>
      <c r="G9" s="22">
        <f>Table1[[#This Row],[Cumulative]]</f>
        <v>0</v>
      </c>
      <c r="H9" s="22">
        <f>Table14[[#This Row],[Qty]]-Table14[[#This Row],[Used Qty]]</f>
        <v>72.5</v>
      </c>
      <c r="I9" s="9">
        <f>Table14[[#This Row],[Balance Qty]]*Table14[[#This Row],[Rate]]</f>
        <v>38454</v>
      </c>
      <c r="J9" s="9"/>
      <c r="K9" s="9"/>
    </row>
    <row r="10" spans="1:11" ht="29" x14ac:dyDescent="0.35">
      <c r="A10" s="6">
        <v>5</v>
      </c>
      <c r="B10" s="11" t="s">
        <v>16</v>
      </c>
      <c r="C10" s="22">
        <v>60.650000000000006</v>
      </c>
      <c r="D10" s="8" t="s">
        <v>10</v>
      </c>
      <c r="E10" s="9">
        <v>530.4</v>
      </c>
      <c r="F10" s="9">
        <f>Table14[[#This Row],[Rate]]*Table14[[#This Row],[Qty]]</f>
        <v>32168.760000000002</v>
      </c>
      <c r="G10" s="22">
        <f>Table1[[#This Row],[Cumulative]]</f>
        <v>156.4</v>
      </c>
      <c r="H10" s="22">
        <f>Table14[[#This Row],[Qty]]-Table14[[#This Row],[Used Qty]]</f>
        <v>-95.75</v>
      </c>
      <c r="I10" s="9">
        <f>Table14[[#This Row],[Balance Qty]]*Table14[[#This Row],[Rate]]</f>
        <v>-50785.799999999996</v>
      </c>
      <c r="J10" s="9"/>
      <c r="K10" s="9"/>
    </row>
    <row r="11" spans="1:11" x14ac:dyDescent="0.35">
      <c r="A11" s="6"/>
      <c r="B11" s="11" t="s">
        <v>18</v>
      </c>
      <c r="C11" s="22"/>
      <c r="D11" s="8"/>
      <c r="E11" s="9"/>
      <c r="F11" s="9"/>
      <c r="G11" s="22"/>
      <c r="H11" s="22"/>
      <c r="I11" s="9">
        <f>Table14[[#This Row],[Balance Qty]]*Table14[[#This Row],[Rate]]</f>
        <v>0</v>
      </c>
      <c r="J11" s="9"/>
      <c r="K11" s="9"/>
    </row>
    <row r="12" spans="1:11" ht="29.5" thickBot="1" x14ac:dyDescent="0.4">
      <c r="A12" s="54">
        <v>6</v>
      </c>
      <c r="B12" s="55" t="s">
        <v>19</v>
      </c>
      <c r="C12" s="56">
        <v>144.1</v>
      </c>
      <c r="D12" s="57" t="s">
        <v>17</v>
      </c>
      <c r="E12" s="58">
        <v>343.2</v>
      </c>
      <c r="F12" s="58">
        <f>Table14[[#This Row],[Rate]]*Table14[[#This Row],[Qty]]</f>
        <v>49455.119999999995</v>
      </c>
      <c r="G12" s="56">
        <f>Table1[[#This Row],[Cumulative]]</f>
        <v>66.119</v>
      </c>
      <c r="H12" s="56">
        <f>Table14[[#This Row],[Qty]]-Table14[[#This Row],[Used Qty]]</f>
        <v>77.980999999999995</v>
      </c>
      <c r="I12" s="58">
        <f>Table14[[#This Row],[Balance Qty]]*Table14[[#This Row],[Rate]]</f>
        <v>26763.079199999996</v>
      </c>
      <c r="J12" s="58"/>
      <c r="K12" s="58"/>
    </row>
    <row r="13" spans="1:11" x14ac:dyDescent="0.35">
      <c r="A13" s="44"/>
      <c r="B13" s="45"/>
      <c r="C13" s="46"/>
      <c r="D13" s="47"/>
      <c r="E13" s="48"/>
      <c r="F13" s="48"/>
      <c r="G13" s="46"/>
      <c r="H13" s="46"/>
      <c r="I13" s="48">
        <f>Table14[[#This Row],[Balance Qty]]*Table14[[#This Row],[Rate]]</f>
        <v>0</v>
      </c>
      <c r="J13" s="48"/>
      <c r="K13" s="48"/>
    </row>
    <row r="14" spans="1:11" x14ac:dyDescent="0.35">
      <c r="A14" s="6"/>
      <c r="B14" s="7" t="s">
        <v>20</v>
      </c>
      <c r="C14" s="22"/>
      <c r="D14" s="8"/>
      <c r="E14" s="9"/>
      <c r="F14" s="9"/>
      <c r="G14" s="22"/>
      <c r="H14" s="22"/>
      <c r="I14" s="9">
        <f>Table14[[#This Row],[Balance Qty]]*Table14[[#This Row],[Rate]]</f>
        <v>0</v>
      </c>
      <c r="J14" s="9"/>
      <c r="K14" s="9"/>
    </row>
    <row r="15" spans="1:11" ht="25.9" customHeight="1" x14ac:dyDescent="0.35">
      <c r="A15" s="6"/>
      <c r="B15" s="10" t="s">
        <v>8</v>
      </c>
      <c r="C15" s="22"/>
      <c r="D15" s="8"/>
      <c r="E15" s="9"/>
      <c r="F15" s="9"/>
      <c r="G15" s="22"/>
      <c r="H15" s="22"/>
      <c r="I15" s="9">
        <f>Table14[[#This Row],[Balance Qty]]*Table14[[#This Row],[Rate]]</f>
        <v>0</v>
      </c>
      <c r="J15" s="9"/>
      <c r="K15" s="9"/>
    </row>
    <row r="16" spans="1:11" x14ac:dyDescent="0.35">
      <c r="A16" s="6"/>
      <c r="B16" s="11" t="s">
        <v>11</v>
      </c>
      <c r="C16" s="22"/>
      <c r="D16" s="8"/>
      <c r="E16" s="9"/>
      <c r="F16" s="9"/>
      <c r="G16" s="22"/>
      <c r="H16" s="22"/>
      <c r="I16" s="9">
        <f>Table14[[#This Row],[Balance Qty]]*Table14[[#This Row],[Rate]]</f>
        <v>0</v>
      </c>
      <c r="J16" s="9"/>
      <c r="K16" s="9"/>
    </row>
    <row r="17" spans="1:11" ht="29" x14ac:dyDescent="0.35">
      <c r="A17" s="6">
        <v>7</v>
      </c>
      <c r="B17" s="11" t="s">
        <v>21</v>
      </c>
      <c r="C17" s="22">
        <v>388.47</v>
      </c>
      <c r="D17" s="8" t="s">
        <v>17</v>
      </c>
      <c r="E17" s="9">
        <v>343.2</v>
      </c>
      <c r="F17" s="9">
        <f>Table14[[#This Row],[Rate]]*Table14[[#This Row],[Qty]]</f>
        <v>133322.90400000001</v>
      </c>
      <c r="G17" s="22">
        <f>Table1[[#This Row],[Cumulative]]</f>
        <v>0</v>
      </c>
      <c r="H17" s="22">
        <f>Table14[[#This Row],[Qty]]-Table14[[#This Row],[Used Qty]]</f>
        <v>388.47</v>
      </c>
      <c r="I17" s="9">
        <f>Table14[[#This Row],[Balance Qty]]*Table14[[#This Row],[Rate]]</f>
        <v>133322.90400000001</v>
      </c>
      <c r="J17" s="9"/>
      <c r="K17" s="9"/>
    </row>
    <row r="18" spans="1:11" x14ac:dyDescent="0.35">
      <c r="A18" s="6">
        <v>8</v>
      </c>
      <c r="B18" s="11" t="s">
        <v>22</v>
      </c>
      <c r="C18" s="22">
        <v>30.56</v>
      </c>
      <c r="D18" s="8" t="s">
        <v>10</v>
      </c>
      <c r="E18" s="9">
        <v>190.4</v>
      </c>
      <c r="F18" s="9">
        <f>Table14[[#This Row],[Rate]]*Table14[[#This Row],[Qty]]</f>
        <v>5818.6239999999998</v>
      </c>
      <c r="G18" s="22">
        <f>Table1[[#This Row],[Cumulative]]</f>
        <v>0</v>
      </c>
      <c r="H18" s="22">
        <f>Table14[[#This Row],[Qty]]-Table14[[#This Row],[Used Qty]]</f>
        <v>30.56</v>
      </c>
      <c r="I18" s="9">
        <f>Table14[[#This Row],[Balance Qty]]*Table14[[#This Row],[Rate]]</f>
        <v>5818.6239999999998</v>
      </c>
      <c r="J18" s="9"/>
      <c r="K18" s="9"/>
    </row>
    <row r="19" spans="1:11" x14ac:dyDescent="0.35">
      <c r="A19" s="6"/>
      <c r="B19" s="11" t="s">
        <v>18</v>
      </c>
      <c r="C19" s="22"/>
      <c r="D19" s="8"/>
      <c r="E19" s="9"/>
      <c r="F19" s="9"/>
      <c r="G19" s="22"/>
      <c r="H19" s="22"/>
      <c r="I19" s="9">
        <f>Table14[[#This Row],[Balance Qty]]*Table14[[#This Row],[Rate]]</f>
        <v>0</v>
      </c>
      <c r="J19" s="9"/>
      <c r="K19" s="9"/>
    </row>
    <row r="20" spans="1:11" ht="29" x14ac:dyDescent="0.35">
      <c r="A20" s="6">
        <v>9</v>
      </c>
      <c r="B20" s="11" t="s">
        <v>23</v>
      </c>
      <c r="C20" s="22">
        <v>708.62</v>
      </c>
      <c r="D20" s="8" t="s">
        <v>17</v>
      </c>
      <c r="E20" s="9">
        <v>343.2</v>
      </c>
      <c r="F20" s="9">
        <f>Table14[[#This Row],[Rate]]*Table14[[#This Row],[Qty]]</f>
        <v>243198.38399999999</v>
      </c>
      <c r="G20" s="22">
        <f>Table1[[#This Row],[Cumulative]]</f>
        <v>708.62</v>
      </c>
      <c r="H20" s="22"/>
      <c r="I20" s="9">
        <f>Table14[[#This Row],[Balance Qty]]*Table14[[#This Row],[Rate]]</f>
        <v>0</v>
      </c>
      <c r="J20" s="9"/>
      <c r="K20" s="9"/>
    </row>
    <row r="21" spans="1:11" x14ac:dyDescent="0.35">
      <c r="A21" s="6">
        <v>10</v>
      </c>
      <c r="B21" s="11" t="s">
        <v>24</v>
      </c>
      <c r="C21" s="22"/>
      <c r="D21" s="8"/>
      <c r="E21" s="9"/>
      <c r="F21" s="9"/>
      <c r="G21" s="22"/>
      <c r="H21" s="22"/>
      <c r="I21" s="9">
        <f>Table14[[#This Row],[Balance Qty]]*Table14[[#This Row],[Rate]]</f>
        <v>0</v>
      </c>
      <c r="J21" s="9"/>
      <c r="K21" s="9"/>
    </row>
    <row r="22" spans="1:11" x14ac:dyDescent="0.35">
      <c r="A22" s="6">
        <v>11</v>
      </c>
      <c r="B22" s="11" t="s">
        <v>25</v>
      </c>
      <c r="C22" s="22">
        <v>119.57</v>
      </c>
      <c r="D22" s="8" t="s">
        <v>10</v>
      </c>
      <c r="E22" s="9">
        <v>98.4</v>
      </c>
      <c r="F22" s="9">
        <f>Table14[[#This Row],[Rate]]*Table14[[#This Row],[Qty]]</f>
        <v>11765.688</v>
      </c>
      <c r="G22" s="22">
        <f>Table1[[#This Row],[Cumulative]]</f>
        <v>123.57</v>
      </c>
      <c r="H22" s="22">
        <f>Table14[[#This Row],[Qty]]-Table14[[#This Row],[Used Qty]]</f>
        <v>-4</v>
      </c>
      <c r="I22" s="9">
        <f>Table14[[#This Row],[Balance Qty]]*Table14[[#This Row],[Rate]]</f>
        <v>-393.6</v>
      </c>
      <c r="J22" s="9"/>
      <c r="K22" s="9"/>
    </row>
    <row r="23" spans="1:11" x14ac:dyDescent="0.35">
      <c r="A23" s="6">
        <v>12</v>
      </c>
      <c r="B23" s="11" t="s">
        <v>26</v>
      </c>
      <c r="C23" s="22">
        <v>48</v>
      </c>
      <c r="D23" s="8" t="s">
        <v>10</v>
      </c>
      <c r="E23" s="9">
        <v>743.2</v>
      </c>
      <c r="F23" s="9">
        <f>Table14[[#This Row],[Rate]]*Table14[[#This Row],[Qty]]</f>
        <v>35673.600000000006</v>
      </c>
      <c r="G23" s="22">
        <f>Table1[[#This Row],[Cumulative]]</f>
        <v>46.63</v>
      </c>
      <c r="H23" s="22">
        <f>Table14[[#This Row],[Qty]]-Table14[[#This Row],[Used Qty]]</f>
        <v>1.3699999999999974</v>
      </c>
      <c r="I23" s="9">
        <f>Table14[[#This Row],[Balance Qty]]*Table14[[#This Row],[Rate]]</f>
        <v>1018.1839999999982</v>
      </c>
      <c r="J23" s="9"/>
      <c r="K23" s="9"/>
    </row>
    <row r="24" spans="1:11" ht="29" x14ac:dyDescent="0.35">
      <c r="A24" s="6">
        <v>13</v>
      </c>
      <c r="B24" s="11" t="s">
        <v>27</v>
      </c>
      <c r="C24" s="22">
        <v>84.69</v>
      </c>
      <c r="D24" s="8" t="s">
        <v>17</v>
      </c>
      <c r="E24" s="9">
        <v>343.2</v>
      </c>
      <c r="F24" s="9">
        <f>Table14[[#This Row],[Rate]]*Table14[[#This Row],[Qty]]</f>
        <v>29065.607999999997</v>
      </c>
      <c r="G24" s="22">
        <f>Table1[[#This Row],[Cumulative]]</f>
        <v>89.02</v>
      </c>
      <c r="H24" s="22">
        <f>Table14[[#This Row],[Qty]]-Table14[[#This Row],[Used Qty]]</f>
        <v>-4.3299999999999983</v>
      </c>
      <c r="I24" s="9">
        <f>Table14[[#This Row],[Balance Qty]]*Table14[[#This Row],[Rate]]</f>
        <v>-1486.0559999999994</v>
      </c>
      <c r="J24" s="9"/>
      <c r="K24" s="9"/>
    </row>
    <row r="25" spans="1:11" x14ac:dyDescent="0.35">
      <c r="A25" s="6"/>
      <c r="B25" s="11" t="s">
        <v>28</v>
      </c>
      <c r="C25" s="22"/>
      <c r="D25" s="8"/>
      <c r="E25" s="9"/>
      <c r="F25" s="9"/>
      <c r="G25" s="22"/>
      <c r="H25" s="22"/>
      <c r="I25" s="9">
        <f>Table14[[#This Row],[Balance Qty]]*Table14[[#This Row],[Rate]]</f>
        <v>0</v>
      </c>
      <c r="J25" s="9"/>
      <c r="K25" s="9"/>
    </row>
    <row r="26" spans="1:11" x14ac:dyDescent="0.35">
      <c r="A26" s="6">
        <v>14</v>
      </c>
      <c r="B26" s="11" t="s">
        <v>29</v>
      </c>
      <c r="C26" s="22">
        <v>25.14</v>
      </c>
      <c r="D26" s="8" t="s">
        <v>10</v>
      </c>
      <c r="E26" s="9">
        <v>43.376000000000005</v>
      </c>
      <c r="F26" s="9">
        <f>Table14[[#This Row],[Rate]]*Table14[[#This Row],[Qty]]</f>
        <v>1090.4726400000002</v>
      </c>
      <c r="G26" s="22">
        <f>Table1[[#This Row],[Cumulative]]</f>
        <v>0</v>
      </c>
      <c r="H26" s="22">
        <f>Table14[[#This Row],[Qty]]-Table14[[#This Row],[Used Qty]]</f>
        <v>25.14</v>
      </c>
      <c r="I26" s="9">
        <f>Table14[[#This Row],[Balance Qty]]*Table14[[#This Row],[Rate]]</f>
        <v>1090.4726400000002</v>
      </c>
      <c r="J26" s="9"/>
      <c r="K26" s="9"/>
    </row>
    <row r="27" spans="1:11" ht="27.4" customHeight="1" x14ac:dyDescent="0.35">
      <c r="A27" s="6"/>
      <c r="B27" s="10" t="s">
        <v>30</v>
      </c>
      <c r="C27" s="22"/>
      <c r="D27" s="8"/>
      <c r="E27" s="9"/>
      <c r="F27" s="9"/>
      <c r="G27" s="22"/>
      <c r="H27" s="22"/>
      <c r="I27" s="9">
        <f>Table14[[#This Row],[Balance Qty]]*Table14[[#This Row],[Rate]]</f>
        <v>0</v>
      </c>
      <c r="J27" s="9"/>
      <c r="K27" s="9"/>
    </row>
    <row r="28" spans="1:11" ht="29" x14ac:dyDescent="0.35">
      <c r="A28" s="6">
        <v>15</v>
      </c>
      <c r="B28" s="11" t="s">
        <v>31</v>
      </c>
      <c r="C28" s="22"/>
      <c r="D28" s="8"/>
      <c r="E28" s="9"/>
      <c r="F28" s="9"/>
      <c r="G28" s="22"/>
      <c r="H28" s="22"/>
      <c r="I28" s="9">
        <f>Table14[[#This Row],[Balance Qty]]*Table14[[#This Row],[Rate]]</f>
        <v>0</v>
      </c>
      <c r="J28" s="9"/>
      <c r="K28" s="9"/>
    </row>
    <row r="29" spans="1:11" ht="29" x14ac:dyDescent="0.35">
      <c r="A29" s="6">
        <v>16</v>
      </c>
      <c r="B29" s="11" t="s">
        <v>32</v>
      </c>
      <c r="C29" s="22"/>
      <c r="D29" s="8"/>
      <c r="E29" s="9"/>
      <c r="F29" s="9"/>
      <c r="G29" s="22"/>
      <c r="H29" s="22"/>
      <c r="I29" s="9">
        <f>Table14[[#This Row],[Balance Qty]]*Table14[[#This Row],[Rate]]</f>
        <v>0</v>
      </c>
      <c r="J29" s="9"/>
      <c r="K29" s="9"/>
    </row>
    <row r="30" spans="1:11" ht="29" x14ac:dyDescent="0.35">
      <c r="A30" s="6">
        <v>17</v>
      </c>
      <c r="B30" s="11" t="s">
        <v>33</v>
      </c>
      <c r="C30" s="22"/>
      <c r="D30" s="8"/>
      <c r="E30" s="9"/>
      <c r="F30" s="9"/>
      <c r="G30" s="22"/>
      <c r="H30" s="22"/>
      <c r="I30" s="9">
        <f>Table14[[#This Row],[Balance Qty]]*Table14[[#This Row],[Rate]]</f>
        <v>0</v>
      </c>
      <c r="J30" s="9"/>
      <c r="K30" s="9"/>
    </row>
    <row r="31" spans="1:11" ht="29" x14ac:dyDescent="0.35">
      <c r="A31" s="6">
        <v>18</v>
      </c>
      <c r="B31" s="11" t="s">
        <v>34</v>
      </c>
      <c r="C31" s="22"/>
      <c r="D31" s="8"/>
      <c r="E31" s="9"/>
      <c r="F31" s="9"/>
      <c r="G31" s="22"/>
      <c r="H31" s="22"/>
      <c r="I31" s="9">
        <f>Table14[[#This Row],[Balance Qty]]*Table14[[#This Row],[Rate]]</f>
        <v>0</v>
      </c>
      <c r="J31" s="9"/>
      <c r="K31" s="9"/>
    </row>
    <row r="32" spans="1:11" ht="43.5" x14ac:dyDescent="0.35">
      <c r="A32" s="6">
        <v>19</v>
      </c>
      <c r="B32" s="11" t="s">
        <v>171</v>
      </c>
      <c r="C32" s="22"/>
      <c r="D32" s="8"/>
      <c r="E32" s="9"/>
      <c r="F32" s="9"/>
      <c r="G32" s="22"/>
      <c r="H32" s="22"/>
      <c r="I32" s="9">
        <f>Table14[[#This Row],[Balance Qty]]*Table14[[#This Row],[Rate]]</f>
        <v>0</v>
      </c>
      <c r="J32" s="9"/>
      <c r="K32" s="9"/>
    </row>
    <row r="33" spans="1:11" x14ac:dyDescent="0.35">
      <c r="A33" s="6">
        <v>20</v>
      </c>
      <c r="B33" s="11" t="s">
        <v>37</v>
      </c>
      <c r="C33" s="22"/>
      <c r="D33" s="8"/>
      <c r="E33" s="9"/>
      <c r="F33" s="9"/>
      <c r="G33" s="22"/>
      <c r="H33" s="22"/>
      <c r="I33" s="9">
        <f>Table14[[#This Row],[Balance Qty]]*Table14[[#This Row],[Rate]]</f>
        <v>0</v>
      </c>
      <c r="J33" s="9"/>
      <c r="K33" s="9"/>
    </row>
    <row r="34" spans="1:11" ht="15" thickBot="1" x14ac:dyDescent="0.4">
      <c r="A34" s="54"/>
      <c r="B34" s="55"/>
      <c r="C34" s="56"/>
      <c r="D34" s="57"/>
      <c r="E34" s="58"/>
      <c r="F34" s="58"/>
      <c r="G34" s="56"/>
      <c r="H34" s="56"/>
      <c r="I34" s="58">
        <f>Table14[[#This Row],[Balance Qty]]*Table14[[#This Row],[Rate]]</f>
        <v>0</v>
      </c>
      <c r="J34" s="58"/>
      <c r="K34" s="58"/>
    </row>
    <row r="35" spans="1:11" x14ac:dyDescent="0.35">
      <c r="A35" s="44"/>
      <c r="B35" s="59" t="s">
        <v>38</v>
      </c>
      <c r="C35" s="46"/>
      <c r="D35" s="47"/>
      <c r="E35" s="48"/>
      <c r="F35" s="48"/>
      <c r="G35" s="46"/>
      <c r="H35" s="46"/>
      <c r="I35" s="48">
        <f>Table14[[#This Row],[Balance Qty]]*Table14[[#This Row],[Rate]]</f>
        <v>0</v>
      </c>
      <c r="J35" s="48"/>
      <c r="K35" s="48"/>
    </row>
    <row r="36" spans="1:11" x14ac:dyDescent="0.35">
      <c r="A36" s="6"/>
      <c r="B36" s="10" t="s">
        <v>39</v>
      </c>
      <c r="C36" s="22"/>
      <c r="D36" s="8"/>
      <c r="E36" s="9"/>
      <c r="F36" s="9"/>
      <c r="G36" s="22"/>
      <c r="H36" s="22"/>
      <c r="I36" s="9">
        <f>Table14[[#This Row],[Balance Qty]]*Table14[[#This Row],[Rate]]</f>
        <v>0</v>
      </c>
      <c r="J36" s="9"/>
      <c r="K36" s="9"/>
    </row>
    <row r="37" spans="1:11" x14ac:dyDescent="0.35">
      <c r="A37" s="6"/>
      <c r="B37" s="11" t="s">
        <v>11</v>
      </c>
      <c r="C37" s="22"/>
      <c r="D37" s="8"/>
      <c r="E37" s="9"/>
      <c r="F37" s="9"/>
      <c r="G37" s="22"/>
      <c r="H37" s="22"/>
      <c r="I37" s="9">
        <f>Table14[[#This Row],[Balance Qty]]*Table14[[#This Row],[Rate]]</f>
        <v>0</v>
      </c>
      <c r="J37" s="9"/>
      <c r="K37" s="9"/>
    </row>
    <row r="38" spans="1:11" ht="29" x14ac:dyDescent="0.35">
      <c r="A38" s="6">
        <v>21</v>
      </c>
      <c r="B38" s="11" t="s">
        <v>40</v>
      </c>
      <c r="C38" s="22"/>
      <c r="D38" s="8"/>
      <c r="E38" s="9"/>
      <c r="F38" s="9"/>
      <c r="G38" s="22"/>
      <c r="H38" s="22"/>
      <c r="I38" s="9">
        <f>Table14[[#This Row],[Balance Qty]]*Table14[[#This Row],[Rate]]</f>
        <v>0</v>
      </c>
      <c r="J38" s="9"/>
      <c r="K38" s="9"/>
    </row>
    <row r="39" spans="1:11" x14ac:dyDescent="0.35">
      <c r="A39" s="6"/>
      <c r="B39" s="11" t="s">
        <v>41</v>
      </c>
      <c r="C39" s="22"/>
      <c r="D39" s="8"/>
      <c r="E39" s="9"/>
      <c r="F39" s="9"/>
      <c r="G39" s="22"/>
      <c r="H39" s="22"/>
      <c r="I39" s="9">
        <f>Table14[[#This Row],[Balance Qty]]*Table14[[#This Row],[Rate]]</f>
        <v>0</v>
      </c>
      <c r="J39" s="9"/>
      <c r="K39" s="9"/>
    </row>
    <row r="40" spans="1:11" ht="29" x14ac:dyDescent="0.35">
      <c r="A40" s="6">
        <v>22</v>
      </c>
      <c r="B40" s="11" t="s">
        <v>42</v>
      </c>
      <c r="C40" s="22"/>
      <c r="D40" s="8"/>
      <c r="E40" s="9"/>
      <c r="F40" s="9"/>
      <c r="G40" s="22"/>
      <c r="H40" s="22"/>
      <c r="I40" s="9">
        <f>Table14[[#This Row],[Balance Qty]]*Table14[[#This Row],[Rate]]</f>
        <v>0</v>
      </c>
      <c r="J40" s="9"/>
      <c r="K40" s="9"/>
    </row>
    <row r="41" spans="1:11" x14ac:dyDescent="0.35">
      <c r="A41" s="6"/>
      <c r="B41" s="10" t="s">
        <v>43</v>
      </c>
      <c r="C41" s="22"/>
      <c r="D41" s="8"/>
      <c r="E41" s="9"/>
      <c r="F41" s="9"/>
      <c r="G41" s="22"/>
      <c r="H41" s="22"/>
      <c r="I41" s="9">
        <f>Table14[[#This Row],[Balance Qty]]*Table14[[#This Row],[Rate]]</f>
        <v>0</v>
      </c>
      <c r="J41" s="9"/>
      <c r="K41" s="9"/>
    </row>
    <row r="42" spans="1:11" x14ac:dyDescent="0.35">
      <c r="A42" s="6"/>
      <c r="B42" s="11" t="s">
        <v>44</v>
      </c>
      <c r="C42" s="22"/>
      <c r="D42" s="8"/>
      <c r="E42" s="9"/>
      <c r="F42" s="9"/>
      <c r="G42" s="22"/>
      <c r="H42" s="22"/>
      <c r="I42" s="9">
        <f>Table14[[#This Row],[Balance Qty]]*Table14[[#This Row],[Rate]]</f>
        <v>0</v>
      </c>
      <c r="J42" s="9"/>
      <c r="K42" s="9"/>
    </row>
    <row r="43" spans="1:11" x14ac:dyDescent="0.35">
      <c r="A43" s="6">
        <v>23</v>
      </c>
      <c r="B43" s="11" t="s">
        <v>45</v>
      </c>
      <c r="C43" s="22"/>
      <c r="D43" s="8"/>
      <c r="E43" s="9"/>
      <c r="F43" s="9"/>
      <c r="G43" s="22"/>
      <c r="H43" s="22"/>
      <c r="I43" s="9">
        <f>Table14[[#This Row],[Balance Qty]]*Table14[[#This Row],[Rate]]</f>
        <v>0</v>
      </c>
      <c r="J43" s="9"/>
      <c r="K43" s="9"/>
    </row>
    <row r="44" spans="1:11" ht="29" x14ac:dyDescent="0.35">
      <c r="A44" s="6">
        <v>24</v>
      </c>
      <c r="B44" s="11" t="s">
        <v>46</v>
      </c>
      <c r="C44" s="22"/>
      <c r="D44" s="8"/>
      <c r="E44" s="9"/>
      <c r="F44" s="9"/>
      <c r="G44" s="22"/>
      <c r="H44" s="22"/>
      <c r="I44" s="9">
        <f>Table14[[#This Row],[Balance Qty]]*Table14[[#This Row],[Rate]]</f>
        <v>0</v>
      </c>
      <c r="J44" s="9"/>
      <c r="K44" s="9"/>
    </row>
    <row r="45" spans="1:11" x14ac:dyDescent="0.35">
      <c r="A45" s="6"/>
      <c r="B45" s="11" t="s">
        <v>47</v>
      </c>
      <c r="C45" s="22"/>
      <c r="D45" s="8"/>
      <c r="E45" s="9"/>
      <c r="F45" s="9"/>
      <c r="G45" s="22"/>
      <c r="H45" s="22"/>
      <c r="I45" s="9">
        <f>Table14[[#This Row],[Balance Qty]]*Table14[[#This Row],[Rate]]</f>
        <v>0</v>
      </c>
      <c r="J45" s="9"/>
      <c r="K45" s="9"/>
    </row>
    <row r="46" spans="1:11" x14ac:dyDescent="0.35">
      <c r="A46" s="6">
        <v>25</v>
      </c>
      <c r="B46" s="11" t="s">
        <v>48</v>
      </c>
      <c r="C46" s="22"/>
      <c r="D46" s="8"/>
      <c r="E46" s="9"/>
      <c r="F46" s="9"/>
      <c r="G46" s="22"/>
      <c r="H46" s="22"/>
      <c r="I46" s="9">
        <f>Table14[[#This Row],[Balance Qty]]*Table14[[#This Row],[Rate]]</f>
        <v>0</v>
      </c>
      <c r="J46" s="9"/>
      <c r="K46" s="9"/>
    </row>
    <row r="47" spans="1:11" ht="29" x14ac:dyDescent="0.35">
      <c r="A47" s="6">
        <v>26</v>
      </c>
      <c r="B47" s="11" t="s">
        <v>49</v>
      </c>
      <c r="C47" s="22"/>
      <c r="D47" s="8"/>
      <c r="E47" s="9"/>
      <c r="F47" s="9"/>
      <c r="G47" s="22"/>
      <c r="H47" s="22"/>
      <c r="I47" s="9">
        <f>Table14[[#This Row],[Balance Qty]]*Table14[[#This Row],[Rate]]</f>
        <v>0</v>
      </c>
      <c r="J47" s="9"/>
      <c r="K47" s="9"/>
    </row>
    <row r="48" spans="1:11" x14ac:dyDescent="0.35">
      <c r="A48" s="6"/>
      <c r="B48" s="11" t="s">
        <v>50</v>
      </c>
      <c r="C48" s="22"/>
      <c r="D48" s="8"/>
      <c r="E48" s="9"/>
      <c r="F48" s="9"/>
      <c r="G48" s="22"/>
      <c r="H48" s="22"/>
      <c r="I48" s="9">
        <f>Table14[[#This Row],[Balance Qty]]*Table14[[#This Row],[Rate]]</f>
        <v>0</v>
      </c>
      <c r="J48" s="9"/>
      <c r="K48" s="9"/>
    </row>
    <row r="49" spans="1:11" x14ac:dyDescent="0.35">
      <c r="A49" s="6">
        <v>27</v>
      </c>
      <c r="B49" s="11" t="s">
        <v>51</v>
      </c>
      <c r="C49" s="22"/>
      <c r="D49" s="8"/>
      <c r="E49" s="9"/>
      <c r="F49" s="9"/>
      <c r="G49" s="22"/>
      <c r="H49" s="22"/>
      <c r="I49" s="9">
        <f>Table14[[#This Row],[Balance Qty]]*Table14[[#This Row],[Rate]]</f>
        <v>0</v>
      </c>
      <c r="J49" s="9"/>
      <c r="K49" s="9"/>
    </row>
    <row r="50" spans="1:11" x14ac:dyDescent="0.35">
      <c r="A50" s="6"/>
      <c r="B50" s="11" t="s">
        <v>52</v>
      </c>
      <c r="C50" s="22"/>
      <c r="D50" s="8"/>
      <c r="E50" s="9"/>
      <c r="F50" s="9"/>
      <c r="G50" s="22"/>
      <c r="H50" s="22"/>
      <c r="I50" s="9">
        <f>Table14[[#This Row],[Balance Qty]]*Table14[[#This Row],[Rate]]</f>
        <v>0</v>
      </c>
      <c r="J50" s="9"/>
      <c r="K50" s="9"/>
    </row>
    <row r="51" spans="1:11" ht="29" x14ac:dyDescent="0.35">
      <c r="A51" s="6">
        <v>28</v>
      </c>
      <c r="B51" s="11" t="s">
        <v>53</v>
      </c>
      <c r="C51" s="22"/>
      <c r="D51" s="8"/>
      <c r="E51" s="9"/>
      <c r="F51" s="9"/>
      <c r="G51" s="22"/>
      <c r="H51" s="22"/>
      <c r="I51" s="9">
        <f>Table14[[#This Row],[Balance Qty]]*Table14[[#This Row],[Rate]]</f>
        <v>0</v>
      </c>
      <c r="J51" s="9"/>
      <c r="K51" s="9"/>
    </row>
    <row r="52" spans="1:11" x14ac:dyDescent="0.35">
      <c r="A52" s="6"/>
      <c r="B52" s="10" t="s">
        <v>54</v>
      </c>
      <c r="C52" s="22"/>
      <c r="D52" s="8"/>
      <c r="E52" s="9"/>
      <c r="F52" s="9"/>
      <c r="G52" s="22"/>
      <c r="H52" s="22"/>
      <c r="I52" s="9">
        <f>Table14[[#This Row],[Balance Qty]]*Table14[[#This Row],[Rate]]</f>
        <v>0</v>
      </c>
      <c r="J52" s="9"/>
      <c r="K52" s="9"/>
    </row>
    <row r="53" spans="1:11" ht="29" x14ac:dyDescent="0.35">
      <c r="A53" s="6">
        <v>29</v>
      </c>
      <c r="B53" s="11" t="s">
        <v>55</v>
      </c>
      <c r="C53" s="22"/>
      <c r="D53" s="8"/>
      <c r="E53" s="9">
        <v>176</v>
      </c>
      <c r="F53" s="9"/>
      <c r="G53" s="22">
        <f>Table1[[#This Row],[Cumulative]]</f>
        <v>71</v>
      </c>
      <c r="H53" s="22">
        <f>Table14[[#This Row],[Qty]]-Table14[[#This Row],[Used Qty]]</f>
        <v>-71</v>
      </c>
      <c r="I53" s="9">
        <f>Table14[[#This Row],[Balance Qty]]*Table14[[#This Row],[Rate]]</f>
        <v>-12496</v>
      </c>
      <c r="J53" s="9"/>
      <c r="K53" s="9"/>
    </row>
    <row r="54" spans="1:11" x14ac:dyDescent="0.35">
      <c r="A54" s="6">
        <v>30</v>
      </c>
      <c r="B54" s="11" t="s">
        <v>56</v>
      </c>
      <c r="C54" s="22">
        <v>95.28</v>
      </c>
      <c r="D54" s="8" t="s">
        <v>17</v>
      </c>
      <c r="E54" s="9">
        <v>176</v>
      </c>
      <c r="F54" s="9">
        <f>Table14[[#This Row],[Rate]]*Table14[[#This Row],[Qty]]</f>
        <v>16769.28</v>
      </c>
      <c r="G54" s="22">
        <f>Table1[[#This Row],[Cumulative]]</f>
        <v>95.28</v>
      </c>
      <c r="H54" s="22">
        <f>Table14[[#This Row],[Qty]]-Table14[[#This Row],[Used Qty]]</f>
        <v>0</v>
      </c>
      <c r="I54" s="9">
        <f>Table14[[#This Row],[Balance Qty]]*Table14[[#This Row],[Rate]]</f>
        <v>0</v>
      </c>
      <c r="J54" s="9"/>
      <c r="K54" s="9"/>
    </row>
    <row r="55" spans="1:11" x14ac:dyDescent="0.35">
      <c r="A55" s="6">
        <v>31</v>
      </c>
      <c r="B55" s="11" t="s">
        <v>57</v>
      </c>
      <c r="C55" s="22">
        <v>174</v>
      </c>
      <c r="D55" s="8" t="s">
        <v>17</v>
      </c>
      <c r="E55" s="9">
        <v>176</v>
      </c>
      <c r="F55" s="9">
        <f>Table14[[#This Row],[Rate]]*Table14[[#This Row],[Qty]]</f>
        <v>30624</v>
      </c>
      <c r="G55" s="22">
        <f>Table1[[#This Row],[Cumulative]]</f>
        <v>174</v>
      </c>
      <c r="H55" s="22">
        <f>Table14[[#This Row],[Qty]]-Table14[[#This Row],[Used Qty]]</f>
        <v>0</v>
      </c>
      <c r="I55" s="9">
        <f>Table14[[#This Row],[Balance Qty]]*Table14[[#This Row],[Rate]]</f>
        <v>0</v>
      </c>
      <c r="J55" s="9"/>
      <c r="K55" s="9"/>
    </row>
    <row r="56" spans="1:11" ht="29" x14ac:dyDescent="0.35">
      <c r="A56" s="6">
        <v>32</v>
      </c>
      <c r="B56" s="11" t="s">
        <v>58</v>
      </c>
      <c r="C56" s="22"/>
      <c r="D56" s="8"/>
      <c r="E56" s="9">
        <v>176</v>
      </c>
      <c r="F56" s="9"/>
      <c r="G56" s="22">
        <f>Table1[[#This Row],[Cumulative]]</f>
        <v>7</v>
      </c>
      <c r="H56" s="22">
        <f>Table14[[#This Row],[Qty]]-Table14[[#This Row],[Used Qty]]</f>
        <v>-7</v>
      </c>
      <c r="I56" s="9">
        <f>Table14[[#This Row],[Balance Qty]]*Table14[[#This Row],[Rate]]</f>
        <v>-1232</v>
      </c>
      <c r="J56" s="9"/>
      <c r="K56" s="9"/>
    </row>
    <row r="57" spans="1:11" ht="29" x14ac:dyDescent="0.35">
      <c r="A57" s="6">
        <v>33</v>
      </c>
      <c r="B57" s="11" t="s">
        <v>59</v>
      </c>
      <c r="C57" s="22"/>
      <c r="D57" s="8"/>
      <c r="E57" s="9">
        <v>176</v>
      </c>
      <c r="F57" s="9"/>
      <c r="G57" s="22">
        <f>Table1[[#This Row],[Cumulative]]</f>
        <v>8.75</v>
      </c>
      <c r="H57" s="22">
        <f>Table14[[#This Row],[Qty]]-Table14[[#This Row],[Used Qty]]</f>
        <v>-8.75</v>
      </c>
      <c r="I57" s="9">
        <f>Table14[[#This Row],[Balance Qty]]*Table14[[#This Row],[Rate]]</f>
        <v>-1540</v>
      </c>
      <c r="J57" s="9"/>
      <c r="K57" s="9"/>
    </row>
    <row r="58" spans="1:11" ht="29" x14ac:dyDescent="0.35">
      <c r="A58" s="6">
        <v>34</v>
      </c>
      <c r="B58" s="11" t="s">
        <v>60</v>
      </c>
      <c r="C58" s="22">
        <v>31.59</v>
      </c>
      <c r="D58" s="8" t="s">
        <v>17</v>
      </c>
      <c r="E58" s="9">
        <v>176</v>
      </c>
      <c r="F58" s="9">
        <f>Table14[[#This Row],[Rate]]*Table14[[#This Row],[Qty]]</f>
        <v>5559.84</v>
      </c>
      <c r="G58" s="22">
        <f>Table1[[#This Row],[Cumulative]]</f>
        <v>31.59</v>
      </c>
      <c r="H58" s="22">
        <f>Table14[[#This Row],[Qty]]-Table14[[#This Row],[Used Qty]]</f>
        <v>0</v>
      </c>
      <c r="I58" s="9">
        <f>Table14[[#This Row],[Balance Qty]]*Table14[[#This Row],[Rate]]</f>
        <v>0</v>
      </c>
      <c r="J58" s="9"/>
      <c r="K58" s="9"/>
    </row>
    <row r="59" spans="1:11" ht="43.5" x14ac:dyDescent="0.35">
      <c r="A59" s="6">
        <v>35</v>
      </c>
      <c r="B59" s="11" t="s">
        <v>172</v>
      </c>
      <c r="C59" s="22"/>
      <c r="D59" s="8"/>
      <c r="E59" s="9"/>
      <c r="F59" s="9"/>
      <c r="G59" s="22"/>
      <c r="H59" s="22"/>
      <c r="I59" s="9">
        <f>Table14[[#This Row],[Balance Qty]]*Table14[[#This Row],[Rate]]</f>
        <v>0</v>
      </c>
      <c r="J59" s="9"/>
      <c r="K59" s="9"/>
    </row>
    <row r="60" spans="1:11" ht="29" x14ac:dyDescent="0.35">
      <c r="A60" s="6">
        <v>36</v>
      </c>
      <c r="B60" s="11" t="s">
        <v>61</v>
      </c>
      <c r="C60" s="22">
        <v>19.5</v>
      </c>
      <c r="D60" s="8" t="s">
        <v>17</v>
      </c>
      <c r="E60" s="9">
        <v>176</v>
      </c>
      <c r="F60" s="9">
        <f>Table14[[#This Row],[Rate]]*Table14[[#This Row],[Qty]]</f>
        <v>3432</v>
      </c>
      <c r="G60" s="22">
        <f>Table1[[#This Row],[Cumulative]]</f>
        <v>19.5</v>
      </c>
      <c r="H60" s="22">
        <f>Table14[[#This Row],[Qty]]-Table14[[#This Row],[Used Qty]]</f>
        <v>0</v>
      </c>
      <c r="I60" s="9">
        <f>Table14[[#This Row],[Balance Qty]]*Table14[[#This Row],[Rate]]</f>
        <v>0</v>
      </c>
      <c r="J60" s="9"/>
      <c r="K60" s="9"/>
    </row>
    <row r="61" spans="1:11" x14ac:dyDescent="0.35">
      <c r="A61" s="6"/>
      <c r="B61" s="10" t="s">
        <v>30</v>
      </c>
      <c r="C61" s="22"/>
      <c r="D61" s="8"/>
      <c r="E61" s="9"/>
      <c r="F61" s="9"/>
      <c r="G61" s="22"/>
      <c r="H61" s="22"/>
      <c r="I61" s="9">
        <f>Table14[[#This Row],[Balance Qty]]*Table14[[#This Row],[Rate]]</f>
        <v>0</v>
      </c>
      <c r="J61" s="9"/>
      <c r="K61" s="9"/>
    </row>
    <row r="62" spans="1:11" ht="29" x14ac:dyDescent="0.35">
      <c r="A62" s="6">
        <v>37</v>
      </c>
      <c r="B62" s="11" t="s">
        <v>62</v>
      </c>
      <c r="C62" s="22"/>
      <c r="D62" s="8"/>
      <c r="E62" s="9"/>
      <c r="F62" s="9"/>
      <c r="G62" s="22"/>
      <c r="H62" s="22"/>
      <c r="I62" s="9">
        <f>Table14[[#This Row],[Balance Qty]]*Table14[[#This Row],[Rate]]</f>
        <v>0</v>
      </c>
      <c r="J62" s="9"/>
      <c r="K62" s="9"/>
    </row>
    <row r="63" spans="1:11" ht="29" x14ac:dyDescent="0.35">
      <c r="A63" s="6">
        <v>38</v>
      </c>
      <c r="B63" s="11" t="s">
        <v>63</v>
      </c>
      <c r="C63" s="22"/>
      <c r="D63" s="8"/>
      <c r="E63" s="9"/>
      <c r="F63" s="9"/>
      <c r="G63" s="22"/>
      <c r="H63" s="22"/>
      <c r="I63" s="9">
        <f>Table14[[#This Row],[Balance Qty]]*Table14[[#This Row],[Rate]]</f>
        <v>0</v>
      </c>
      <c r="J63" s="9"/>
      <c r="K63" s="9"/>
    </row>
    <row r="64" spans="1:11" x14ac:dyDescent="0.35">
      <c r="A64" s="6">
        <v>39</v>
      </c>
      <c r="B64" s="11" t="s">
        <v>64</v>
      </c>
      <c r="C64" s="22"/>
      <c r="D64" s="8"/>
      <c r="E64" s="9"/>
      <c r="F64" s="9"/>
      <c r="G64" s="22"/>
      <c r="H64" s="22"/>
      <c r="I64" s="9">
        <f>Table14[[#This Row],[Balance Qty]]*Table14[[#This Row],[Rate]]</f>
        <v>0</v>
      </c>
      <c r="J64" s="9"/>
      <c r="K64" s="9"/>
    </row>
    <row r="65" spans="1:11" ht="29" x14ac:dyDescent="0.35">
      <c r="A65" s="6">
        <v>40</v>
      </c>
      <c r="B65" s="11" t="s">
        <v>65</v>
      </c>
      <c r="C65" s="22"/>
      <c r="D65" s="8"/>
      <c r="E65" s="9"/>
      <c r="F65" s="9"/>
      <c r="G65" s="22"/>
      <c r="H65" s="22"/>
      <c r="I65" s="9">
        <f>Table14[[#This Row],[Balance Qty]]*Table14[[#This Row],[Rate]]</f>
        <v>0</v>
      </c>
      <c r="J65" s="9"/>
      <c r="K65" s="9"/>
    </row>
    <row r="66" spans="1:11" ht="29" x14ac:dyDescent="0.35">
      <c r="A66" s="6">
        <v>41</v>
      </c>
      <c r="B66" s="11" t="s">
        <v>66</v>
      </c>
      <c r="C66" s="22"/>
      <c r="D66" s="8"/>
      <c r="E66" s="9"/>
      <c r="F66" s="9"/>
      <c r="G66" s="22"/>
      <c r="H66" s="22"/>
      <c r="I66" s="9">
        <f>Table14[[#This Row],[Balance Qty]]*Table14[[#This Row],[Rate]]</f>
        <v>0</v>
      </c>
      <c r="J66" s="9"/>
      <c r="K66" s="9"/>
    </row>
    <row r="67" spans="1:11" ht="43.5" x14ac:dyDescent="0.35">
      <c r="A67" s="6">
        <v>42</v>
      </c>
      <c r="B67" s="11" t="s">
        <v>68</v>
      </c>
      <c r="C67" s="22"/>
      <c r="D67" s="8"/>
      <c r="E67" s="9"/>
      <c r="F67" s="9"/>
      <c r="G67" s="22"/>
      <c r="H67" s="22"/>
      <c r="I67" s="9">
        <f>Table14[[#This Row],[Balance Qty]]*Table14[[#This Row],[Rate]]</f>
        <v>0</v>
      </c>
      <c r="J67" s="9"/>
      <c r="K67" s="9"/>
    </row>
    <row r="68" spans="1:11" ht="15" thickBot="1" x14ac:dyDescent="0.4">
      <c r="A68" s="54"/>
      <c r="B68" s="55"/>
      <c r="C68" s="56"/>
      <c r="D68" s="57"/>
      <c r="E68" s="58"/>
      <c r="F68" s="58"/>
      <c r="G68" s="56"/>
      <c r="H68" s="56"/>
      <c r="I68" s="58">
        <f>Table14[[#This Row],[Balance Qty]]*Table14[[#This Row],[Rate]]</f>
        <v>0</v>
      </c>
      <c r="J68" s="58"/>
      <c r="K68" s="58"/>
    </row>
    <row r="69" spans="1:11" x14ac:dyDescent="0.35">
      <c r="A69" s="44"/>
      <c r="B69" s="59" t="s">
        <v>69</v>
      </c>
      <c r="C69" s="46"/>
      <c r="D69" s="47"/>
      <c r="E69" s="48"/>
      <c r="F69" s="48"/>
      <c r="G69" s="46"/>
      <c r="H69" s="46"/>
      <c r="I69" s="48">
        <f>Table14[[#This Row],[Balance Qty]]*Table14[[#This Row],[Rate]]</f>
        <v>0</v>
      </c>
      <c r="J69" s="48"/>
      <c r="K69" s="48"/>
    </row>
    <row r="70" spans="1:11" x14ac:dyDescent="0.35">
      <c r="A70" s="6"/>
      <c r="B70" s="10" t="s">
        <v>54</v>
      </c>
      <c r="C70" s="22"/>
      <c r="D70" s="8"/>
      <c r="E70" s="9"/>
      <c r="F70" s="9"/>
      <c r="G70" s="22"/>
      <c r="H70" s="22"/>
      <c r="I70" s="9">
        <f>Table14[[#This Row],[Balance Qty]]*Table14[[#This Row],[Rate]]</f>
        <v>0</v>
      </c>
      <c r="J70" s="9"/>
      <c r="K70" s="9"/>
    </row>
    <row r="71" spans="1:11" ht="29" x14ac:dyDescent="0.35">
      <c r="A71" s="6">
        <v>43</v>
      </c>
      <c r="B71" s="11" t="s">
        <v>70</v>
      </c>
      <c r="C71" s="22"/>
      <c r="D71" s="8"/>
      <c r="E71" s="9"/>
      <c r="F71" s="9"/>
      <c r="G71" s="22"/>
      <c r="H71" s="22"/>
      <c r="I71" s="9">
        <f>Table14[[#This Row],[Balance Qty]]*Table14[[#This Row],[Rate]]</f>
        <v>0</v>
      </c>
      <c r="J71" s="9"/>
      <c r="K71" s="9"/>
    </row>
    <row r="72" spans="1:11" x14ac:dyDescent="0.35">
      <c r="A72" s="6">
        <v>44</v>
      </c>
      <c r="B72" s="11" t="s">
        <v>71</v>
      </c>
      <c r="C72" s="22">
        <v>79</v>
      </c>
      <c r="D72" s="8" t="s">
        <v>17</v>
      </c>
      <c r="E72" s="9">
        <v>176</v>
      </c>
      <c r="F72" s="9">
        <f>Table14[[#This Row],[Rate]]*Table14[[#This Row],[Qty]]</f>
        <v>13904</v>
      </c>
      <c r="G72" s="22">
        <f>Table1[[#This Row],[Cumulative]]</f>
        <v>0</v>
      </c>
      <c r="H72" s="22">
        <f>Table14[[#This Row],[Qty]]-Table14[[#This Row],[Used Qty]]</f>
        <v>79</v>
      </c>
      <c r="I72" s="9">
        <f>Table14[[#This Row],[Balance Qty]]*Table14[[#This Row],[Rate]]</f>
        <v>13904</v>
      </c>
      <c r="J72" s="9"/>
      <c r="K72" s="9"/>
    </row>
    <row r="73" spans="1:11" ht="29" x14ac:dyDescent="0.35">
      <c r="A73" s="6">
        <v>45</v>
      </c>
      <c r="B73" s="11" t="s">
        <v>72</v>
      </c>
      <c r="C73" s="22"/>
      <c r="D73" s="8"/>
      <c r="E73" s="9"/>
      <c r="F73" s="9"/>
      <c r="G73" s="22"/>
      <c r="H73" s="22"/>
      <c r="I73" s="9">
        <f>Table14[[#This Row],[Balance Qty]]*Table14[[#This Row],[Rate]]</f>
        <v>0</v>
      </c>
      <c r="J73" s="9"/>
      <c r="K73" s="9"/>
    </row>
    <row r="74" spans="1:11" ht="29" x14ac:dyDescent="0.35">
      <c r="A74" s="6">
        <v>46</v>
      </c>
      <c r="B74" s="11" t="s">
        <v>73</v>
      </c>
      <c r="C74" s="22"/>
      <c r="D74" s="8"/>
      <c r="E74" s="9"/>
      <c r="F74" s="9"/>
      <c r="G74" s="22"/>
      <c r="H74" s="22"/>
      <c r="I74" s="9">
        <f>Table14[[#This Row],[Balance Qty]]*Table14[[#This Row],[Rate]]</f>
        <v>0</v>
      </c>
      <c r="J74" s="9"/>
      <c r="K74" s="9"/>
    </row>
    <row r="75" spans="1:11" ht="29" x14ac:dyDescent="0.35">
      <c r="A75" s="6">
        <v>47</v>
      </c>
      <c r="B75" s="11" t="s">
        <v>74</v>
      </c>
      <c r="C75" s="22">
        <v>5.72</v>
      </c>
      <c r="D75" s="8" t="s">
        <v>17</v>
      </c>
      <c r="E75" s="9">
        <v>176</v>
      </c>
      <c r="F75" s="9">
        <f>Table14[[#This Row],[Rate]]*Table14[[#This Row],[Qty]]</f>
        <v>1006.7199999999999</v>
      </c>
      <c r="G75" s="22">
        <f>Table1[[#This Row],[Cumulative]]</f>
        <v>0</v>
      </c>
      <c r="H75" s="22">
        <f>Table14[[#This Row],[Qty]]-Table14[[#This Row],[Used Qty]]</f>
        <v>5.72</v>
      </c>
      <c r="I75" s="9">
        <f>Table14[[#This Row],[Balance Qty]]*Table14[[#This Row],[Rate]]</f>
        <v>1006.7199999999999</v>
      </c>
      <c r="J75" s="9"/>
      <c r="K75" s="9"/>
    </row>
    <row r="76" spans="1:11" ht="15" thickBot="1" x14ac:dyDescent="0.4">
      <c r="A76" s="54"/>
      <c r="B76" s="55"/>
      <c r="C76" s="56"/>
      <c r="D76" s="57"/>
      <c r="E76" s="58"/>
      <c r="F76" s="58"/>
      <c r="G76" s="56"/>
      <c r="H76" s="56"/>
      <c r="I76" s="58">
        <f>Table14[[#This Row],[Balance Qty]]*Table14[[#This Row],[Rate]]</f>
        <v>0</v>
      </c>
      <c r="J76" s="58"/>
      <c r="K76" s="58"/>
    </row>
    <row r="77" spans="1:11" x14ac:dyDescent="0.35">
      <c r="A77" s="44"/>
      <c r="B77" s="59" t="s">
        <v>75</v>
      </c>
      <c r="C77" s="46"/>
      <c r="D77" s="47"/>
      <c r="E77" s="48"/>
      <c r="F77" s="48"/>
      <c r="G77" s="46"/>
      <c r="H77" s="46"/>
      <c r="I77" s="48">
        <f>Table14[[#This Row],[Balance Qty]]*Table14[[#This Row],[Rate]]</f>
        <v>0</v>
      </c>
      <c r="J77" s="48"/>
      <c r="K77" s="48"/>
    </row>
    <row r="78" spans="1:11" x14ac:dyDescent="0.35">
      <c r="A78" s="6"/>
      <c r="B78" s="10" t="s">
        <v>8</v>
      </c>
      <c r="C78" s="22"/>
      <c r="D78" s="8"/>
      <c r="E78" s="9"/>
      <c r="F78" s="9"/>
      <c r="G78" s="22"/>
      <c r="H78" s="22"/>
      <c r="I78" s="9">
        <f>Table14[[#This Row],[Balance Qty]]*Table14[[#This Row],[Rate]]</f>
        <v>0</v>
      </c>
      <c r="J78" s="9"/>
      <c r="K78" s="9"/>
    </row>
    <row r="79" spans="1:11" x14ac:dyDescent="0.35">
      <c r="A79" s="6"/>
      <c r="B79" s="11" t="s">
        <v>9</v>
      </c>
      <c r="C79" s="22"/>
      <c r="D79" s="8"/>
      <c r="E79" s="9"/>
      <c r="F79" s="9"/>
      <c r="G79" s="22"/>
      <c r="H79" s="22"/>
      <c r="I79" s="9">
        <f>Table14[[#This Row],[Balance Qty]]*Table14[[#This Row],[Rate]]</f>
        <v>0</v>
      </c>
      <c r="J79" s="9"/>
      <c r="K79" s="9"/>
    </row>
    <row r="80" spans="1:11" ht="29" x14ac:dyDescent="0.35">
      <c r="A80" s="6">
        <v>48</v>
      </c>
      <c r="B80" s="11" t="s">
        <v>76</v>
      </c>
      <c r="C80" s="22"/>
      <c r="D80" s="8"/>
      <c r="E80" s="9"/>
      <c r="F80" s="9"/>
      <c r="G80" s="22"/>
      <c r="H80" s="22"/>
      <c r="I80" s="9">
        <f>Table14[[#This Row],[Balance Qty]]*Table14[[#This Row],[Rate]]</f>
        <v>0</v>
      </c>
      <c r="J80" s="9"/>
      <c r="K80" s="9"/>
    </row>
    <row r="81" spans="1:11" ht="43.5" x14ac:dyDescent="0.35">
      <c r="A81" s="6">
        <v>49</v>
      </c>
      <c r="B81" s="11" t="s">
        <v>77</v>
      </c>
      <c r="C81" s="22"/>
      <c r="D81" s="8"/>
      <c r="E81" s="9"/>
      <c r="F81" s="9"/>
      <c r="G81" s="22"/>
      <c r="H81" s="22"/>
      <c r="I81" s="9">
        <f>Table14[[#This Row],[Balance Qty]]*Table14[[#This Row],[Rate]]</f>
        <v>0</v>
      </c>
      <c r="J81" s="9"/>
      <c r="K81" s="9"/>
    </row>
    <row r="82" spans="1:11" ht="15" thickBot="1" x14ac:dyDescent="0.4">
      <c r="A82" s="54"/>
      <c r="B82" s="55"/>
      <c r="C82" s="56"/>
      <c r="D82" s="57"/>
      <c r="E82" s="58"/>
      <c r="F82" s="58"/>
      <c r="G82" s="56"/>
      <c r="H82" s="56"/>
      <c r="I82" s="58">
        <f>Table14[[#This Row],[Balance Qty]]*Table14[[#This Row],[Rate]]</f>
        <v>0</v>
      </c>
      <c r="J82" s="58"/>
      <c r="K82" s="58"/>
    </row>
    <row r="83" spans="1:11" x14ac:dyDescent="0.35">
      <c r="A83" s="44"/>
      <c r="B83" s="59" t="s">
        <v>79</v>
      </c>
      <c r="C83" s="46"/>
      <c r="D83" s="47"/>
      <c r="E83" s="48"/>
      <c r="F83" s="48"/>
      <c r="G83" s="46"/>
      <c r="H83" s="46"/>
      <c r="I83" s="48">
        <f>Table14[[#This Row],[Balance Qty]]*Table14[[#This Row],[Rate]]</f>
        <v>0</v>
      </c>
      <c r="J83" s="48"/>
      <c r="K83" s="48"/>
    </row>
    <row r="84" spans="1:11" x14ac:dyDescent="0.35">
      <c r="A84" s="6"/>
      <c r="B84" s="10" t="s">
        <v>8</v>
      </c>
      <c r="C84" s="22"/>
      <c r="D84" s="8"/>
      <c r="E84" s="9"/>
      <c r="F84" s="9"/>
      <c r="G84" s="22"/>
      <c r="H84" s="22"/>
      <c r="I84" s="9">
        <f>Table14[[#This Row],[Balance Qty]]*Table14[[#This Row],[Rate]]</f>
        <v>0</v>
      </c>
      <c r="J84" s="9"/>
      <c r="K84" s="9"/>
    </row>
    <row r="85" spans="1:11" x14ac:dyDescent="0.35">
      <c r="A85" s="6"/>
      <c r="B85" s="11" t="s">
        <v>9</v>
      </c>
      <c r="C85" s="22"/>
      <c r="D85" s="8"/>
      <c r="E85" s="9"/>
      <c r="F85" s="9"/>
      <c r="G85" s="22"/>
      <c r="H85" s="22"/>
      <c r="I85" s="9">
        <f>Table14[[#This Row],[Balance Qty]]*Table14[[#This Row],[Rate]]</f>
        <v>0</v>
      </c>
      <c r="J85" s="9"/>
      <c r="K85" s="9"/>
    </row>
    <row r="86" spans="1:11" ht="29" x14ac:dyDescent="0.35">
      <c r="A86" s="6">
        <v>50</v>
      </c>
      <c r="B86" s="11" t="s">
        <v>80</v>
      </c>
      <c r="C86" s="22">
        <v>10.72</v>
      </c>
      <c r="D86" s="8" t="s">
        <v>17</v>
      </c>
      <c r="E86" s="9">
        <v>176</v>
      </c>
      <c r="F86" s="9">
        <f>Table14[[#This Row],[Rate]]*Table14[[#This Row],[Qty]]</f>
        <v>1886.72</v>
      </c>
      <c r="G86" s="22">
        <f>Table1[[#This Row],[Cumulative]]</f>
        <v>10.72</v>
      </c>
      <c r="H86" s="22"/>
      <c r="I86" s="9">
        <f>Table14[[#This Row],[Balance Qty]]*Table14[[#This Row],[Rate]]</f>
        <v>0</v>
      </c>
      <c r="J86" s="9"/>
      <c r="K86" s="9"/>
    </row>
    <row r="87" spans="1:11" x14ac:dyDescent="0.35">
      <c r="A87" s="6"/>
      <c r="B87" s="11"/>
      <c r="C87" s="22"/>
      <c r="D87" s="8"/>
      <c r="E87" s="9"/>
      <c r="F87" s="9"/>
      <c r="G87" s="22"/>
      <c r="H87" s="22"/>
      <c r="I87" s="9">
        <f>Table14[[#This Row],[Balance Qty]]*Table14[[#This Row],[Rate]]</f>
        <v>0</v>
      </c>
      <c r="J87" s="9"/>
      <c r="K87" s="9"/>
    </row>
    <row r="88" spans="1:11" x14ac:dyDescent="0.35">
      <c r="A88" s="6"/>
      <c r="B88" s="10" t="s">
        <v>81</v>
      </c>
      <c r="C88" s="22"/>
      <c r="D88" s="8"/>
      <c r="E88" s="9"/>
      <c r="F88" s="9"/>
      <c r="G88" s="22"/>
      <c r="H88" s="22"/>
      <c r="I88" s="9">
        <f>Table14[[#This Row],[Balance Qty]]*Table14[[#This Row],[Rate]]</f>
        <v>0</v>
      </c>
      <c r="J88" s="9"/>
      <c r="K88" s="9"/>
    </row>
    <row r="89" spans="1:11" x14ac:dyDescent="0.35">
      <c r="A89" s="6"/>
      <c r="B89" s="11" t="s">
        <v>82</v>
      </c>
      <c r="C89" s="22"/>
      <c r="D89" s="8"/>
      <c r="E89" s="9"/>
      <c r="F89" s="9"/>
      <c r="G89" s="22"/>
      <c r="H89" s="22"/>
      <c r="I89" s="9">
        <f>Table14[[#This Row],[Balance Qty]]*Table14[[#This Row],[Rate]]</f>
        <v>0</v>
      </c>
      <c r="J89" s="9"/>
      <c r="K89" s="9"/>
    </row>
    <row r="90" spans="1:11" ht="29" x14ac:dyDescent="0.35">
      <c r="A90" s="6">
        <v>51</v>
      </c>
      <c r="B90" s="11" t="s">
        <v>83</v>
      </c>
      <c r="C90" s="22">
        <v>7.468</v>
      </c>
      <c r="D90" s="8" t="s">
        <v>17</v>
      </c>
      <c r="E90" s="9">
        <v>176</v>
      </c>
      <c r="F90" s="9">
        <f>Table14[[#This Row],[Rate]]*Table14[[#This Row],[Qty]]</f>
        <v>1314.3679999999999</v>
      </c>
      <c r="G90" s="22">
        <f>Table1[[#This Row],[Cumulative]]</f>
        <v>7.47</v>
      </c>
      <c r="H90" s="22">
        <f>Table14[[#This Row],[Qty]]-Table14[[#This Row],[Used Qty]]</f>
        <v>-1.9999999999997797E-3</v>
      </c>
      <c r="I90" s="9">
        <f>Table14[[#This Row],[Balance Qty]]*Table14[[#This Row],[Rate]]</f>
        <v>-0.35199999999996123</v>
      </c>
      <c r="J90" s="9"/>
      <c r="K90" s="9"/>
    </row>
    <row r="91" spans="1:11" x14ac:dyDescent="0.35">
      <c r="A91" s="6">
        <v>52</v>
      </c>
      <c r="B91" s="11" t="s">
        <v>84</v>
      </c>
      <c r="C91" s="22"/>
      <c r="D91" s="8"/>
      <c r="E91" s="9"/>
      <c r="F91" s="9"/>
      <c r="G91" s="22"/>
      <c r="H91" s="22"/>
      <c r="I91" s="9">
        <f>Table14[[#This Row],[Balance Qty]]*Table14[[#This Row],[Rate]]</f>
        <v>0</v>
      </c>
      <c r="J91" s="9"/>
      <c r="K91" s="9"/>
    </row>
    <row r="92" spans="1:11" x14ac:dyDescent="0.35">
      <c r="A92" s="6"/>
      <c r="B92" s="11" t="s">
        <v>85</v>
      </c>
      <c r="C92" s="22"/>
      <c r="D92" s="8"/>
      <c r="E92" s="9"/>
      <c r="F92" s="9"/>
      <c r="G92" s="22"/>
      <c r="H92" s="22"/>
      <c r="I92" s="9">
        <f>Table14[[#This Row],[Balance Qty]]*Table14[[#This Row],[Rate]]</f>
        <v>0</v>
      </c>
      <c r="J92" s="9"/>
      <c r="K92" s="9"/>
    </row>
    <row r="93" spans="1:11" ht="29" x14ac:dyDescent="0.35">
      <c r="A93" s="6">
        <v>53</v>
      </c>
      <c r="B93" s="11" t="s">
        <v>86</v>
      </c>
      <c r="C93" s="22"/>
      <c r="D93" s="8"/>
      <c r="E93" s="9">
        <v>176</v>
      </c>
      <c r="F93" s="9"/>
      <c r="G93" s="22">
        <f>Table1[[#This Row],[Cumulative]]</f>
        <v>13.32</v>
      </c>
      <c r="H93" s="22">
        <f>Table14[[#This Row],[Qty]]-Table14[[#This Row],[Used Qty]]</f>
        <v>-13.32</v>
      </c>
      <c r="I93" s="9">
        <f>Table14[[#This Row],[Balance Qty]]*Table14[[#This Row],[Rate]]</f>
        <v>-2344.3200000000002</v>
      </c>
      <c r="J93" s="9"/>
      <c r="K93" s="9"/>
    </row>
    <row r="94" spans="1:11" ht="29" x14ac:dyDescent="0.35">
      <c r="A94" s="6">
        <v>54</v>
      </c>
      <c r="B94" s="11" t="s">
        <v>87</v>
      </c>
      <c r="C94" s="22"/>
      <c r="D94" s="8"/>
      <c r="E94" s="9">
        <v>176</v>
      </c>
      <c r="F94" s="9"/>
      <c r="G94" s="22">
        <f>Table1[[#This Row],[Cumulative]]</f>
        <v>13.32</v>
      </c>
      <c r="H94" s="22">
        <f>Table14[[#This Row],[Qty]]-Table14[[#This Row],[Used Qty]]</f>
        <v>-13.32</v>
      </c>
      <c r="I94" s="9">
        <f>Table14[[#This Row],[Balance Qty]]*Table14[[#This Row],[Rate]]</f>
        <v>-2344.3200000000002</v>
      </c>
      <c r="J94" s="9"/>
      <c r="K94" s="9"/>
    </row>
    <row r="95" spans="1:11" ht="29" x14ac:dyDescent="0.35">
      <c r="A95" s="6">
        <v>55</v>
      </c>
      <c r="B95" s="11" t="s">
        <v>88</v>
      </c>
      <c r="C95" s="22"/>
      <c r="D95" s="8"/>
      <c r="E95" s="9"/>
      <c r="F95" s="9"/>
      <c r="G95" s="22"/>
      <c r="H95" s="22"/>
      <c r="I95" s="9">
        <f>Table14[[#This Row],[Balance Qty]]*Table14[[#This Row],[Rate]]</f>
        <v>0</v>
      </c>
      <c r="J95" s="9"/>
      <c r="K95" s="9"/>
    </row>
    <row r="96" spans="1:11" x14ac:dyDescent="0.35">
      <c r="A96" s="6"/>
      <c r="B96" s="10" t="s">
        <v>54</v>
      </c>
      <c r="C96" s="22"/>
      <c r="D96" s="8"/>
      <c r="E96" s="9"/>
      <c r="F96" s="9"/>
      <c r="G96" s="22"/>
      <c r="H96" s="22"/>
      <c r="I96" s="9">
        <f>Table14[[#This Row],[Balance Qty]]*Table14[[#This Row],[Rate]]</f>
        <v>0</v>
      </c>
      <c r="J96" s="9"/>
      <c r="K96" s="9"/>
    </row>
    <row r="97" spans="1:11" ht="29" x14ac:dyDescent="0.35">
      <c r="A97" s="6">
        <v>56</v>
      </c>
      <c r="B97" s="11" t="s">
        <v>89</v>
      </c>
      <c r="C97" s="22"/>
      <c r="D97" s="8"/>
      <c r="E97" s="9">
        <v>176</v>
      </c>
      <c r="F97" s="9"/>
      <c r="G97" s="22">
        <f>Table1[[#This Row],[Cumulative]]</f>
        <v>31.1</v>
      </c>
      <c r="H97" s="22">
        <f>Table14[[#This Row],[Qty]]-Table14[[#This Row],[Used Qty]]</f>
        <v>-31.1</v>
      </c>
      <c r="I97" s="9">
        <f>Table14[[#This Row],[Balance Qty]]*Table14[[#This Row],[Rate]]</f>
        <v>-5473.6</v>
      </c>
      <c r="J97" s="9"/>
      <c r="K97" s="9"/>
    </row>
    <row r="98" spans="1:11" ht="29" x14ac:dyDescent="0.35">
      <c r="A98" s="6">
        <v>57</v>
      </c>
      <c r="B98" s="11" t="s">
        <v>90</v>
      </c>
      <c r="C98" s="22">
        <v>51.76</v>
      </c>
      <c r="D98" s="8" t="s">
        <v>17</v>
      </c>
      <c r="E98" s="9">
        <v>176</v>
      </c>
      <c r="F98" s="9">
        <f>Table14[[#This Row],[Rate]]*Table14[[#This Row],[Qty]]</f>
        <v>9109.76</v>
      </c>
      <c r="G98" s="22">
        <f>Table1[[#This Row],[Cumulative]]</f>
        <v>51.76</v>
      </c>
      <c r="H98" s="22">
        <f>Table14[[#This Row],[Qty]]-Table14[[#This Row],[Used Qty]]</f>
        <v>0</v>
      </c>
      <c r="I98" s="9">
        <f>Table14[[#This Row],[Balance Qty]]*Table14[[#This Row],[Rate]]</f>
        <v>0</v>
      </c>
      <c r="J98" s="9"/>
      <c r="K98" s="9"/>
    </row>
    <row r="99" spans="1:11" ht="29" x14ac:dyDescent="0.35">
      <c r="A99" s="6">
        <v>58</v>
      </c>
      <c r="B99" s="11" t="s">
        <v>91</v>
      </c>
      <c r="C99" s="22"/>
      <c r="D99" s="8"/>
      <c r="E99" s="9">
        <v>176</v>
      </c>
      <c r="F99" s="9"/>
      <c r="G99" s="22">
        <f>Table1[[#This Row],[Cumulative]]</f>
        <v>6.12</v>
      </c>
      <c r="H99" s="22">
        <f>Table14[[#This Row],[Qty]]-Table14[[#This Row],[Used Qty]]</f>
        <v>-6.12</v>
      </c>
      <c r="I99" s="9">
        <f>Table14[[#This Row],[Balance Qty]]*Table14[[#This Row],[Rate]]</f>
        <v>-1077.1200000000001</v>
      </c>
      <c r="J99" s="9"/>
      <c r="K99" s="9"/>
    </row>
    <row r="100" spans="1:11" ht="29" x14ac:dyDescent="0.35">
      <c r="A100" s="6">
        <v>59</v>
      </c>
      <c r="B100" s="11" t="s">
        <v>92</v>
      </c>
      <c r="C100" s="22"/>
      <c r="D100" s="8"/>
      <c r="E100" s="9">
        <v>176</v>
      </c>
      <c r="F100" s="9"/>
      <c r="G100" s="22">
        <f>Table1[[#This Row],[Cumulative]]</f>
        <v>8.16</v>
      </c>
      <c r="H100" s="22">
        <f>Table14[[#This Row],[Qty]]-Table14[[#This Row],[Used Qty]]</f>
        <v>-8.16</v>
      </c>
      <c r="I100" s="9">
        <f>Table14[[#This Row],[Balance Qty]]*Table14[[#This Row],[Rate]]</f>
        <v>-1436.16</v>
      </c>
      <c r="J100" s="9"/>
      <c r="K100" s="9"/>
    </row>
    <row r="101" spans="1:11" ht="29" x14ac:dyDescent="0.35">
      <c r="A101" s="6">
        <v>60</v>
      </c>
      <c r="B101" s="11" t="s">
        <v>93</v>
      </c>
      <c r="C101" s="22"/>
      <c r="D101" s="8"/>
      <c r="E101" s="9"/>
      <c r="F101" s="9"/>
      <c r="G101" s="22"/>
      <c r="H101" s="22"/>
      <c r="I101" s="9">
        <f>Table14[[#This Row],[Balance Qty]]*Table14[[#This Row],[Rate]]</f>
        <v>0</v>
      </c>
      <c r="J101" s="9"/>
      <c r="K101" s="9"/>
    </row>
    <row r="102" spans="1:11" ht="15" thickBot="1" x14ac:dyDescent="0.4">
      <c r="A102" s="54"/>
      <c r="B102" s="55"/>
      <c r="C102" s="56"/>
      <c r="D102" s="57"/>
      <c r="E102" s="58"/>
      <c r="F102" s="58"/>
      <c r="G102" s="56"/>
      <c r="H102" s="56"/>
      <c r="I102" s="58">
        <f>Table14[[#This Row],[Balance Qty]]*Table14[[#This Row],[Rate]]</f>
        <v>0</v>
      </c>
      <c r="J102" s="58"/>
      <c r="K102" s="58"/>
    </row>
    <row r="103" spans="1:11" x14ac:dyDescent="0.35">
      <c r="A103" s="44"/>
      <c r="B103" s="59" t="s">
        <v>94</v>
      </c>
      <c r="C103" s="46"/>
      <c r="D103" s="47"/>
      <c r="E103" s="48"/>
      <c r="F103" s="48"/>
      <c r="G103" s="46"/>
      <c r="H103" s="46"/>
      <c r="I103" s="48">
        <f>Table14[[#This Row],[Balance Qty]]*Table14[[#This Row],[Rate]]</f>
        <v>0</v>
      </c>
      <c r="J103" s="48"/>
      <c r="K103" s="48"/>
    </row>
    <row r="104" spans="1:11" x14ac:dyDescent="0.35">
      <c r="A104" s="6"/>
      <c r="B104" s="10" t="s">
        <v>8</v>
      </c>
      <c r="C104" s="22"/>
      <c r="D104" s="8"/>
      <c r="E104" s="9"/>
      <c r="F104" s="9"/>
      <c r="G104" s="22"/>
      <c r="H104" s="22"/>
      <c r="I104" s="9">
        <f>Table14[[#This Row],[Balance Qty]]*Table14[[#This Row],[Rate]]</f>
        <v>0</v>
      </c>
      <c r="J104" s="9"/>
      <c r="K104" s="9"/>
    </row>
    <row r="105" spans="1:11" x14ac:dyDescent="0.35">
      <c r="A105" s="6"/>
      <c r="B105" s="11" t="s">
        <v>9</v>
      </c>
      <c r="C105" s="22"/>
      <c r="D105" s="8"/>
      <c r="E105" s="9"/>
      <c r="F105" s="9"/>
      <c r="G105" s="22"/>
      <c r="H105" s="22"/>
      <c r="I105" s="9">
        <f>Table14[[#This Row],[Balance Qty]]*Table14[[#This Row],[Rate]]</f>
        <v>0</v>
      </c>
      <c r="J105" s="9"/>
      <c r="K105" s="9"/>
    </row>
    <row r="106" spans="1:11" ht="29" x14ac:dyDescent="0.35">
      <c r="A106" s="6">
        <v>61</v>
      </c>
      <c r="B106" s="11" t="s">
        <v>95</v>
      </c>
      <c r="C106" s="22">
        <v>16.72</v>
      </c>
      <c r="D106" s="8" t="s">
        <v>17</v>
      </c>
      <c r="E106" s="9">
        <v>176</v>
      </c>
      <c r="F106" s="9">
        <f>Table14[[#This Row],[Rate]]*Table14[[#This Row],[Qty]]</f>
        <v>2942.72</v>
      </c>
      <c r="G106" s="22">
        <f>Table1[[#This Row],[Cumulative]]</f>
        <v>16.72</v>
      </c>
      <c r="H106" s="22">
        <f>Table14[[#This Row],[Qty]]-Table14[[#This Row],[Used Qty]]</f>
        <v>0</v>
      </c>
      <c r="I106" s="9">
        <f>Table14[[#This Row],[Balance Qty]]*Table14[[#This Row],[Rate]]</f>
        <v>0</v>
      </c>
      <c r="J106" s="9"/>
      <c r="K106" s="9"/>
    </row>
    <row r="107" spans="1:11" x14ac:dyDescent="0.35">
      <c r="A107" s="6"/>
      <c r="B107" s="10" t="s">
        <v>81</v>
      </c>
      <c r="C107" s="22"/>
      <c r="D107" s="8"/>
      <c r="E107" s="9"/>
      <c r="F107" s="9"/>
      <c r="G107" s="22"/>
      <c r="H107" s="22"/>
      <c r="I107" s="9">
        <f>Table14[[#This Row],[Balance Qty]]*Table14[[#This Row],[Rate]]</f>
        <v>0</v>
      </c>
      <c r="J107" s="9"/>
      <c r="K107" s="9"/>
    </row>
    <row r="108" spans="1:11" x14ac:dyDescent="0.35">
      <c r="A108" s="6"/>
      <c r="B108" s="11" t="s">
        <v>82</v>
      </c>
      <c r="C108" s="22"/>
      <c r="D108" s="8"/>
      <c r="E108" s="9"/>
      <c r="F108" s="9"/>
      <c r="G108" s="22"/>
      <c r="H108" s="22"/>
      <c r="I108" s="9">
        <f>Table14[[#This Row],[Balance Qty]]*Table14[[#This Row],[Rate]]</f>
        <v>0</v>
      </c>
      <c r="J108" s="9"/>
      <c r="K108" s="9"/>
    </row>
    <row r="109" spans="1:11" ht="29" x14ac:dyDescent="0.35">
      <c r="A109" s="6">
        <v>62</v>
      </c>
      <c r="B109" s="11" t="s">
        <v>83</v>
      </c>
      <c r="C109" s="22">
        <v>1.41</v>
      </c>
      <c r="D109" s="8" t="s">
        <v>17</v>
      </c>
      <c r="E109" s="9">
        <v>176</v>
      </c>
      <c r="F109" s="9">
        <f>Table14[[#This Row],[Rate]]*Table14[[#This Row],[Qty]]</f>
        <v>248.16</v>
      </c>
      <c r="G109" s="22">
        <f>Table1[[#This Row],[Cumulative]]</f>
        <v>7.47</v>
      </c>
      <c r="H109" s="22">
        <f>Table14[[#This Row],[Qty]]-Table14[[#This Row],[Used Qty]]</f>
        <v>-6.06</v>
      </c>
      <c r="I109" s="9">
        <f>Table14[[#This Row],[Balance Qty]]*Table14[[#This Row],[Rate]]</f>
        <v>-1066.56</v>
      </c>
      <c r="J109" s="9"/>
      <c r="K109" s="9"/>
    </row>
    <row r="110" spans="1:11" x14ac:dyDescent="0.35">
      <c r="A110" s="6">
        <v>63</v>
      </c>
      <c r="B110" s="11" t="s">
        <v>84</v>
      </c>
      <c r="C110" s="22"/>
      <c r="D110" s="8"/>
      <c r="E110" s="9"/>
      <c r="F110" s="9"/>
      <c r="G110" s="22"/>
      <c r="H110" s="22"/>
      <c r="I110" s="9">
        <f>Table14[[#This Row],[Balance Qty]]*Table14[[#This Row],[Rate]]</f>
        <v>0</v>
      </c>
      <c r="J110" s="9"/>
      <c r="K110" s="9"/>
    </row>
    <row r="111" spans="1:11" x14ac:dyDescent="0.35">
      <c r="A111" s="6"/>
      <c r="B111" s="11" t="s">
        <v>85</v>
      </c>
      <c r="C111" s="22"/>
      <c r="D111" s="8"/>
      <c r="E111" s="9"/>
      <c r="F111" s="9"/>
      <c r="G111" s="22"/>
      <c r="H111" s="22"/>
      <c r="I111" s="9">
        <f>Table14[[#This Row],[Balance Qty]]*Table14[[#This Row],[Rate]]</f>
        <v>0</v>
      </c>
      <c r="J111" s="9"/>
      <c r="K111" s="9"/>
    </row>
    <row r="112" spans="1:11" ht="29" x14ac:dyDescent="0.35">
      <c r="A112" s="6">
        <v>64</v>
      </c>
      <c r="B112" s="11" t="s">
        <v>96</v>
      </c>
      <c r="C112" s="22"/>
      <c r="D112" s="8"/>
      <c r="E112" s="9"/>
      <c r="F112" s="9"/>
      <c r="G112" s="22"/>
      <c r="H112" s="22"/>
      <c r="I112" s="9">
        <f>Table14[[#This Row],[Balance Qty]]*Table14[[#This Row],[Rate]]</f>
        <v>0</v>
      </c>
      <c r="J112" s="9"/>
      <c r="K112" s="9"/>
    </row>
    <row r="113" spans="1:11" ht="29" x14ac:dyDescent="0.35">
      <c r="A113" s="6">
        <v>65</v>
      </c>
      <c r="B113" s="11" t="s">
        <v>97</v>
      </c>
      <c r="C113" s="22"/>
      <c r="D113" s="8"/>
      <c r="E113" s="9"/>
      <c r="F113" s="9"/>
      <c r="G113" s="22"/>
      <c r="H113" s="22"/>
      <c r="I113" s="9">
        <f>Table14[[#This Row],[Balance Qty]]*Table14[[#This Row],[Rate]]</f>
        <v>0</v>
      </c>
      <c r="J113" s="9"/>
      <c r="K113" s="9"/>
    </row>
    <row r="114" spans="1:11" ht="29" x14ac:dyDescent="0.35">
      <c r="A114" s="6">
        <v>66</v>
      </c>
      <c r="B114" s="11" t="s">
        <v>88</v>
      </c>
      <c r="C114" s="22"/>
      <c r="D114" s="8"/>
      <c r="E114" s="9"/>
      <c r="F114" s="9"/>
      <c r="G114" s="22"/>
      <c r="H114" s="22"/>
      <c r="I114" s="9">
        <f>Table14[[#This Row],[Balance Qty]]*Table14[[#This Row],[Rate]]</f>
        <v>0</v>
      </c>
      <c r="J114" s="9"/>
      <c r="K114" s="9"/>
    </row>
    <row r="115" spans="1:11" x14ac:dyDescent="0.35">
      <c r="A115" s="6"/>
      <c r="B115" s="10" t="s">
        <v>54</v>
      </c>
      <c r="C115" s="22"/>
      <c r="D115" s="8"/>
      <c r="E115" s="9"/>
      <c r="F115" s="9"/>
      <c r="G115" s="22"/>
      <c r="H115" s="22"/>
      <c r="I115" s="9">
        <f>Table14[[#This Row],[Balance Qty]]*Table14[[#This Row],[Rate]]</f>
        <v>0</v>
      </c>
      <c r="J115" s="9"/>
      <c r="K115" s="9"/>
    </row>
    <row r="116" spans="1:11" ht="29" x14ac:dyDescent="0.35">
      <c r="A116" s="6">
        <v>67</v>
      </c>
      <c r="B116" s="11" t="s">
        <v>98</v>
      </c>
      <c r="C116" s="22"/>
      <c r="D116" s="8"/>
      <c r="E116" s="9"/>
      <c r="F116" s="9"/>
      <c r="G116" s="22"/>
      <c r="H116" s="22"/>
      <c r="I116" s="9">
        <f>Table14[[#This Row],[Balance Qty]]*Table14[[#This Row],[Rate]]</f>
        <v>0</v>
      </c>
      <c r="J116" s="9"/>
      <c r="K116" s="9"/>
    </row>
    <row r="117" spans="1:11" ht="29" x14ac:dyDescent="0.35">
      <c r="A117" s="6">
        <v>68</v>
      </c>
      <c r="B117" s="11" t="s">
        <v>99</v>
      </c>
      <c r="C117" s="22">
        <v>60</v>
      </c>
      <c r="D117" s="8" t="s">
        <v>17</v>
      </c>
      <c r="E117" s="9">
        <v>176</v>
      </c>
      <c r="F117" s="9">
        <f>Table14[[#This Row],[Rate]]*Table14[[#This Row],[Qty]]</f>
        <v>10560</v>
      </c>
      <c r="G117" s="22">
        <f>Table1[[#This Row],[Cumulative]]</f>
        <v>60</v>
      </c>
      <c r="H117" s="22"/>
      <c r="I117" s="9">
        <f>Table14[[#This Row],[Balance Qty]]*Table14[[#This Row],[Rate]]</f>
        <v>0</v>
      </c>
      <c r="J117" s="9"/>
      <c r="K117" s="9"/>
    </row>
    <row r="118" spans="1:11" ht="29" x14ac:dyDescent="0.35">
      <c r="A118" s="6">
        <v>69</v>
      </c>
      <c r="B118" s="11" t="s">
        <v>100</v>
      </c>
      <c r="C118" s="22"/>
      <c r="D118" s="8"/>
      <c r="E118" s="9"/>
      <c r="F118" s="9"/>
      <c r="G118" s="22"/>
      <c r="H118" s="22"/>
      <c r="I118" s="9">
        <f>Table14[[#This Row],[Balance Qty]]*Table14[[#This Row],[Rate]]</f>
        <v>0</v>
      </c>
      <c r="J118" s="9"/>
      <c r="K118" s="9"/>
    </row>
    <row r="119" spans="1:11" ht="29" x14ac:dyDescent="0.35">
      <c r="A119" s="6">
        <v>70</v>
      </c>
      <c r="B119" s="11" t="s">
        <v>101</v>
      </c>
      <c r="C119" s="22"/>
      <c r="D119" s="8"/>
      <c r="E119" s="9"/>
      <c r="F119" s="9"/>
      <c r="G119" s="22"/>
      <c r="H119" s="22"/>
      <c r="I119" s="9">
        <f>Table14[[#This Row],[Balance Qty]]*Table14[[#This Row],[Rate]]</f>
        <v>0</v>
      </c>
      <c r="J119" s="9"/>
      <c r="K119" s="9"/>
    </row>
    <row r="120" spans="1:11" ht="29" x14ac:dyDescent="0.35">
      <c r="A120" s="6">
        <v>71</v>
      </c>
      <c r="B120" s="11" t="s">
        <v>102</v>
      </c>
      <c r="C120" s="22"/>
      <c r="D120" s="8"/>
      <c r="E120" s="9"/>
      <c r="F120" s="9"/>
      <c r="G120" s="22"/>
      <c r="H120" s="22"/>
      <c r="I120" s="9">
        <f>Table14[[#This Row],[Balance Qty]]*Table14[[#This Row],[Rate]]</f>
        <v>0</v>
      </c>
      <c r="J120" s="9"/>
      <c r="K120" s="9"/>
    </row>
    <row r="121" spans="1:11" ht="15" thickBot="1" x14ac:dyDescent="0.4">
      <c r="A121" s="54"/>
      <c r="B121" s="55"/>
      <c r="C121" s="56"/>
      <c r="D121" s="57"/>
      <c r="E121" s="58"/>
      <c r="F121" s="58"/>
      <c r="G121" s="56"/>
      <c r="H121" s="56"/>
      <c r="I121" s="58">
        <f>Table14[[#This Row],[Balance Qty]]*Table14[[#This Row],[Rate]]</f>
        <v>0</v>
      </c>
      <c r="J121" s="58"/>
      <c r="K121" s="58"/>
    </row>
    <row r="122" spans="1:11" x14ac:dyDescent="0.35">
      <c r="A122" s="44"/>
      <c r="B122" s="59" t="s">
        <v>103</v>
      </c>
      <c r="C122" s="46"/>
      <c r="D122" s="47"/>
      <c r="E122" s="48"/>
      <c r="F122" s="48"/>
      <c r="G122" s="46"/>
      <c r="H122" s="46"/>
      <c r="I122" s="48">
        <f>Table14[[#This Row],[Balance Qty]]*Table14[[#This Row],[Rate]]</f>
        <v>0</v>
      </c>
      <c r="J122" s="48"/>
      <c r="K122" s="48"/>
    </row>
    <row r="123" spans="1:11" x14ac:dyDescent="0.35">
      <c r="A123" s="6"/>
      <c r="B123" s="10" t="s">
        <v>8</v>
      </c>
      <c r="C123" s="22"/>
      <c r="D123" s="8"/>
      <c r="E123" s="9"/>
      <c r="F123" s="9"/>
      <c r="G123" s="22"/>
      <c r="H123" s="22"/>
      <c r="I123" s="9">
        <f>Table14[[#This Row],[Balance Qty]]*Table14[[#This Row],[Rate]]</f>
        <v>0</v>
      </c>
      <c r="J123" s="9"/>
      <c r="K123" s="9"/>
    </row>
    <row r="124" spans="1:11" x14ac:dyDescent="0.35">
      <c r="A124" s="6"/>
      <c r="B124" s="11" t="s">
        <v>9</v>
      </c>
      <c r="C124" s="22"/>
      <c r="D124" s="8"/>
      <c r="E124" s="9"/>
      <c r="F124" s="9"/>
      <c r="G124" s="22"/>
      <c r="H124" s="22"/>
      <c r="I124" s="9">
        <f>Table14[[#This Row],[Balance Qty]]*Table14[[#This Row],[Rate]]</f>
        <v>0</v>
      </c>
      <c r="J124" s="9"/>
      <c r="K124" s="9"/>
    </row>
    <row r="125" spans="1:11" ht="29" x14ac:dyDescent="0.35">
      <c r="A125" s="6">
        <v>72</v>
      </c>
      <c r="B125" s="11" t="s">
        <v>95</v>
      </c>
      <c r="C125" s="22">
        <v>21.53</v>
      </c>
      <c r="D125" s="8" t="s">
        <v>17</v>
      </c>
      <c r="E125" s="9">
        <v>176</v>
      </c>
      <c r="F125" s="9">
        <f>Table14[[#This Row],[Rate]]*Table14[[#This Row],[Qty]]</f>
        <v>3789.28</v>
      </c>
      <c r="G125" s="22">
        <f>Table1[[#This Row],[Cumulative]]</f>
        <v>25.34</v>
      </c>
      <c r="H125" s="22">
        <f>Table14[[#This Row],[Qty]]-Table14[[#This Row],[Used Qty]]</f>
        <v>-3.8099999999999987</v>
      </c>
      <c r="I125" s="9">
        <f>Table14[[#This Row],[Balance Qty]]*Table14[[#This Row],[Rate]]</f>
        <v>-670.55999999999972</v>
      </c>
      <c r="J125" s="9"/>
      <c r="K125" s="9"/>
    </row>
    <row r="126" spans="1:11" x14ac:dyDescent="0.35">
      <c r="A126" s="6"/>
      <c r="B126" s="10" t="s">
        <v>81</v>
      </c>
      <c r="C126" s="22"/>
      <c r="D126" s="8"/>
      <c r="E126" s="9"/>
      <c r="F126" s="9"/>
      <c r="G126" s="22"/>
      <c r="H126" s="22"/>
      <c r="I126" s="9">
        <f>Table14[[#This Row],[Balance Qty]]*Table14[[#This Row],[Rate]]</f>
        <v>0</v>
      </c>
      <c r="J126" s="9"/>
      <c r="K126" s="9"/>
    </row>
    <row r="127" spans="1:11" x14ac:dyDescent="0.35">
      <c r="A127" s="6"/>
      <c r="B127" s="11" t="s">
        <v>82</v>
      </c>
      <c r="C127" s="22"/>
      <c r="D127" s="8"/>
      <c r="E127" s="9"/>
      <c r="F127" s="9"/>
      <c r="G127" s="22"/>
      <c r="H127" s="22"/>
      <c r="I127" s="9">
        <f>Table14[[#This Row],[Balance Qty]]*Table14[[#This Row],[Rate]]</f>
        <v>0</v>
      </c>
      <c r="J127" s="9"/>
      <c r="K127" s="9"/>
    </row>
    <row r="128" spans="1:11" ht="29" x14ac:dyDescent="0.35">
      <c r="A128" s="6">
        <v>73</v>
      </c>
      <c r="B128" s="11" t="s">
        <v>104</v>
      </c>
      <c r="C128" s="22">
        <v>3.91</v>
      </c>
      <c r="D128" s="8" t="s">
        <v>17</v>
      </c>
      <c r="E128" s="9">
        <v>176</v>
      </c>
      <c r="F128" s="9">
        <f>Table14[[#This Row],[Rate]]*Table14[[#This Row],[Qty]]</f>
        <v>688.16000000000008</v>
      </c>
      <c r="G128" s="22">
        <f>Table1[[#This Row],[Cumulative]]</f>
        <v>0</v>
      </c>
      <c r="H128" s="22">
        <f>Table14[[#This Row],[Qty]]-Table14[[#This Row],[Used Qty]]</f>
        <v>3.91</v>
      </c>
      <c r="I128" s="9">
        <f>Table14[[#This Row],[Balance Qty]]*Table14[[#This Row],[Rate]]</f>
        <v>688.16000000000008</v>
      </c>
      <c r="J128" s="9"/>
      <c r="K128" s="9"/>
    </row>
    <row r="129" spans="1:11" ht="29" x14ac:dyDescent="0.35">
      <c r="A129" s="6">
        <v>74</v>
      </c>
      <c r="B129" s="11" t="s">
        <v>105</v>
      </c>
      <c r="C129" s="22">
        <v>6.95</v>
      </c>
      <c r="D129" s="8" t="s">
        <v>17</v>
      </c>
      <c r="E129" s="9">
        <v>176</v>
      </c>
      <c r="F129" s="9">
        <f>Table14[[#This Row],[Rate]]*Table14[[#This Row],[Qty]]</f>
        <v>1223.2</v>
      </c>
      <c r="G129" s="22">
        <f>Table1[[#This Row],[Cumulative]]</f>
        <v>0</v>
      </c>
      <c r="H129" s="22">
        <f>Table14[[#This Row],[Qty]]-Table14[[#This Row],[Used Qty]]</f>
        <v>6.95</v>
      </c>
      <c r="I129" s="9">
        <f>Table14[[#This Row],[Balance Qty]]*Table14[[#This Row],[Rate]]</f>
        <v>1223.2</v>
      </c>
      <c r="J129" s="9"/>
      <c r="K129" s="9"/>
    </row>
    <row r="130" spans="1:11" x14ac:dyDescent="0.35">
      <c r="A130" s="6"/>
      <c r="B130" s="11" t="s">
        <v>50</v>
      </c>
      <c r="C130" s="22"/>
      <c r="D130" s="8"/>
      <c r="E130" s="9"/>
      <c r="F130" s="9"/>
      <c r="G130" s="22"/>
      <c r="H130" s="22"/>
      <c r="I130" s="9">
        <f>Table14[[#This Row],[Balance Qty]]*Table14[[#This Row],[Rate]]</f>
        <v>0</v>
      </c>
      <c r="J130" s="9"/>
      <c r="K130" s="9"/>
    </row>
    <row r="131" spans="1:11" ht="29" x14ac:dyDescent="0.35">
      <c r="A131" s="6">
        <v>75</v>
      </c>
      <c r="B131" s="11" t="s">
        <v>106</v>
      </c>
      <c r="C131" s="22"/>
      <c r="D131" s="8"/>
      <c r="E131" s="9"/>
      <c r="F131" s="9"/>
      <c r="G131" s="22"/>
      <c r="H131" s="22"/>
      <c r="I131" s="9">
        <f>Table14[[#This Row],[Balance Qty]]*Table14[[#This Row],[Rate]]</f>
        <v>0</v>
      </c>
      <c r="J131" s="9"/>
      <c r="K131" s="9"/>
    </row>
    <row r="132" spans="1:11" ht="29" x14ac:dyDescent="0.35">
      <c r="A132" s="6">
        <v>76</v>
      </c>
      <c r="B132" s="11" t="s">
        <v>107</v>
      </c>
      <c r="C132" s="22"/>
      <c r="D132" s="8"/>
      <c r="E132" s="9"/>
      <c r="F132" s="9"/>
      <c r="G132" s="22"/>
      <c r="H132" s="22"/>
      <c r="I132" s="9">
        <f>Table14[[#This Row],[Balance Qty]]*Table14[[#This Row],[Rate]]</f>
        <v>0</v>
      </c>
      <c r="J132" s="9"/>
      <c r="K132" s="9"/>
    </row>
    <row r="133" spans="1:11" x14ac:dyDescent="0.35">
      <c r="A133" s="6"/>
      <c r="B133" s="11" t="s">
        <v>85</v>
      </c>
      <c r="C133" s="22"/>
      <c r="D133" s="8"/>
      <c r="E133" s="9"/>
      <c r="F133" s="9"/>
      <c r="G133" s="22"/>
      <c r="H133" s="22"/>
      <c r="I133" s="9">
        <f>Table14[[#This Row],[Balance Qty]]*Table14[[#This Row],[Rate]]</f>
        <v>0</v>
      </c>
      <c r="J133" s="9"/>
      <c r="K133" s="9"/>
    </row>
    <row r="134" spans="1:11" ht="29" x14ac:dyDescent="0.35">
      <c r="A134" s="6">
        <v>77</v>
      </c>
      <c r="B134" s="11" t="s">
        <v>108</v>
      </c>
      <c r="C134" s="22"/>
      <c r="D134" s="8"/>
      <c r="E134" s="9"/>
      <c r="F134" s="9"/>
      <c r="G134" s="22"/>
      <c r="H134" s="22"/>
      <c r="I134" s="9">
        <f>Table14[[#This Row],[Balance Qty]]*Table14[[#This Row],[Rate]]</f>
        <v>0</v>
      </c>
      <c r="J134" s="9"/>
      <c r="K134" s="9"/>
    </row>
    <row r="135" spans="1:11" ht="29" x14ac:dyDescent="0.35">
      <c r="A135" s="6">
        <v>78</v>
      </c>
      <c r="B135" s="11" t="s">
        <v>109</v>
      </c>
      <c r="C135" s="22"/>
      <c r="D135" s="8"/>
      <c r="E135" s="9"/>
      <c r="F135" s="9"/>
      <c r="G135" s="22"/>
      <c r="H135" s="22"/>
      <c r="I135" s="9">
        <f>Table14[[#This Row],[Balance Qty]]*Table14[[#This Row],[Rate]]</f>
        <v>0</v>
      </c>
      <c r="J135" s="9"/>
      <c r="K135" s="9"/>
    </row>
    <row r="136" spans="1:11" x14ac:dyDescent="0.35">
      <c r="A136" s="6"/>
      <c r="B136" s="10" t="s">
        <v>54</v>
      </c>
      <c r="C136" s="22"/>
      <c r="D136" s="8"/>
      <c r="E136" s="9"/>
      <c r="F136" s="9"/>
      <c r="G136" s="22"/>
      <c r="H136" s="22"/>
      <c r="I136" s="9">
        <f>Table14[[#This Row],[Balance Qty]]*Table14[[#This Row],[Rate]]</f>
        <v>0</v>
      </c>
      <c r="J136" s="9"/>
      <c r="K136" s="9"/>
    </row>
    <row r="137" spans="1:11" x14ac:dyDescent="0.35">
      <c r="A137" s="6">
        <v>79</v>
      </c>
      <c r="B137" s="11" t="s">
        <v>110</v>
      </c>
      <c r="C137" s="22"/>
      <c r="D137" s="8"/>
      <c r="E137" s="9"/>
      <c r="F137" s="9"/>
      <c r="G137" s="22"/>
      <c r="H137" s="22"/>
      <c r="I137" s="9">
        <f>Table14[[#This Row],[Balance Qty]]*Table14[[#This Row],[Rate]]</f>
        <v>0</v>
      </c>
      <c r="J137" s="9"/>
      <c r="K137" s="9"/>
    </row>
    <row r="138" spans="1:11" ht="29" x14ac:dyDescent="0.35">
      <c r="A138" s="6">
        <v>80</v>
      </c>
      <c r="B138" s="11" t="s">
        <v>111</v>
      </c>
      <c r="C138" s="22"/>
      <c r="D138" s="8"/>
      <c r="E138" s="9"/>
      <c r="F138" s="9"/>
      <c r="G138" s="22"/>
      <c r="H138" s="22"/>
      <c r="I138" s="9">
        <f>Table14[[#This Row],[Balance Qty]]*Table14[[#This Row],[Rate]]</f>
        <v>0</v>
      </c>
      <c r="J138" s="9"/>
      <c r="K138" s="9"/>
    </row>
    <row r="139" spans="1:11" ht="29" x14ac:dyDescent="0.35">
      <c r="A139" s="6">
        <v>81</v>
      </c>
      <c r="B139" s="11" t="s">
        <v>112</v>
      </c>
      <c r="C139" s="22"/>
      <c r="D139" s="8"/>
      <c r="E139" s="9"/>
      <c r="F139" s="9"/>
      <c r="G139" s="22"/>
      <c r="H139" s="22"/>
      <c r="I139" s="9">
        <f>Table14[[#This Row],[Balance Qty]]*Table14[[#This Row],[Rate]]</f>
        <v>0</v>
      </c>
      <c r="J139" s="9"/>
      <c r="K139" s="9"/>
    </row>
    <row r="140" spans="1:11" ht="29" x14ac:dyDescent="0.35">
      <c r="A140" s="6">
        <v>82</v>
      </c>
      <c r="B140" s="11" t="s">
        <v>113</v>
      </c>
      <c r="C140" s="22"/>
      <c r="D140" s="8"/>
      <c r="E140" s="9"/>
      <c r="F140" s="9"/>
      <c r="G140" s="22"/>
      <c r="H140" s="22"/>
      <c r="I140" s="9">
        <f>Table14[[#This Row],[Balance Qty]]*Table14[[#This Row],[Rate]]</f>
        <v>0</v>
      </c>
      <c r="J140" s="9"/>
      <c r="K140" s="9"/>
    </row>
    <row r="141" spans="1:11" ht="29" x14ac:dyDescent="0.35">
      <c r="A141" s="6">
        <v>83</v>
      </c>
      <c r="B141" s="11" t="s">
        <v>114</v>
      </c>
      <c r="C141" s="22"/>
      <c r="D141" s="8"/>
      <c r="E141" s="9"/>
      <c r="F141" s="9"/>
      <c r="G141" s="22"/>
      <c r="H141" s="22"/>
      <c r="I141" s="9">
        <f>Table14[[#This Row],[Balance Qty]]*Table14[[#This Row],[Rate]]</f>
        <v>0</v>
      </c>
      <c r="J141" s="9"/>
      <c r="K141" s="9"/>
    </row>
    <row r="142" spans="1:11" ht="15" thickBot="1" x14ac:dyDescent="0.4">
      <c r="A142" s="54"/>
      <c r="B142" s="55"/>
      <c r="C142" s="56"/>
      <c r="D142" s="57"/>
      <c r="E142" s="58"/>
      <c r="F142" s="58"/>
      <c r="G142" s="56"/>
      <c r="H142" s="56"/>
      <c r="I142" s="58">
        <f>Table14[[#This Row],[Balance Qty]]*Table14[[#This Row],[Rate]]</f>
        <v>0</v>
      </c>
      <c r="J142" s="58"/>
      <c r="K142" s="58"/>
    </row>
    <row r="143" spans="1:11" x14ac:dyDescent="0.35">
      <c r="A143" s="44"/>
      <c r="B143" s="59" t="s">
        <v>115</v>
      </c>
      <c r="C143" s="46"/>
      <c r="D143" s="47"/>
      <c r="E143" s="48"/>
      <c r="F143" s="48"/>
      <c r="G143" s="46"/>
      <c r="H143" s="46"/>
      <c r="I143" s="48">
        <f>Table14[[#This Row],[Balance Qty]]*Table14[[#This Row],[Rate]]</f>
        <v>0</v>
      </c>
      <c r="J143" s="48"/>
      <c r="K143" s="48"/>
    </row>
    <row r="144" spans="1:11" x14ac:dyDescent="0.35">
      <c r="A144" s="6"/>
      <c r="B144" s="10" t="s">
        <v>8</v>
      </c>
      <c r="C144" s="22"/>
      <c r="D144" s="8"/>
      <c r="E144" s="9"/>
      <c r="F144" s="9"/>
      <c r="G144" s="22"/>
      <c r="H144" s="22"/>
      <c r="I144" s="9">
        <f>Table14[[#This Row],[Balance Qty]]*Table14[[#This Row],[Rate]]</f>
        <v>0</v>
      </c>
      <c r="J144" s="9"/>
      <c r="K144" s="9"/>
    </row>
    <row r="145" spans="1:11" x14ac:dyDescent="0.35">
      <c r="A145" s="6"/>
      <c r="B145" s="11" t="s">
        <v>9</v>
      </c>
      <c r="C145" s="22"/>
      <c r="D145" s="8"/>
      <c r="E145" s="9"/>
      <c r="F145" s="9"/>
      <c r="G145" s="22"/>
      <c r="H145" s="22"/>
      <c r="I145" s="9">
        <f>Table14[[#This Row],[Balance Qty]]*Table14[[#This Row],[Rate]]</f>
        <v>0</v>
      </c>
      <c r="J145" s="9"/>
      <c r="K145" s="9"/>
    </row>
    <row r="146" spans="1:11" ht="29" x14ac:dyDescent="0.35">
      <c r="A146" s="6">
        <v>84</v>
      </c>
      <c r="B146" s="11" t="s">
        <v>95</v>
      </c>
      <c r="C146" s="22"/>
      <c r="D146" s="8"/>
      <c r="E146" s="9"/>
      <c r="F146" s="9"/>
      <c r="G146" s="22"/>
      <c r="H146" s="22"/>
      <c r="I146" s="9">
        <f>Table14[[#This Row],[Balance Qty]]*Table14[[#This Row],[Rate]]</f>
        <v>0</v>
      </c>
      <c r="J146" s="9"/>
      <c r="K146" s="9"/>
    </row>
    <row r="147" spans="1:11" x14ac:dyDescent="0.35">
      <c r="A147" s="6"/>
      <c r="B147" s="10" t="s">
        <v>81</v>
      </c>
      <c r="C147" s="22"/>
      <c r="D147" s="8"/>
      <c r="E147" s="9"/>
      <c r="F147" s="9"/>
      <c r="G147" s="22"/>
      <c r="H147" s="22"/>
      <c r="I147" s="9">
        <f>Table14[[#This Row],[Balance Qty]]*Table14[[#This Row],[Rate]]</f>
        <v>0</v>
      </c>
      <c r="J147" s="9"/>
      <c r="K147" s="9"/>
    </row>
    <row r="148" spans="1:11" x14ac:dyDescent="0.35">
      <c r="A148" s="6"/>
      <c r="B148" s="11" t="s">
        <v>82</v>
      </c>
      <c r="C148" s="22"/>
      <c r="D148" s="8"/>
      <c r="E148" s="9"/>
      <c r="F148" s="9"/>
      <c r="G148" s="22"/>
      <c r="H148" s="22"/>
      <c r="I148" s="9">
        <f>Table14[[#This Row],[Balance Qty]]*Table14[[#This Row],[Rate]]</f>
        <v>0</v>
      </c>
      <c r="J148" s="9"/>
      <c r="K148" s="9"/>
    </row>
    <row r="149" spans="1:11" ht="29" x14ac:dyDescent="0.35">
      <c r="A149" s="6">
        <v>85</v>
      </c>
      <c r="B149" s="11" t="s">
        <v>83</v>
      </c>
      <c r="C149" s="22"/>
      <c r="D149" s="8"/>
      <c r="E149" s="9"/>
      <c r="F149" s="9"/>
      <c r="G149" s="22"/>
      <c r="H149" s="22"/>
      <c r="I149" s="9">
        <f>Table14[[#This Row],[Balance Qty]]*Table14[[#This Row],[Rate]]</f>
        <v>0</v>
      </c>
      <c r="J149" s="9"/>
      <c r="K149" s="9"/>
    </row>
    <row r="150" spans="1:11" x14ac:dyDescent="0.35">
      <c r="A150" s="6">
        <v>86</v>
      </c>
      <c r="B150" s="11" t="s">
        <v>116</v>
      </c>
      <c r="C150" s="22"/>
      <c r="D150" s="8"/>
      <c r="E150" s="9"/>
      <c r="F150" s="9"/>
      <c r="G150" s="22"/>
      <c r="H150" s="22"/>
      <c r="I150" s="9">
        <f>Table14[[#This Row],[Balance Qty]]*Table14[[#This Row],[Rate]]</f>
        <v>0</v>
      </c>
      <c r="J150" s="9"/>
      <c r="K150" s="9"/>
    </row>
    <row r="151" spans="1:11" x14ac:dyDescent="0.35">
      <c r="A151" s="6"/>
      <c r="B151" s="11" t="s">
        <v>85</v>
      </c>
      <c r="C151" s="22"/>
      <c r="D151" s="8"/>
      <c r="E151" s="9"/>
      <c r="F151" s="9"/>
      <c r="G151" s="22"/>
      <c r="H151" s="22"/>
      <c r="I151" s="9">
        <f>Table14[[#This Row],[Balance Qty]]*Table14[[#This Row],[Rate]]</f>
        <v>0</v>
      </c>
      <c r="J151" s="9"/>
      <c r="K151" s="9"/>
    </row>
    <row r="152" spans="1:11" ht="29" x14ac:dyDescent="0.35">
      <c r="A152" s="6">
        <v>87</v>
      </c>
      <c r="B152" s="11" t="s">
        <v>86</v>
      </c>
      <c r="C152" s="22"/>
      <c r="D152" s="8"/>
      <c r="E152" s="9"/>
      <c r="F152" s="9"/>
      <c r="G152" s="22"/>
      <c r="H152" s="22"/>
      <c r="I152" s="9">
        <f>Table14[[#This Row],[Balance Qty]]*Table14[[#This Row],[Rate]]</f>
        <v>0</v>
      </c>
      <c r="J152" s="9"/>
      <c r="K152" s="9"/>
    </row>
    <row r="153" spans="1:11" ht="29" x14ac:dyDescent="0.35">
      <c r="A153" s="6">
        <v>88</v>
      </c>
      <c r="B153" s="11" t="s">
        <v>87</v>
      </c>
      <c r="C153" s="22"/>
      <c r="D153" s="8"/>
      <c r="E153" s="9"/>
      <c r="F153" s="9"/>
      <c r="G153" s="22"/>
      <c r="H153" s="22"/>
      <c r="I153" s="9">
        <f>Table14[[#This Row],[Balance Qty]]*Table14[[#This Row],[Rate]]</f>
        <v>0</v>
      </c>
      <c r="J153" s="9"/>
      <c r="K153" s="9"/>
    </row>
    <row r="154" spans="1:11" ht="29" x14ac:dyDescent="0.35">
      <c r="A154" s="6">
        <v>89</v>
      </c>
      <c r="B154" s="11" t="s">
        <v>117</v>
      </c>
      <c r="C154" s="22"/>
      <c r="D154" s="8"/>
      <c r="E154" s="9"/>
      <c r="F154" s="9"/>
      <c r="G154" s="22"/>
      <c r="H154" s="22"/>
      <c r="I154" s="9">
        <f>Table14[[#This Row],[Balance Qty]]*Table14[[#This Row],[Rate]]</f>
        <v>0</v>
      </c>
      <c r="J154" s="9"/>
      <c r="K154" s="9"/>
    </row>
    <row r="155" spans="1:11" x14ac:dyDescent="0.35">
      <c r="A155" s="6"/>
      <c r="B155" s="10" t="s">
        <v>54</v>
      </c>
      <c r="C155" s="22"/>
      <c r="D155" s="8"/>
      <c r="E155" s="9"/>
      <c r="F155" s="9"/>
      <c r="G155" s="22"/>
      <c r="H155" s="22"/>
      <c r="I155" s="9">
        <f>Table14[[#This Row],[Balance Qty]]*Table14[[#This Row],[Rate]]</f>
        <v>0</v>
      </c>
      <c r="J155" s="9"/>
      <c r="K155" s="9"/>
    </row>
    <row r="156" spans="1:11" ht="29" x14ac:dyDescent="0.35">
      <c r="A156" s="6">
        <v>90</v>
      </c>
      <c r="B156" s="11" t="s">
        <v>118</v>
      </c>
      <c r="C156" s="22"/>
      <c r="D156" s="8"/>
      <c r="E156" s="9"/>
      <c r="F156" s="9"/>
      <c r="G156" s="22"/>
      <c r="H156" s="22"/>
      <c r="I156" s="9">
        <f>Table14[[#This Row],[Balance Qty]]*Table14[[#This Row],[Rate]]</f>
        <v>0</v>
      </c>
      <c r="J156" s="9"/>
      <c r="K156" s="9"/>
    </row>
    <row r="157" spans="1:11" ht="29" x14ac:dyDescent="0.35">
      <c r="A157" s="6">
        <v>91</v>
      </c>
      <c r="B157" s="11" t="s">
        <v>119</v>
      </c>
      <c r="C157" s="22"/>
      <c r="D157" s="8"/>
      <c r="E157" s="9"/>
      <c r="F157" s="9"/>
      <c r="G157" s="22"/>
      <c r="H157" s="22"/>
      <c r="I157" s="9">
        <f>Table14[[#This Row],[Balance Qty]]*Table14[[#This Row],[Rate]]</f>
        <v>0</v>
      </c>
      <c r="J157" s="9"/>
      <c r="K157" s="9"/>
    </row>
    <row r="158" spans="1:11" ht="29" x14ac:dyDescent="0.35">
      <c r="A158" s="6">
        <v>92</v>
      </c>
      <c r="B158" s="11" t="s">
        <v>120</v>
      </c>
      <c r="C158" s="22"/>
      <c r="D158" s="8"/>
      <c r="E158" s="9"/>
      <c r="F158" s="9"/>
      <c r="G158" s="22"/>
      <c r="H158" s="22"/>
      <c r="I158" s="9">
        <f>Table14[[#This Row],[Balance Qty]]*Table14[[#This Row],[Rate]]</f>
        <v>0</v>
      </c>
      <c r="J158" s="9"/>
      <c r="K158" s="9"/>
    </row>
    <row r="159" spans="1:11" ht="29" x14ac:dyDescent="0.35">
      <c r="A159" s="6">
        <v>93</v>
      </c>
      <c r="B159" s="11" t="s">
        <v>121</v>
      </c>
      <c r="C159" s="22"/>
      <c r="D159" s="8"/>
      <c r="E159" s="9"/>
      <c r="F159" s="9"/>
      <c r="G159" s="22"/>
      <c r="H159" s="22"/>
      <c r="I159" s="9">
        <f>Table14[[#This Row],[Balance Qty]]*Table14[[#This Row],[Rate]]</f>
        <v>0</v>
      </c>
      <c r="J159" s="9"/>
      <c r="K159" s="9"/>
    </row>
    <row r="160" spans="1:11" ht="29" x14ac:dyDescent="0.35">
      <c r="A160" s="6">
        <v>94</v>
      </c>
      <c r="B160" s="11" t="s">
        <v>122</v>
      </c>
      <c r="C160" s="22"/>
      <c r="D160" s="8"/>
      <c r="E160" s="9"/>
      <c r="F160" s="9"/>
      <c r="G160" s="22"/>
      <c r="H160" s="22"/>
      <c r="I160" s="9">
        <f>Table14[[#This Row],[Balance Qty]]*Table14[[#This Row],[Rate]]</f>
        <v>0</v>
      </c>
      <c r="J160" s="9"/>
      <c r="K160" s="9"/>
    </row>
    <row r="161" spans="1:11" ht="15" thickBot="1" x14ac:dyDescent="0.4">
      <c r="A161" s="54"/>
      <c r="B161" s="55"/>
      <c r="C161" s="56"/>
      <c r="D161" s="57"/>
      <c r="E161" s="58"/>
      <c r="F161" s="58"/>
      <c r="G161" s="56"/>
      <c r="H161" s="56"/>
      <c r="I161" s="58">
        <f>Table14[[#This Row],[Balance Qty]]*Table14[[#This Row],[Rate]]</f>
        <v>0</v>
      </c>
      <c r="J161" s="58"/>
      <c r="K161" s="58"/>
    </row>
    <row r="162" spans="1:11" x14ac:dyDescent="0.35">
      <c r="A162" s="44"/>
      <c r="B162" s="59" t="s">
        <v>123</v>
      </c>
      <c r="C162" s="46"/>
      <c r="D162" s="47"/>
      <c r="E162" s="48"/>
      <c r="F162" s="48"/>
      <c r="G162" s="46"/>
      <c r="H162" s="46"/>
      <c r="I162" s="48">
        <f>Table14[[#This Row],[Balance Qty]]*Table14[[#This Row],[Rate]]</f>
        <v>0</v>
      </c>
      <c r="J162" s="48"/>
      <c r="K162" s="48"/>
    </row>
    <row r="163" spans="1:11" x14ac:dyDescent="0.35">
      <c r="A163" s="6"/>
      <c r="B163" s="10" t="s">
        <v>8</v>
      </c>
      <c r="C163" s="22"/>
      <c r="D163" s="8"/>
      <c r="E163" s="9"/>
      <c r="F163" s="9"/>
      <c r="G163" s="22"/>
      <c r="H163" s="22"/>
      <c r="I163" s="9">
        <f>Table14[[#This Row],[Balance Qty]]*Table14[[#This Row],[Rate]]</f>
        <v>0</v>
      </c>
      <c r="J163" s="9"/>
      <c r="K163" s="9"/>
    </row>
    <row r="164" spans="1:11" x14ac:dyDescent="0.35">
      <c r="A164" s="6"/>
      <c r="B164" s="11" t="s">
        <v>9</v>
      </c>
      <c r="C164" s="22"/>
      <c r="D164" s="8"/>
      <c r="E164" s="9"/>
      <c r="F164" s="9"/>
      <c r="G164" s="22"/>
      <c r="H164" s="22"/>
      <c r="I164" s="9">
        <f>Table14[[#This Row],[Balance Qty]]*Table14[[#This Row],[Rate]]</f>
        <v>0</v>
      </c>
      <c r="J164" s="9"/>
      <c r="K164" s="9"/>
    </row>
    <row r="165" spans="1:11" ht="29" x14ac:dyDescent="0.35">
      <c r="A165" s="6">
        <v>95</v>
      </c>
      <c r="B165" s="11" t="s">
        <v>95</v>
      </c>
      <c r="C165" s="22"/>
      <c r="D165" s="8"/>
      <c r="E165" s="9"/>
      <c r="F165" s="9"/>
      <c r="G165" s="22"/>
      <c r="H165" s="22"/>
      <c r="I165" s="9">
        <f>Table14[[#This Row],[Balance Qty]]*Table14[[#This Row],[Rate]]</f>
        <v>0</v>
      </c>
      <c r="J165" s="9"/>
      <c r="K165" s="9"/>
    </row>
    <row r="166" spans="1:11" x14ac:dyDescent="0.35">
      <c r="A166" s="6"/>
      <c r="B166" s="10" t="s">
        <v>81</v>
      </c>
      <c r="C166" s="22"/>
      <c r="D166" s="8"/>
      <c r="E166" s="9"/>
      <c r="F166" s="9"/>
      <c r="G166" s="22"/>
      <c r="H166" s="22"/>
      <c r="I166" s="9">
        <f>Table14[[#This Row],[Balance Qty]]*Table14[[#This Row],[Rate]]</f>
        <v>0</v>
      </c>
      <c r="J166" s="9"/>
      <c r="K166" s="9"/>
    </row>
    <row r="167" spans="1:11" x14ac:dyDescent="0.35">
      <c r="A167" s="6"/>
      <c r="B167" s="11" t="s">
        <v>82</v>
      </c>
      <c r="C167" s="22"/>
      <c r="D167" s="8"/>
      <c r="E167" s="9"/>
      <c r="F167" s="9"/>
      <c r="G167" s="22"/>
      <c r="H167" s="22"/>
      <c r="I167" s="9">
        <f>Table14[[#This Row],[Balance Qty]]*Table14[[#This Row],[Rate]]</f>
        <v>0</v>
      </c>
      <c r="J167" s="9"/>
      <c r="K167" s="9"/>
    </row>
    <row r="168" spans="1:11" ht="29" x14ac:dyDescent="0.35">
      <c r="A168" s="6">
        <v>96</v>
      </c>
      <c r="B168" s="11" t="s">
        <v>83</v>
      </c>
      <c r="C168" s="22"/>
      <c r="D168" s="8"/>
      <c r="E168" s="9"/>
      <c r="F168" s="9"/>
      <c r="G168" s="22"/>
      <c r="H168" s="22"/>
      <c r="I168" s="9">
        <f>Table14[[#This Row],[Balance Qty]]*Table14[[#This Row],[Rate]]</f>
        <v>0</v>
      </c>
      <c r="J168" s="9"/>
      <c r="K168" s="9"/>
    </row>
    <row r="169" spans="1:11" x14ac:dyDescent="0.35">
      <c r="A169" s="6">
        <v>97</v>
      </c>
      <c r="B169" s="11" t="s">
        <v>116</v>
      </c>
      <c r="C169" s="22"/>
      <c r="D169" s="8"/>
      <c r="E169" s="9"/>
      <c r="F169" s="9"/>
      <c r="G169" s="22"/>
      <c r="H169" s="22"/>
      <c r="I169" s="9">
        <f>Table14[[#This Row],[Balance Qty]]*Table14[[#This Row],[Rate]]</f>
        <v>0</v>
      </c>
      <c r="J169" s="9"/>
      <c r="K169" s="9"/>
    </row>
    <row r="170" spans="1:11" x14ac:dyDescent="0.35">
      <c r="A170" s="6"/>
      <c r="B170" s="11" t="s">
        <v>85</v>
      </c>
      <c r="C170" s="22"/>
      <c r="D170" s="8"/>
      <c r="E170" s="9"/>
      <c r="F170" s="9"/>
      <c r="G170" s="22"/>
      <c r="H170" s="22"/>
      <c r="I170" s="9">
        <f>Table14[[#This Row],[Balance Qty]]*Table14[[#This Row],[Rate]]</f>
        <v>0</v>
      </c>
      <c r="J170" s="9"/>
      <c r="K170" s="9"/>
    </row>
    <row r="171" spans="1:11" ht="29" x14ac:dyDescent="0.35">
      <c r="A171" s="6">
        <v>98</v>
      </c>
      <c r="B171" s="11" t="s">
        <v>124</v>
      </c>
      <c r="C171" s="22"/>
      <c r="D171" s="8"/>
      <c r="E171" s="9"/>
      <c r="F171" s="9"/>
      <c r="G171" s="22"/>
      <c r="H171" s="22"/>
      <c r="I171" s="9">
        <f>Table14[[#This Row],[Balance Qty]]*Table14[[#This Row],[Rate]]</f>
        <v>0</v>
      </c>
      <c r="J171" s="9"/>
      <c r="K171" s="9"/>
    </row>
    <row r="172" spans="1:11" ht="29" x14ac:dyDescent="0.35">
      <c r="A172" s="6">
        <v>99</v>
      </c>
      <c r="B172" s="11" t="s">
        <v>125</v>
      </c>
      <c r="C172" s="22"/>
      <c r="D172" s="8"/>
      <c r="E172" s="9"/>
      <c r="F172" s="9"/>
      <c r="G172" s="22"/>
      <c r="H172" s="22"/>
      <c r="I172" s="9">
        <f>Table14[[#This Row],[Balance Qty]]*Table14[[#This Row],[Rate]]</f>
        <v>0</v>
      </c>
      <c r="J172" s="9"/>
      <c r="K172" s="9"/>
    </row>
    <row r="173" spans="1:11" ht="29" x14ac:dyDescent="0.35">
      <c r="A173" s="6">
        <v>100</v>
      </c>
      <c r="B173" s="11" t="s">
        <v>117</v>
      </c>
      <c r="C173" s="22"/>
      <c r="D173" s="8"/>
      <c r="E173" s="9"/>
      <c r="F173" s="9"/>
      <c r="G173" s="22"/>
      <c r="H173" s="22"/>
      <c r="I173" s="9">
        <f>Table14[[#This Row],[Balance Qty]]*Table14[[#This Row],[Rate]]</f>
        <v>0</v>
      </c>
      <c r="J173" s="9"/>
      <c r="K173" s="9"/>
    </row>
    <row r="174" spans="1:11" x14ac:dyDescent="0.35">
      <c r="A174" s="6"/>
      <c r="B174" s="10" t="s">
        <v>54</v>
      </c>
      <c r="C174" s="22"/>
      <c r="D174" s="8"/>
      <c r="E174" s="9"/>
      <c r="F174" s="9"/>
      <c r="G174" s="22"/>
      <c r="H174" s="22"/>
      <c r="I174" s="9">
        <f>Table14[[#This Row],[Balance Qty]]*Table14[[#This Row],[Rate]]</f>
        <v>0</v>
      </c>
      <c r="J174" s="9"/>
      <c r="K174" s="9"/>
    </row>
    <row r="175" spans="1:11" ht="29" x14ac:dyDescent="0.35">
      <c r="A175" s="6">
        <v>101</v>
      </c>
      <c r="B175" s="11" t="s">
        <v>126</v>
      </c>
      <c r="C175" s="22"/>
      <c r="D175" s="8"/>
      <c r="E175" s="9"/>
      <c r="F175" s="9"/>
      <c r="G175" s="22"/>
      <c r="H175" s="22"/>
      <c r="I175" s="9">
        <f>Table14[[#This Row],[Balance Qty]]*Table14[[#This Row],[Rate]]</f>
        <v>0</v>
      </c>
      <c r="J175" s="9"/>
      <c r="K175" s="9"/>
    </row>
    <row r="176" spans="1:11" ht="29" x14ac:dyDescent="0.35">
      <c r="A176" s="6">
        <v>102</v>
      </c>
      <c r="B176" s="11" t="s">
        <v>127</v>
      </c>
      <c r="C176" s="22"/>
      <c r="D176" s="8"/>
      <c r="E176" s="9"/>
      <c r="F176" s="9"/>
      <c r="G176" s="22"/>
      <c r="H176" s="22"/>
      <c r="I176" s="9">
        <f>Table14[[#This Row],[Balance Qty]]*Table14[[#This Row],[Rate]]</f>
        <v>0</v>
      </c>
      <c r="J176" s="9"/>
      <c r="K176" s="9"/>
    </row>
    <row r="177" spans="1:11" ht="29" x14ac:dyDescent="0.35">
      <c r="A177" s="6">
        <v>103</v>
      </c>
      <c r="B177" s="11" t="s">
        <v>128</v>
      </c>
      <c r="C177" s="22"/>
      <c r="D177" s="8"/>
      <c r="E177" s="9"/>
      <c r="F177" s="9"/>
      <c r="G177" s="22"/>
      <c r="H177" s="22"/>
      <c r="I177" s="9">
        <f>Table14[[#This Row],[Balance Qty]]*Table14[[#This Row],[Rate]]</f>
        <v>0</v>
      </c>
      <c r="J177" s="9"/>
      <c r="K177" s="9"/>
    </row>
    <row r="178" spans="1:11" ht="29" x14ac:dyDescent="0.35">
      <c r="A178" s="6">
        <v>104</v>
      </c>
      <c r="B178" s="11" t="s">
        <v>129</v>
      </c>
      <c r="C178" s="22"/>
      <c r="D178" s="8"/>
      <c r="E178" s="9"/>
      <c r="F178" s="9"/>
      <c r="G178" s="22"/>
      <c r="H178" s="22"/>
      <c r="I178" s="9">
        <f>Table14[[#This Row],[Balance Qty]]*Table14[[#This Row],[Rate]]</f>
        <v>0</v>
      </c>
      <c r="J178" s="9"/>
      <c r="K178" s="9"/>
    </row>
    <row r="179" spans="1:11" ht="29" x14ac:dyDescent="0.35">
      <c r="A179" s="6">
        <v>105</v>
      </c>
      <c r="B179" s="11" t="s">
        <v>130</v>
      </c>
      <c r="C179" s="22"/>
      <c r="D179" s="8"/>
      <c r="E179" s="9"/>
      <c r="F179" s="9"/>
      <c r="G179" s="22"/>
      <c r="H179" s="22"/>
      <c r="I179" s="9">
        <f>Table14[[#This Row],[Balance Qty]]*Table14[[#This Row],[Rate]]</f>
        <v>0</v>
      </c>
      <c r="J179" s="9"/>
      <c r="K179" s="9"/>
    </row>
    <row r="180" spans="1:11" x14ac:dyDescent="0.35">
      <c r="A180" s="6"/>
      <c r="B180" s="7" t="s">
        <v>131</v>
      </c>
      <c r="C180" s="22"/>
      <c r="D180" s="8"/>
      <c r="E180" s="9"/>
      <c r="F180" s="9"/>
      <c r="G180" s="22"/>
      <c r="H180" s="22"/>
      <c r="I180" s="9">
        <f>Table14[[#This Row],[Balance Qty]]*Table14[[#This Row],[Rate]]</f>
        <v>0</v>
      </c>
      <c r="J180" s="9"/>
      <c r="K180" s="9"/>
    </row>
    <row r="181" spans="1:11" x14ac:dyDescent="0.35">
      <c r="A181" s="6"/>
      <c r="B181" s="11" t="s">
        <v>9</v>
      </c>
      <c r="C181" s="22"/>
      <c r="D181" s="8"/>
      <c r="E181" s="9"/>
      <c r="F181" s="9"/>
      <c r="G181" s="22"/>
      <c r="H181" s="22"/>
      <c r="I181" s="9">
        <f>Table14[[#This Row],[Balance Qty]]*Table14[[#This Row],[Rate]]</f>
        <v>0</v>
      </c>
      <c r="J181" s="9"/>
      <c r="K181" s="9"/>
    </row>
    <row r="182" spans="1:11" ht="29" x14ac:dyDescent="0.35">
      <c r="A182" s="6">
        <v>106</v>
      </c>
      <c r="B182" s="11" t="s">
        <v>132</v>
      </c>
      <c r="C182" s="22">
        <v>276.24</v>
      </c>
      <c r="D182" s="8" t="s">
        <v>17</v>
      </c>
      <c r="E182" s="9">
        <v>176</v>
      </c>
      <c r="F182" s="9">
        <f>Table14[[#This Row],[Rate]]*Table14[[#This Row],[Qty]]</f>
        <v>48618.240000000005</v>
      </c>
      <c r="G182" s="22">
        <f>Table1[[#This Row],[Cumulative]]</f>
        <v>0</v>
      </c>
      <c r="H182" s="22">
        <f>Table14[[#This Row],[Qty]]-Table14[[#This Row],[Used Qty]]</f>
        <v>276.24</v>
      </c>
      <c r="I182" s="9">
        <f>Table14[[#This Row],[Balance Qty]]*Table14[[#This Row],[Rate]]</f>
        <v>48618.240000000005</v>
      </c>
      <c r="J182" s="9"/>
      <c r="K182" s="9"/>
    </row>
    <row r="183" spans="1:11" x14ac:dyDescent="0.35">
      <c r="A183" s="6"/>
      <c r="B183" s="11" t="s">
        <v>11</v>
      </c>
      <c r="C183" s="22"/>
      <c r="D183" s="8"/>
      <c r="E183" s="9"/>
      <c r="F183" s="9"/>
      <c r="G183" s="22"/>
      <c r="H183" s="22"/>
      <c r="I183" s="9">
        <f>Table14[[#This Row],[Balance Qty]]*Table14[[#This Row],[Rate]]</f>
        <v>0</v>
      </c>
      <c r="J183" s="9"/>
      <c r="K183" s="9"/>
    </row>
    <row r="184" spans="1:11" ht="29" x14ac:dyDescent="0.35">
      <c r="A184" s="6">
        <v>107</v>
      </c>
      <c r="B184" s="11" t="s">
        <v>133</v>
      </c>
      <c r="C184" s="22"/>
      <c r="D184" s="8"/>
      <c r="E184" s="9"/>
      <c r="F184" s="9"/>
      <c r="G184" s="22"/>
      <c r="H184" s="22"/>
      <c r="I184" s="9">
        <f>Table14[[#This Row],[Balance Qty]]*Table14[[#This Row],[Rate]]</f>
        <v>0</v>
      </c>
      <c r="J184" s="9"/>
      <c r="K184" s="9"/>
    </row>
    <row r="185" spans="1:11" x14ac:dyDescent="0.35">
      <c r="A185" s="6"/>
      <c r="B185" s="10" t="s">
        <v>131</v>
      </c>
      <c r="C185" s="22"/>
      <c r="D185" s="8"/>
      <c r="E185" s="9"/>
      <c r="F185" s="9"/>
      <c r="G185" s="22"/>
      <c r="H185" s="22"/>
      <c r="I185" s="9">
        <f>Table14[[#This Row],[Balance Qty]]*Table14[[#This Row],[Rate]]</f>
        <v>0</v>
      </c>
      <c r="J185" s="9"/>
      <c r="K185" s="9"/>
    </row>
    <row r="186" spans="1:11" x14ac:dyDescent="0.35">
      <c r="A186" s="6"/>
      <c r="B186" s="11" t="s">
        <v>44</v>
      </c>
      <c r="C186" s="22"/>
      <c r="D186" s="8"/>
      <c r="E186" s="9"/>
      <c r="F186" s="9"/>
      <c r="G186" s="22"/>
      <c r="H186" s="22"/>
      <c r="I186" s="9">
        <f>Table14[[#This Row],[Balance Qty]]*Table14[[#This Row],[Rate]]</f>
        <v>0</v>
      </c>
      <c r="J186" s="9"/>
      <c r="K186" s="9"/>
    </row>
    <row r="187" spans="1:11" ht="29" x14ac:dyDescent="0.35">
      <c r="A187" s="6">
        <v>108</v>
      </c>
      <c r="B187" s="11" t="s">
        <v>134</v>
      </c>
      <c r="C187" s="22">
        <v>30.02</v>
      </c>
      <c r="D187" s="8" t="s">
        <v>137</v>
      </c>
      <c r="E187" s="9">
        <v>1632</v>
      </c>
      <c r="F187" s="9">
        <f>Table14[[#This Row],[Rate]]*Table14[[#This Row],[Qty]]</f>
        <v>48992.639999999999</v>
      </c>
      <c r="G187" s="22">
        <f>Table1[[#This Row],[Cumulative]]</f>
        <v>0</v>
      </c>
      <c r="H187" s="22">
        <f>Table14[[#This Row],[Qty]]-Table14[[#This Row],[Used Qty]]</f>
        <v>30.02</v>
      </c>
      <c r="I187" s="9">
        <f>Table14[[#This Row],[Balance Qty]]*Table14[[#This Row],[Rate]]</f>
        <v>48992.639999999999</v>
      </c>
      <c r="J187" s="9"/>
      <c r="K187" s="9"/>
    </row>
    <row r="188" spans="1:11" ht="29" x14ac:dyDescent="0.35">
      <c r="A188" s="6">
        <v>109</v>
      </c>
      <c r="B188" s="11" t="s">
        <v>135</v>
      </c>
      <c r="C188" s="22">
        <v>17.329999999999998</v>
      </c>
      <c r="D188" s="8" t="s">
        <v>17</v>
      </c>
      <c r="E188" s="9">
        <v>1632</v>
      </c>
      <c r="F188" s="9">
        <f>Table14[[#This Row],[Rate]]*Table14[[#This Row],[Qty]]</f>
        <v>28282.559999999998</v>
      </c>
      <c r="G188" s="22">
        <f>Table1[[#This Row],[Cumulative]]</f>
        <v>0</v>
      </c>
      <c r="H188" s="22">
        <f>Table14[[#This Row],[Qty]]-Table14[[#This Row],[Used Qty]]</f>
        <v>17.329999999999998</v>
      </c>
      <c r="I188" s="9">
        <f>Table14[[#This Row],[Balance Qty]]*Table14[[#This Row],[Rate]]</f>
        <v>28282.559999999998</v>
      </c>
      <c r="J188" s="9"/>
      <c r="K188" s="9"/>
    </row>
    <row r="189" spans="1:11" x14ac:dyDescent="0.35">
      <c r="A189" s="6">
        <v>110</v>
      </c>
      <c r="B189" s="11" t="s">
        <v>136</v>
      </c>
      <c r="C189" s="22"/>
      <c r="D189" s="8"/>
      <c r="E189" s="9"/>
      <c r="F189" s="9"/>
      <c r="G189" s="22"/>
      <c r="H189" s="22"/>
      <c r="I189" s="9">
        <f>Table14[[#This Row],[Balance Qty]]*Table14[[#This Row],[Rate]]</f>
        <v>0</v>
      </c>
      <c r="J189" s="9"/>
      <c r="K189" s="9"/>
    </row>
    <row r="190" spans="1:11" x14ac:dyDescent="0.35">
      <c r="A190" s="6"/>
      <c r="B190" s="11" t="s">
        <v>138</v>
      </c>
      <c r="C190" s="22"/>
      <c r="D190" s="8"/>
      <c r="E190" s="9"/>
      <c r="F190" s="9"/>
      <c r="G190" s="22"/>
      <c r="H190" s="22"/>
      <c r="I190" s="9">
        <f>Table14[[#This Row],[Balance Qty]]*Table14[[#This Row],[Rate]]</f>
        <v>0</v>
      </c>
      <c r="J190" s="9"/>
      <c r="K190" s="9"/>
    </row>
    <row r="191" spans="1:11" ht="29" x14ac:dyDescent="0.35">
      <c r="A191" s="6">
        <v>111</v>
      </c>
      <c r="B191" s="11" t="s">
        <v>139</v>
      </c>
      <c r="C191" s="22"/>
      <c r="D191" s="8"/>
      <c r="E191" s="9"/>
      <c r="F191" s="9"/>
      <c r="G191" s="22"/>
      <c r="H191" s="22"/>
      <c r="I191" s="9">
        <f>Table14[[#This Row],[Balance Qty]]*Table14[[#This Row],[Rate]]</f>
        <v>0</v>
      </c>
      <c r="J191" s="9"/>
      <c r="K191" s="9"/>
    </row>
    <row r="192" spans="1:11" ht="29" x14ac:dyDescent="0.35">
      <c r="A192" s="6">
        <v>112</v>
      </c>
      <c r="B192" s="11" t="s">
        <v>140</v>
      </c>
      <c r="C192" s="22"/>
      <c r="D192" s="8"/>
      <c r="E192" s="9"/>
      <c r="F192" s="9"/>
      <c r="G192" s="22"/>
      <c r="H192" s="22"/>
      <c r="I192" s="9">
        <f>Table14[[#This Row],[Balance Qty]]*Table14[[#This Row],[Rate]]</f>
        <v>0</v>
      </c>
      <c r="J192" s="9"/>
      <c r="K192" s="9"/>
    </row>
    <row r="193" spans="1:11" x14ac:dyDescent="0.35">
      <c r="A193" s="6"/>
      <c r="B193" s="11" t="s">
        <v>85</v>
      </c>
      <c r="C193" s="22"/>
      <c r="D193" s="8"/>
      <c r="E193" s="9"/>
      <c r="F193" s="9"/>
      <c r="G193" s="22"/>
      <c r="H193" s="22"/>
      <c r="I193" s="9">
        <f>Table14[[#This Row],[Balance Qty]]*Table14[[#This Row],[Rate]]</f>
        <v>0</v>
      </c>
      <c r="J193" s="9"/>
      <c r="K193" s="9"/>
    </row>
    <row r="194" spans="1:11" ht="29" x14ac:dyDescent="0.35">
      <c r="A194" s="6">
        <v>113</v>
      </c>
      <c r="B194" s="11" t="s">
        <v>141</v>
      </c>
      <c r="C194" s="22"/>
      <c r="D194" s="8"/>
      <c r="E194" s="9"/>
      <c r="F194" s="9"/>
      <c r="G194" s="22"/>
      <c r="H194" s="22"/>
      <c r="I194" s="9">
        <f>Table14[[#This Row],[Balance Qty]]*Table14[[#This Row],[Rate]]</f>
        <v>0</v>
      </c>
      <c r="J194" s="9"/>
      <c r="K194" s="9"/>
    </row>
    <row r="195" spans="1:11" ht="29" x14ac:dyDescent="0.35">
      <c r="A195" s="6">
        <v>114</v>
      </c>
      <c r="B195" s="11" t="s">
        <v>142</v>
      </c>
      <c r="C195" s="22"/>
      <c r="D195" s="8"/>
      <c r="E195" s="9"/>
      <c r="F195" s="9"/>
      <c r="G195" s="22"/>
      <c r="H195" s="22"/>
      <c r="I195" s="9">
        <f>Table14[[#This Row],[Balance Qty]]*Table14[[#This Row],[Rate]]</f>
        <v>0</v>
      </c>
      <c r="J195" s="9"/>
      <c r="K195" s="9"/>
    </row>
    <row r="196" spans="1:11" x14ac:dyDescent="0.35">
      <c r="A196" s="6"/>
      <c r="B196" s="11" t="s">
        <v>143</v>
      </c>
      <c r="C196" s="22"/>
      <c r="D196" s="8"/>
      <c r="E196" s="9"/>
      <c r="F196" s="9"/>
      <c r="G196" s="22"/>
      <c r="H196" s="22"/>
      <c r="I196" s="9">
        <f>Table14[[#This Row],[Balance Qty]]*Table14[[#This Row],[Rate]]</f>
        <v>0</v>
      </c>
      <c r="J196" s="9"/>
      <c r="K196" s="9"/>
    </row>
    <row r="197" spans="1:11" ht="29" x14ac:dyDescent="0.35">
      <c r="A197" s="6">
        <v>115</v>
      </c>
      <c r="B197" s="11" t="s">
        <v>144</v>
      </c>
      <c r="C197" s="22"/>
      <c r="D197" s="8"/>
      <c r="E197" s="9"/>
      <c r="F197" s="9"/>
      <c r="G197" s="22"/>
      <c r="H197" s="22"/>
      <c r="I197" s="9">
        <f>Table14[[#This Row],[Balance Qty]]*Table14[[#This Row],[Rate]]</f>
        <v>0</v>
      </c>
      <c r="J197" s="9"/>
      <c r="K197" s="9"/>
    </row>
    <row r="198" spans="1:11" ht="29" x14ac:dyDescent="0.35">
      <c r="A198" s="6">
        <v>116</v>
      </c>
      <c r="B198" s="11" t="s">
        <v>145</v>
      </c>
      <c r="C198" s="22"/>
      <c r="D198" s="8"/>
      <c r="E198" s="9"/>
      <c r="F198" s="9"/>
      <c r="G198" s="22"/>
      <c r="H198" s="22"/>
      <c r="I198" s="9">
        <f>Table14[[#This Row],[Balance Qty]]*Table14[[#This Row],[Rate]]</f>
        <v>0</v>
      </c>
      <c r="J198" s="9"/>
      <c r="K198" s="9"/>
    </row>
    <row r="199" spans="1:11" ht="29" x14ac:dyDescent="0.35">
      <c r="A199" s="6">
        <v>117</v>
      </c>
      <c r="B199" s="11" t="s">
        <v>146</v>
      </c>
      <c r="C199" s="22"/>
      <c r="D199" s="8"/>
      <c r="E199" s="9"/>
      <c r="F199" s="9"/>
      <c r="G199" s="22"/>
      <c r="H199" s="22"/>
      <c r="I199" s="9">
        <f>Table14[[#This Row],[Balance Qty]]*Table14[[#This Row],[Rate]]</f>
        <v>0</v>
      </c>
      <c r="J199" s="9"/>
      <c r="K199" s="9"/>
    </row>
    <row r="200" spans="1:11" ht="29" x14ac:dyDescent="0.35">
      <c r="A200" s="6">
        <v>118</v>
      </c>
      <c r="B200" s="11" t="s">
        <v>147</v>
      </c>
      <c r="C200" s="22"/>
      <c r="D200" s="8"/>
      <c r="E200" s="9"/>
      <c r="F200" s="9"/>
      <c r="G200" s="22"/>
      <c r="H200" s="22"/>
      <c r="I200" s="9">
        <f>Table14[[#This Row],[Balance Qty]]*Table14[[#This Row],[Rate]]</f>
        <v>0</v>
      </c>
      <c r="J200" s="9"/>
      <c r="K200" s="9"/>
    </row>
    <row r="201" spans="1:11" x14ac:dyDescent="0.35">
      <c r="A201" s="6"/>
      <c r="B201" s="11" t="s">
        <v>148</v>
      </c>
      <c r="C201" s="22"/>
      <c r="D201" s="8"/>
      <c r="E201" s="9"/>
      <c r="F201" s="9"/>
      <c r="G201" s="22"/>
      <c r="H201" s="22"/>
      <c r="I201" s="9">
        <f>Table14[[#This Row],[Balance Qty]]*Table14[[#This Row],[Rate]]</f>
        <v>0</v>
      </c>
      <c r="J201" s="9"/>
      <c r="K201" s="9"/>
    </row>
    <row r="202" spans="1:11" ht="29" x14ac:dyDescent="0.35">
      <c r="A202" s="6">
        <v>119</v>
      </c>
      <c r="B202" s="11" t="s">
        <v>149</v>
      </c>
      <c r="C202" s="22"/>
      <c r="D202" s="8"/>
      <c r="E202" s="9"/>
      <c r="F202" s="9"/>
      <c r="G202" s="22"/>
      <c r="H202" s="22"/>
      <c r="I202" s="9">
        <f>Table14[[#This Row],[Balance Qty]]*Table14[[#This Row],[Rate]]</f>
        <v>0</v>
      </c>
      <c r="J202" s="9"/>
      <c r="K202" s="9"/>
    </row>
    <row r="203" spans="1:11" ht="29" x14ac:dyDescent="0.35">
      <c r="A203" s="6">
        <v>120</v>
      </c>
      <c r="B203" s="11" t="s">
        <v>150</v>
      </c>
      <c r="C203" s="22"/>
      <c r="D203" s="8"/>
      <c r="E203" s="9"/>
      <c r="F203" s="9"/>
      <c r="G203" s="22"/>
      <c r="H203" s="22"/>
      <c r="I203" s="9">
        <f>Table14[[#This Row],[Balance Qty]]*Table14[[#This Row],[Rate]]</f>
        <v>0</v>
      </c>
      <c r="J203" s="9"/>
      <c r="K203" s="9"/>
    </row>
    <row r="204" spans="1:11" x14ac:dyDescent="0.35">
      <c r="A204" s="6"/>
      <c r="B204" s="11" t="s">
        <v>151</v>
      </c>
      <c r="C204" s="22"/>
      <c r="D204" s="8"/>
      <c r="E204" s="9"/>
      <c r="F204" s="9"/>
      <c r="G204" s="22"/>
      <c r="H204" s="22"/>
      <c r="I204" s="9">
        <f>Table14[[#This Row],[Balance Qty]]*Table14[[#This Row],[Rate]]</f>
        <v>0</v>
      </c>
      <c r="J204" s="9"/>
      <c r="K204" s="9"/>
    </row>
    <row r="205" spans="1:11" ht="29" x14ac:dyDescent="0.35">
      <c r="A205" s="6">
        <v>121</v>
      </c>
      <c r="B205" s="11" t="s">
        <v>152</v>
      </c>
      <c r="C205" s="22"/>
      <c r="D205" s="8"/>
      <c r="E205" s="9"/>
      <c r="F205" s="9"/>
      <c r="G205" s="22"/>
      <c r="H205" s="22"/>
      <c r="I205" s="9">
        <f>Table14[[#This Row],[Balance Qty]]*Table14[[#This Row],[Rate]]</f>
        <v>0</v>
      </c>
      <c r="J205" s="9"/>
      <c r="K205" s="9"/>
    </row>
    <row r="206" spans="1:11" ht="29" x14ac:dyDescent="0.35">
      <c r="A206" s="6">
        <v>122</v>
      </c>
      <c r="B206" s="11" t="s">
        <v>153</v>
      </c>
      <c r="C206" s="22">
        <v>453</v>
      </c>
      <c r="D206" s="8" t="s">
        <v>17</v>
      </c>
      <c r="E206" s="9">
        <v>168</v>
      </c>
      <c r="F206" s="9">
        <f>Table14[[#This Row],[Rate]]*Table14[[#This Row],[Qty]]</f>
        <v>76104</v>
      </c>
      <c r="G206" s="22">
        <f>Table1[[#This Row],[Cumulative]]</f>
        <v>0</v>
      </c>
      <c r="H206" s="22">
        <f>Table14[[#This Row],[Qty]]-Table14[[#This Row],[Used Qty]]</f>
        <v>453</v>
      </c>
      <c r="I206" s="9">
        <f>Table14[[#This Row],[Balance Qty]]*Table14[[#This Row],[Rate]]</f>
        <v>76104</v>
      </c>
      <c r="J206" s="9"/>
      <c r="K206" s="9"/>
    </row>
    <row r="207" spans="1:11" ht="29" x14ac:dyDescent="0.35">
      <c r="A207" s="6">
        <v>123</v>
      </c>
      <c r="B207" s="11" t="s">
        <v>154</v>
      </c>
      <c r="C207" s="22">
        <v>407</v>
      </c>
      <c r="D207" s="8" t="s">
        <v>17</v>
      </c>
      <c r="E207" s="9">
        <v>168</v>
      </c>
      <c r="F207" s="9">
        <f>Table14[[#This Row],[Rate]]*Table14[[#This Row],[Qty]]</f>
        <v>68376</v>
      </c>
      <c r="G207" s="22">
        <f>Table1[[#This Row],[Cumulative]]</f>
        <v>0</v>
      </c>
      <c r="H207" s="22">
        <f>Table14[[#This Row],[Qty]]-Table14[[#This Row],[Used Qty]]</f>
        <v>407</v>
      </c>
      <c r="I207" s="9">
        <f>Table14[[#This Row],[Balance Qty]]*Table14[[#This Row],[Rate]]</f>
        <v>68376</v>
      </c>
      <c r="J207" s="9"/>
      <c r="K207" s="9"/>
    </row>
    <row r="208" spans="1:11" ht="29" x14ac:dyDescent="0.35">
      <c r="A208" s="6">
        <v>124</v>
      </c>
      <c r="B208" s="11" t="s">
        <v>155</v>
      </c>
      <c r="C208" s="22">
        <v>95.28</v>
      </c>
      <c r="D208" s="8" t="s">
        <v>10</v>
      </c>
      <c r="E208" s="9">
        <v>168</v>
      </c>
      <c r="F208" s="9">
        <f>Table14[[#This Row],[Rate]]*Table14[[#This Row],[Qty]]</f>
        <v>16007.04</v>
      </c>
      <c r="G208" s="22">
        <f>Table1[[#This Row],[Cumulative]]</f>
        <v>0</v>
      </c>
      <c r="H208" s="22">
        <f>Table14[[#This Row],[Qty]]-Table14[[#This Row],[Used Qty]]</f>
        <v>95.28</v>
      </c>
      <c r="I208" s="9">
        <f>Table14[[#This Row],[Balance Qty]]*Table14[[#This Row],[Rate]]</f>
        <v>16007.04</v>
      </c>
      <c r="J208" s="9"/>
      <c r="K208" s="9"/>
    </row>
    <row r="209" spans="1:11" ht="29" x14ac:dyDescent="0.35">
      <c r="A209" s="6">
        <v>125</v>
      </c>
      <c r="B209" s="11" t="s">
        <v>156</v>
      </c>
      <c r="C209" s="22">
        <v>35.64</v>
      </c>
      <c r="D209" s="8" t="s">
        <v>10</v>
      </c>
      <c r="E209" s="9">
        <v>168</v>
      </c>
      <c r="F209" s="9">
        <f>Table14[[#This Row],[Rate]]*Table14[[#This Row],[Qty]]</f>
        <v>5987.52</v>
      </c>
      <c r="G209" s="22">
        <f>Table1[[#This Row],[Cumulative]]</f>
        <v>0</v>
      </c>
      <c r="H209" s="22">
        <f>Table14[[#This Row],[Qty]]-Table14[[#This Row],[Used Qty]]</f>
        <v>35.64</v>
      </c>
      <c r="I209" s="9">
        <f>Table14[[#This Row],[Balance Qty]]*Table14[[#This Row],[Rate]]</f>
        <v>5987.52</v>
      </c>
      <c r="J209" s="9"/>
      <c r="K209" s="9"/>
    </row>
    <row r="210" spans="1:11" ht="29" x14ac:dyDescent="0.35">
      <c r="A210" s="6">
        <v>126</v>
      </c>
      <c r="B210" s="11" t="s">
        <v>157</v>
      </c>
      <c r="C210" s="22">
        <v>8.6</v>
      </c>
      <c r="D210" s="8" t="s">
        <v>10</v>
      </c>
      <c r="E210" s="9">
        <v>168</v>
      </c>
      <c r="F210" s="9">
        <f>Table14[[#This Row],[Rate]]*Table14[[#This Row],[Qty]]</f>
        <v>1444.8</v>
      </c>
      <c r="G210" s="22">
        <f>Table1[[#This Row],[Cumulative]]</f>
        <v>0</v>
      </c>
      <c r="H210" s="22">
        <f>Table14[[#This Row],[Qty]]-Table14[[#This Row],[Used Qty]]</f>
        <v>8.6</v>
      </c>
      <c r="I210" s="9">
        <f>Table14[[#This Row],[Balance Qty]]*Table14[[#This Row],[Rate]]</f>
        <v>1444.8</v>
      </c>
      <c r="J210" s="9"/>
      <c r="K210" s="9"/>
    </row>
    <row r="211" spans="1:11" ht="29" x14ac:dyDescent="0.35">
      <c r="A211" s="6">
        <v>127</v>
      </c>
      <c r="B211" s="11" t="s">
        <v>158</v>
      </c>
      <c r="C211" s="22">
        <v>1.86</v>
      </c>
      <c r="D211" s="8" t="s">
        <v>10</v>
      </c>
      <c r="E211" s="9">
        <v>168</v>
      </c>
      <c r="F211" s="9">
        <f>Table14[[#This Row],[Rate]]*Table14[[#This Row],[Qty]]</f>
        <v>312.48</v>
      </c>
      <c r="G211" s="22">
        <f>Table1[[#This Row],[Cumulative]]</f>
        <v>0</v>
      </c>
      <c r="H211" s="22">
        <f>Table14[[#This Row],[Qty]]-Table14[[#This Row],[Used Qty]]</f>
        <v>1.86</v>
      </c>
      <c r="I211" s="9">
        <f>Table14[[#This Row],[Balance Qty]]*Table14[[#This Row],[Rate]]</f>
        <v>312.48</v>
      </c>
      <c r="J211" s="9"/>
      <c r="K211" s="9"/>
    </row>
    <row r="212" spans="1:11" ht="29" x14ac:dyDescent="0.35">
      <c r="A212" s="6">
        <v>128</v>
      </c>
      <c r="B212" s="11" t="s">
        <v>159</v>
      </c>
      <c r="C212" s="22">
        <v>42.75</v>
      </c>
      <c r="D212" s="8" t="s">
        <v>10</v>
      </c>
      <c r="E212" s="9">
        <v>168</v>
      </c>
      <c r="F212" s="9">
        <f>Table14[[#This Row],[Rate]]*Table14[[#This Row],[Qty]]</f>
        <v>7182</v>
      </c>
      <c r="G212" s="22">
        <f>Table1[[#This Row],[Cumulative]]</f>
        <v>0</v>
      </c>
      <c r="H212" s="22">
        <f>Table14[[#This Row],[Qty]]-Table14[[#This Row],[Used Qty]]</f>
        <v>42.75</v>
      </c>
      <c r="I212" s="9">
        <f>Table14[[#This Row],[Balance Qty]]*Table14[[#This Row],[Rate]]</f>
        <v>7182</v>
      </c>
      <c r="J212" s="9"/>
      <c r="K212" s="9"/>
    </row>
    <row r="213" spans="1:11" ht="29" x14ac:dyDescent="0.35">
      <c r="A213" s="6">
        <v>129</v>
      </c>
      <c r="B213" s="11" t="s">
        <v>160</v>
      </c>
      <c r="C213" s="22">
        <v>10.72</v>
      </c>
      <c r="D213" s="8" t="s">
        <v>10</v>
      </c>
      <c r="E213" s="9">
        <v>168</v>
      </c>
      <c r="F213" s="9">
        <f>Table14[[#This Row],[Rate]]*Table14[[#This Row],[Qty]]</f>
        <v>1800.96</v>
      </c>
      <c r="G213" s="22">
        <f>Table1[[#This Row],[Cumulative]]</f>
        <v>0</v>
      </c>
      <c r="H213" s="22">
        <f>Table14[[#This Row],[Qty]]-Table14[[#This Row],[Used Qty]]</f>
        <v>10.72</v>
      </c>
      <c r="I213" s="9">
        <f>Table14[[#This Row],[Balance Qty]]*Table14[[#This Row],[Rate]]</f>
        <v>1800.96</v>
      </c>
      <c r="J213" s="9"/>
      <c r="K213" s="9"/>
    </row>
    <row r="214" spans="1:11" ht="29" x14ac:dyDescent="0.35">
      <c r="A214" s="6">
        <v>130</v>
      </c>
      <c r="B214" s="11" t="s">
        <v>161</v>
      </c>
      <c r="C214" s="22">
        <v>1.33</v>
      </c>
      <c r="D214" s="8" t="s">
        <v>10</v>
      </c>
      <c r="E214" s="9">
        <v>168</v>
      </c>
      <c r="F214" s="9">
        <f>Table14[[#This Row],[Rate]]*Table14[[#This Row],[Qty]]</f>
        <v>223.44</v>
      </c>
      <c r="G214" s="22">
        <f>Table1[[#This Row],[Cumulative]]</f>
        <v>0</v>
      </c>
      <c r="H214" s="22">
        <f>Table14[[#This Row],[Qty]]-Table14[[#This Row],[Used Qty]]</f>
        <v>1.33</v>
      </c>
      <c r="I214" s="9">
        <f>Table14[[#This Row],[Balance Qty]]*Table14[[#This Row],[Rate]]</f>
        <v>223.44</v>
      </c>
      <c r="J214" s="9"/>
      <c r="K214" s="9"/>
    </row>
    <row r="215" spans="1:11" ht="29" x14ac:dyDescent="0.35">
      <c r="A215" s="6">
        <v>131</v>
      </c>
      <c r="B215" s="11" t="s">
        <v>162</v>
      </c>
      <c r="C215" s="22">
        <v>12.35</v>
      </c>
      <c r="D215" s="8" t="s">
        <v>10</v>
      </c>
      <c r="E215" s="9">
        <v>168</v>
      </c>
      <c r="F215" s="9">
        <f>Table14[[#This Row],[Rate]]*Table14[[#This Row],[Qty]]</f>
        <v>2074.7999999999997</v>
      </c>
      <c r="G215" s="22">
        <f>Table1[[#This Row],[Cumulative]]</f>
        <v>0</v>
      </c>
      <c r="H215" s="22">
        <f>Table14[[#This Row],[Qty]]-Table14[[#This Row],[Used Qty]]</f>
        <v>12.35</v>
      </c>
      <c r="I215" s="9">
        <f>Table14[[#This Row],[Balance Qty]]*Table14[[#This Row],[Rate]]</f>
        <v>2074.7999999999997</v>
      </c>
      <c r="J215" s="9"/>
      <c r="K215" s="9"/>
    </row>
    <row r="216" spans="1:11" ht="29" x14ac:dyDescent="0.35">
      <c r="A216" s="6">
        <v>132</v>
      </c>
      <c r="B216" s="11" t="s">
        <v>163</v>
      </c>
      <c r="C216" s="22">
        <v>4.68</v>
      </c>
      <c r="D216" s="8" t="s">
        <v>10</v>
      </c>
      <c r="E216" s="9">
        <v>168</v>
      </c>
      <c r="F216" s="9">
        <f>Table14[[#This Row],[Rate]]*Table14[[#This Row],[Qty]]</f>
        <v>786.24</v>
      </c>
      <c r="G216" s="22">
        <f>Table1[[#This Row],[Cumulative]]</f>
        <v>0</v>
      </c>
      <c r="H216" s="22">
        <f>Table14[[#This Row],[Qty]]-Table14[[#This Row],[Used Qty]]</f>
        <v>4.68</v>
      </c>
      <c r="I216" s="9">
        <f>Table14[[#This Row],[Balance Qty]]*Table14[[#This Row],[Rate]]</f>
        <v>786.24</v>
      </c>
      <c r="J216" s="9"/>
      <c r="K216" s="9"/>
    </row>
    <row r="217" spans="1:11" ht="29" x14ac:dyDescent="0.35">
      <c r="A217" s="6">
        <v>133</v>
      </c>
      <c r="B217" s="11" t="s">
        <v>164</v>
      </c>
      <c r="C217" s="22">
        <v>25.31</v>
      </c>
      <c r="D217" s="8" t="s">
        <v>10</v>
      </c>
      <c r="E217" s="9">
        <v>168</v>
      </c>
      <c r="F217" s="9">
        <f>Table14[[#This Row],[Rate]]*Table14[[#This Row],[Qty]]</f>
        <v>4252.08</v>
      </c>
      <c r="G217" s="22">
        <f>Table1[[#This Row],[Cumulative]]</f>
        <v>0</v>
      </c>
      <c r="H217" s="22">
        <f>Table14[[#This Row],[Qty]]-Table14[[#This Row],[Used Qty]]</f>
        <v>25.31</v>
      </c>
      <c r="I217" s="9">
        <f>Table14[[#This Row],[Balance Qty]]*Table14[[#This Row],[Rate]]</f>
        <v>4252.08</v>
      </c>
      <c r="J217" s="9"/>
      <c r="K217" s="9"/>
    </row>
    <row r="218" spans="1:11" ht="29" x14ac:dyDescent="0.35">
      <c r="A218" s="6">
        <v>134</v>
      </c>
      <c r="B218" s="11" t="s">
        <v>165</v>
      </c>
      <c r="C218" s="22">
        <v>13.02</v>
      </c>
      <c r="D218" s="8" t="s">
        <v>10</v>
      </c>
      <c r="E218" s="9">
        <v>168</v>
      </c>
      <c r="F218" s="9">
        <f>Table14[[#This Row],[Rate]]*Table14[[#This Row],[Qty]]</f>
        <v>2187.36</v>
      </c>
      <c r="G218" s="22">
        <f>Table1[[#This Row],[Cumulative]]</f>
        <v>0</v>
      </c>
      <c r="H218" s="22">
        <f>Table14[[#This Row],[Qty]]-Table14[[#This Row],[Used Qty]]</f>
        <v>13.02</v>
      </c>
      <c r="I218" s="9">
        <f>Table14[[#This Row],[Balance Qty]]*Table14[[#This Row],[Rate]]</f>
        <v>2187.36</v>
      </c>
      <c r="J218" s="9"/>
      <c r="K218" s="9"/>
    </row>
    <row r="219" spans="1:11" ht="29" x14ac:dyDescent="0.35">
      <c r="A219" s="6">
        <v>135</v>
      </c>
      <c r="B219" s="11" t="s">
        <v>166</v>
      </c>
      <c r="C219" s="22">
        <v>12.51</v>
      </c>
      <c r="D219" s="8" t="s">
        <v>10</v>
      </c>
      <c r="E219" s="9">
        <v>168</v>
      </c>
      <c r="F219" s="9">
        <f>Table14[[#This Row],[Rate]]*Table14[[#This Row],[Qty]]</f>
        <v>2101.6799999999998</v>
      </c>
      <c r="G219" s="22">
        <f>Table1[[#This Row],[Cumulative]]</f>
        <v>0</v>
      </c>
      <c r="H219" s="22">
        <f>Table14[[#This Row],[Qty]]-Table14[[#This Row],[Used Qty]]</f>
        <v>12.51</v>
      </c>
      <c r="I219" s="9">
        <f>Table14[[#This Row],[Balance Qty]]*Table14[[#This Row],[Rate]]</f>
        <v>2101.6799999999998</v>
      </c>
      <c r="J219" s="9"/>
      <c r="K219" s="9"/>
    </row>
    <row r="220" spans="1:11" ht="29" x14ac:dyDescent="0.35">
      <c r="A220" s="6">
        <v>136</v>
      </c>
      <c r="B220" s="11" t="s">
        <v>167</v>
      </c>
      <c r="C220" s="22">
        <v>33.840000000000003</v>
      </c>
      <c r="D220" s="8" t="s">
        <v>10</v>
      </c>
      <c r="E220" s="9">
        <v>168</v>
      </c>
      <c r="F220" s="9">
        <f>Table14[[#This Row],[Rate]]*Table14[[#This Row],[Qty]]</f>
        <v>5685.1200000000008</v>
      </c>
      <c r="G220" s="22">
        <f>Table1[[#This Row],[Cumulative]]</f>
        <v>0</v>
      </c>
      <c r="H220" s="22">
        <f>Table14[[#This Row],[Qty]]-Table14[[#This Row],[Used Qty]]</f>
        <v>33.840000000000003</v>
      </c>
      <c r="I220" s="9">
        <f>Table14[[#This Row],[Balance Qty]]*Table14[[#This Row],[Rate]]</f>
        <v>5685.1200000000008</v>
      </c>
      <c r="J220" s="9"/>
      <c r="K220" s="9"/>
    </row>
    <row r="221" spans="1:11" ht="29" x14ac:dyDescent="0.35">
      <c r="A221" s="6">
        <v>137</v>
      </c>
      <c r="B221" s="11" t="s">
        <v>168</v>
      </c>
      <c r="C221" s="22">
        <v>8.4499999999999993</v>
      </c>
      <c r="D221" s="8" t="s">
        <v>10</v>
      </c>
      <c r="E221" s="9">
        <v>168</v>
      </c>
      <c r="F221" s="9">
        <f>Table14[[#This Row],[Rate]]*Table14[[#This Row],[Qty]]</f>
        <v>1419.6</v>
      </c>
      <c r="G221" s="22">
        <f>Table1[[#This Row],[Cumulative]]</f>
        <v>0</v>
      </c>
      <c r="H221" s="22">
        <f>Table14[[#This Row],[Qty]]-Table14[[#This Row],[Used Qty]]</f>
        <v>8.4499999999999993</v>
      </c>
      <c r="I221" s="9">
        <f>Table14[[#This Row],[Balance Qty]]*Table14[[#This Row],[Rate]]</f>
        <v>1419.6</v>
      </c>
      <c r="J221" s="9"/>
      <c r="K221" s="9"/>
    </row>
    <row r="222" spans="1:11" ht="43.5" x14ac:dyDescent="0.35">
      <c r="A222" s="6">
        <v>138</v>
      </c>
      <c r="B222" s="11" t="s">
        <v>169</v>
      </c>
      <c r="C222" s="22"/>
      <c r="D222" s="8"/>
      <c r="E222" s="9"/>
      <c r="F222" s="9"/>
      <c r="G222" s="22"/>
      <c r="H222" s="22"/>
      <c r="I222" s="9">
        <f>Table14[[#This Row],[Balance Qty]]*Table14[[#This Row],[Rate]]</f>
        <v>0</v>
      </c>
      <c r="J222" s="9"/>
      <c r="K222" s="9"/>
    </row>
    <row r="223" spans="1:11" ht="58" x14ac:dyDescent="0.35">
      <c r="A223" s="12">
        <v>139</v>
      </c>
      <c r="B223" s="13" t="s">
        <v>170</v>
      </c>
      <c r="C223" s="24"/>
      <c r="D223" s="14"/>
      <c r="E223" s="15"/>
      <c r="F223" s="15"/>
      <c r="G223" s="24"/>
      <c r="H223" s="24"/>
      <c r="I223" s="15">
        <f>Table14[[#This Row],[Balance Qty]]*Table14[[#This Row],[Rate]]</f>
        <v>0</v>
      </c>
      <c r="J223" s="15"/>
      <c r="K223" s="15"/>
    </row>
    <row r="224" spans="1:11" x14ac:dyDescent="0.35">
      <c r="A224" s="6"/>
      <c r="B224" s="7" t="s">
        <v>197</v>
      </c>
      <c r="C224" s="22"/>
      <c r="D224" s="8"/>
      <c r="E224" s="9"/>
      <c r="F224" s="9">
        <f>Table14[[#This Row],[Rate]]*Table14[[#This Row],[Qty]]</f>
        <v>0</v>
      </c>
      <c r="G224" s="46"/>
      <c r="H224" s="22"/>
      <c r="I224" s="9">
        <f>Table14[[#This Row],[Balance Qty]]*Table14[[#This Row],[Rate]]</f>
        <v>0</v>
      </c>
      <c r="J224" s="9"/>
      <c r="K224" s="9"/>
    </row>
    <row r="225" spans="1:11" ht="29" x14ac:dyDescent="0.35">
      <c r="A225" s="12"/>
      <c r="B225" s="13" t="s">
        <v>181</v>
      </c>
      <c r="C225" s="24">
        <v>545</v>
      </c>
      <c r="D225" s="14"/>
      <c r="E225" s="15">
        <v>178.4</v>
      </c>
      <c r="F225" s="15">
        <f>Table14[[#This Row],[Rate]]*Table14[[#This Row],[Qty]]</f>
        <v>97228</v>
      </c>
      <c r="G225" s="69">
        <f>Variation!M97</f>
        <v>0</v>
      </c>
      <c r="H225" s="24">
        <f>Table14[[#This Row],[Qty]]-Table14[[#This Row],[Used Qty]]</f>
        <v>545</v>
      </c>
      <c r="I225" s="15">
        <f>Table14[[#This Row],[Balance Qty]]*Table14[[#This Row],[Rate]]</f>
        <v>97228</v>
      </c>
      <c r="J225" s="15"/>
      <c r="K225" s="15"/>
    </row>
    <row r="226" spans="1:11" s="40" customFormat="1" ht="34.5" customHeight="1" x14ac:dyDescent="0.35">
      <c r="A226" s="37"/>
      <c r="B226" s="38" t="s">
        <v>187</v>
      </c>
      <c r="C226" s="39"/>
      <c r="E226" s="5"/>
      <c r="F226" s="5">
        <f>SUBTOTAL(109,Table14[Amount])</f>
        <v>1787838.9686400003</v>
      </c>
      <c r="G226" s="39"/>
      <c r="H226" s="39"/>
      <c r="I226" s="5">
        <f>SUBTOTAL(109,Table14[Material Offsite Amount])</f>
        <v>735663.68784000014</v>
      </c>
      <c r="J226" s="5">
        <f>SUBTOTAL(109,Table14[Current Amount])</f>
        <v>0</v>
      </c>
      <c r="K226" s="5">
        <f>SUBTOTAL(109,Table14[Cumulative Amount])</f>
        <v>0</v>
      </c>
    </row>
    <row r="228" spans="1:11" x14ac:dyDescent="0.35">
      <c r="I228" s="1">
        <v>-27943.52</v>
      </c>
      <c r="K228" s="1">
        <f>Table14[[#Totals],[Material Offsite Amount]]/Table14[[#Totals],[Amount]]</f>
        <v>0.41148207458505931</v>
      </c>
    </row>
    <row r="229" spans="1:11" x14ac:dyDescent="0.35">
      <c r="I229" s="1">
        <f>Table14[[#Totals],[Material Offsite Amount]]+I228</f>
        <v>707720.16784000013</v>
      </c>
    </row>
  </sheetData>
  <printOptions horizontalCentered="1"/>
  <pageMargins left="0.7" right="0.7" top="0.75" bottom="0.75" header="0.3" footer="0.3"/>
  <pageSetup paperSize="8" scale="65"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59"/>
  <sheetViews>
    <sheetView view="pageBreakPreview" zoomScale="60" zoomScaleNormal="70" workbookViewId="0">
      <pane xSplit="1" ySplit="3" topLeftCell="B40" activePane="bottomRight" state="frozen"/>
      <selection pane="topRight" activeCell="B1" sqref="B1"/>
      <selection pane="bottomLeft" activeCell="A4" sqref="A4"/>
      <selection pane="bottomRight" activeCell="J46" sqref="J46"/>
    </sheetView>
  </sheetViews>
  <sheetFormatPr defaultColWidth="9.1796875" defaultRowHeight="15.5" x14ac:dyDescent="0.35"/>
  <cols>
    <col min="1" max="1" width="9.1796875" style="89"/>
    <col min="2" max="2" width="24.26953125" style="89" customWidth="1"/>
    <col min="3" max="3" width="44.81640625" style="89" customWidth="1"/>
    <col min="4" max="4" width="17.1796875" style="89" bestFit="1" customWidth="1"/>
    <col min="5" max="5" width="9.1796875" style="89"/>
    <col min="6" max="6" width="16.26953125" style="89" bestFit="1" customWidth="1"/>
    <col min="7" max="7" width="23.81640625" style="89" bestFit="1" customWidth="1"/>
    <col min="8" max="8" width="14.453125" style="89" bestFit="1" customWidth="1"/>
    <col min="9" max="9" width="13" style="89" bestFit="1" customWidth="1"/>
    <col min="10" max="10" width="22.81640625" style="89" bestFit="1" customWidth="1"/>
    <col min="11" max="12" width="20.7265625" style="89" bestFit="1" customWidth="1"/>
    <col min="13" max="13" width="21.453125" style="89" bestFit="1" customWidth="1"/>
    <col min="14" max="14" width="9.1796875" style="89"/>
    <col min="15" max="15" width="9.81640625" style="89" bestFit="1" customWidth="1"/>
    <col min="16" max="16384" width="9.1796875" style="89"/>
  </cols>
  <sheetData>
    <row r="2" spans="2:13" ht="21" x14ac:dyDescent="0.5">
      <c r="B2" s="259" t="s">
        <v>285</v>
      </c>
      <c r="C2" s="261" t="s">
        <v>286</v>
      </c>
      <c r="D2" s="259" t="s">
        <v>223</v>
      </c>
      <c r="E2" s="259" t="s">
        <v>3</v>
      </c>
      <c r="F2" s="259" t="s">
        <v>196</v>
      </c>
      <c r="G2" s="259" t="s">
        <v>281</v>
      </c>
      <c r="H2" s="258" t="s">
        <v>2</v>
      </c>
      <c r="I2" s="258"/>
      <c r="J2" s="258"/>
      <c r="K2" s="258" t="s">
        <v>6</v>
      </c>
      <c r="L2" s="258"/>
      <c r="M2" s="258"/>
    </row>
    <row r="3" spans="2:13" ht="39" customHeight="1" x14ac:dyDescent="0.35">
      <c r="B3" s="260"/>
      <c r="C3" s="262"/>
      <c r="D3" s="260"/>
      <c r="E3" s="260"/>
      <c r="F3" s="260"/>
      <c r="G3" s="260"/>
      <c r="H3" s="112" t="s">
        <v>282</v>
      </c>
      <c r="I3" s="112" t="s">
        <v>283</v>
      </c>
      <c r="J3" s="112" t="s">
        <v>284</v>
      </c>
      <c r="K3" s="112" t="s">
        <v>282</v>
      </c>
      <c r="L3" s="112" t="s">
        <v>283</v>
      </c>
      <c r="M3" s="112" t="s">
        <v>284</v>
      </c>
    </row>
    <row r="4" spans="2:13" ht="36" customHeight="1" x14ac:dyDescent="0.35">
      <c r="B4" s="255" t="s">
        <v>224</v>
      </c>
      <c r="C4" s="108" t="s">
        <v>225</v>
      </c>
      <c r="D4" s="109"/>
      <c r="E4" s="109"/>
      <c r="F4" s="109"/>
      <c r="G4" s="110">
        <f>SUM(G5:G11)</f>
        <v>4165.433140000001</v>
      </c>
      <c r="H4" s="111"/>
      <c r="I4" s="111"/>
      <c r="J4" s="110"/>
      <c r="K4" s="110">
        <f>SUM(K5:K11)</f>
        <v>4160.8917000000074</v>
      </c>
      <c r="L4" s="110">
        <f>SUM(L5:L11)</f>
        <v>0</v>
      </c>
      <c r="M4" s="110">
        <f>SUM(M5:M11)</f>
        <v>4160.8917000000074</v>
      </c>
    </row>
    <row r="5" spans="2:13" ht="31" x14ac:dyDescent="0.35">
      <c r="B5" s="256"/>
      <c r="C5" s="92" t="s">
        <v>226</v>
      </c>
      <c r="D5" s="93">
        <v>-18.670000000000002</v>
      </c>
      <c r="E5" s="94" t="s">
        <v>17</v>
      </c>
      <c r="F5" s="93">
        <v>3097.49</v>
      </c>
      <c r="G5" s="93">
        <f t="shared" ref="G5:G11" si="0">+D5*F5</f>
        <v>-57830.138299999999</v>
      </c>
      <c r="H5" s="93">
        <v>-18.670000000000002</v>
      </c>
      <c r="I5" s="93"/>
      <c r="J5" s="93">
        <f>+H5+I5</f>
        <v>-18.670000000000002</v>
      </c>
      <c r="K5" s="93">
        <f t="shared" ref="K5:K11" si="1">+H5*F5</f>
        <v>-57830.138299999999</v>
      </c>
      <c r="L5" s="93">
        <f t="shared" ref="L5:L11" si="2">+I5*F5</f>
        <v>0</v>
      </c>
      <c r="M5" s="93">
        <f t="shared" ref="M5:M11" si="3">+J5*F5</f>
        <v>-57830.138299999999</v>
      </c>
    </row>
    <row r="6" spans="2:13" x14ac:dyDescent="0.35">
      <c r="B6" s="256"/>
      <c r="C6" s="95" t="s">
        <v>227</v>
      </c>
      <c r="D6" s="96">
        <v>-34.15</v>
      </c>
      <c r="E6" s="97" t="s">
        <v>17</v>
      </c>
      <c r="F6" s="96">
        <v>603</v>
      </c>
      <c r="G6" s="96">
        <f t="shared" si="0"/>
        <v>-20592.45</v>
      </c>
      <c r="H6" s="96">
        <v>-34.15</v>
      </c>
      <c r="I6" s="96"/>
      <c r="J6" s="93">
        <f t="shared" ref="J6:J11" si="4">+H6+I6</f>
        <v>-34.15</v>
      </c>
      <c r="K6" s="93">
        <f t="shared" si="1"/>
        <v>-20592.45</v>
      </c>
      <c r="L6" s="93">
        <f t="shared" si="2"/>
        <v>0</v>
      </c>
      <c r="M6" s="93">
        <f t="shared" si="3"/>
        <v>-20592.45</v>
      </c>
    </row>
    <row r="7" spans="2:13" x14ac:dyDescent="0.35">
      <c r="B7" s="256"/>
      <c r="C7" s="95" t="s">
        <v>228</v>
      </c>
      <c r="D7" s="96">
        <v>-8.8217999999999996</v>
      </c>
      <c r="E7" s="97" t="s">
        <v>35</v>
      </c>
      <c r="F7" s="96">
        <v>645</v>
      </c>
      <c r="G7" s="96">
        <f t="shared" si="0"/>
        <v>-5690.0609999999997</v>
      </c>
      <c r="H7" s="96">
        <v>-8.82</v>
      </c>
      <c r="I7" s="96"/>
      <c r="J7" s="93">
        <f t="shared" si="4"/>
        <v>-8.82</v>
      </c>
      <c r="K7" s="93">
        <f t="shared" si="1"/>
        <v>-5688.9000000000005</v>
      </c>
      <c r="L7" s="93">
        <f t="shared" si="2"/>
        <v>0</v>
      </c>
      <c r="M7" s="93">
        <f t="shared" si="3"/>
        <v>-5688.9000000000005</v>
      </c>
    </row>
    <row r="8" spans="2:13" x14ac:dyDescent="0.35">
      <c r="B8" s="256"/>
      <c r="C8" s="95" t="s">
        <v>229</v>
      </c>
      <c r="D8" s="96">
        <v>22.482400000000002</v>
      </c>
      <c r="E8" s="97" t="s">
        <v>36</v>
      </c>
      <c r="F8" s="96">
        <v>463</v>
      </c>
      <c r="G8" s="96">
        <f t="shared" si="0"/>
        <v>10409.351200000001</v>
      </c>
      <c r="H8" s="96">
        <v>22.48</v>
      </c>
      <c r="I8" s="96"/>
      <c r="J8" s="93">
        <f t="shared" si="4"/>
        <v>22.48</v>
      </c>
      <c r="K8" s="93">
        <f t="shared" si="1"/>
        <v>10408.24</v>
      </c>
      <c r="L8" s="93">
        <f t="shared" si="2"/>
        <v>0</v>
      </c>
      <c r="M8" s="93">
        <f t="shared" si="3"/>
        <v>10408.24</v>
      </c>
    </row>
    <row r="9" spans="2:13" x14ac:dyDescent="0.35">
      <c r="B9" s="256"/>
      <c r="C9" s="95" t="s">
        <v>230</v>
      </c>
      <c r="D9" s="96">
        <v>34.194600000000001</v>
      </c>
      <c r="E9" s="97" t="s">
        <v>17</v>
      </c>
      <c r="F9" s="96">
        <v>1165</v>
      </c>
      <c r="G9" s="96">
        <f t="shared" si="0"/>
        <v>39836.709000000003</v>
      </c>
      <c r="H9" s="96">
        <v>34.19</v>
      </c>
      <c r="I9" s="96"/>
      <c r="J9" s="93">
        <f t="shared" si="4"/>
        <v>34.19</v>
      </c>
      <c r="K9" s="93">
        <f t="shared" si="1"/>
        <v>39831.35</v>
      </c>
      <c r="L9" s="93">
        <f t="shared" si="2"/>
        <v>0</v>
      </c>
      <c r="M9" s="93">
        <f t="shared" si="3"/>
        <v>39831.35</v>
      </c>
    </row>
    <row r="10" spans="2:13" x14ac:dyDescent="0.35">
      <c r="B10" s="256"/>
      <c r="C10" s="95" t="s">
        <v>231</v>
      </c>
      <c r="D10" s="96">
        <v>13.48944</v>
      </c>
      <c r="E10" s="97" t="s">
        <v>35</v>
      </c>
      <c r="F10" s="96">
        <v>1371</v>
      </c>
      <c r="G10" s="96">
        <f t="shared" si="0"/>
        <v>18494.022239999998</v>
      </c>
      <c r="H10" s="96">
        <v>13.49</v>
      </c>
      <c r="I10" s="96"/>
      <c r="J10" s="93">
        <f t="shared" si="4"/>
        <v>13.49</v>
      </c>
      <c r="K10" s="93">
        <f t="shared" si="1"/>
        <v>18494.79</v>
      </c>
      <c r="L10" s="93">
        <f t="shared" si="2"/>
        <v>0</v>
      </c>
      <c r="M10" s="93">
        <f t="shared" si="3"/>
        <v>18494.79</v>
      </c>
    </row>
    <row r="11" spans="2:13" ht="31" x14ac:dyDescent="0.35">
      <c r="B11" s="257"/>
      <c r="C11" s="98" t="s">
        <v>232</v>
      </c>
      <c r="D11" s="99">
        <v>1</v>
      </c>
      <c r="E11" s="100" t="s">
        <v>233</v>
      </c>
      <c r="F11" s="99">
        <v>19538</v>
      </c>
      <c r="G11" s="99">
        <f t="shared" si="0"/>
        <v>19538</v>
      </c>
      <c r="H11" s="99">
        <v>1</v>
      </c>
      <c r="I11" s="99"/>
      <c r="J11" s="101">
        <f t="shared" si="4"/>
        <v>1</v>
      </c>
      <c r="K11" s="101">
        <f t="shared" si="1"/>
        <v>19538</v>
      </c>
      <c r="L11" s="101">
        <f t="shared" si="2"/>
        <v>0</v>
      </c>
      <c r="M11" s="101">
        <f t="shared" si="3"/>
        <v>19538</v>
      </c>
    </row>
    <row r="12" spans="2:13" ht="31" x14ac:dyDescent="0.35">
      <c r="B12" s="255" t="s">
        <v>234</v>
      </c>
      <c r="C12" s="108" t="s">
        <v>235</v>
      </c>
      <c r="D12" s="109"/>
      <c r="E12" s="109"/>
      <c r="F12" s="109"/>
      <c r="G12" s="110">
        <f>SUM(G13:G15)</f>
        <v>125306.36099999999</v>
      </c>
      <c r="H12" s="111"/>
      <c r="I12" s="111"/>
      <c r="J12" s="110"/>
      <c r="K12" s="110">
        <f>SUM(K13:K15)</f>
        <v>67650</v>
      </c>
      <c r="L12" s="110">
        <f>SUM(L13:L15)</f>
        <v>4510</v>
      </c>
      <c r="M12" s="110">
        <f>SUM(M13:M15)</f>
        <v>72160</v>
      </c>
    </row>
    <row r="13" spans="2:13" ht="31" x14ac:dyDescent="0.35">
      <c r="B13" s="256"/>
      <c r="C13" s="102" t="s">
        <v>236</v>
      </c>
      <c r="D13" s="101">
        <v>259.01099999999997</v>
      </c>
      <c r="E13" s="103" t="s">
        <v>17</v>
      </c>
      <c r="F13" s="101">
        <v>451</v>
      </c>
      <c r="G13" s="99">
        <f>+D13*F13</f>
        <v>116813.96099999998</v>
      </c>
      <c r="H13" s="101">
        <v>150</v>
      </c>
      <c r="I13" s="274">
        <v>10</v>
      </c>
      <c r="J13" s="101">
        <f>+H13+I13</f>
        <v>160</v>
      </c>
      <c r="K13" s="101">
        <f>+H13*F13</f>
        <v>67650</v>
      </c>
      <c r="L13" s="101">
        <f>+I13*F13</f>
        <v>4510</v>
      </c>
      <c r="M13" s="101">
        <f>+J13*F13</f>
        <v>72160</v>
      </c>
    </row>
    <row r="14" spans="2:13" ht="31" x14ac:dyDescent="0.35">
      <c r="B14" s="256"/>
      <c r="C14" s="102" t="s">
        <v>237</v>
      </c>
      <c r="D14" s="101">
        <v>25.2</v>
      </c>
      <c r="E14" s="103" t="s">
        <v>10</v>
      </c>
      <c r="F14" s="101">
        <v>233</v>
      </c>
      <c r="G14" s="99">
        <f>+D14*F14</f>
        <v>5871.5999999999995</v>
      </c>
      <c r="H14" s="101"/>
      <c r="I14" s="101"/>
      <c r="J14" s="101">
        <f t="shared" ref="J14:J15" si="5">+H14+I14</f>
        <v>0</v>
      </c>
      <c r="K14" s="101">
        <f>+H14*F14</f>
        <v>0</v>
      </c>
      <c r="L14" s="101">
        <f>+I14*F14</f>
        <v>0</v>
      </c>
      <c r="M14" s="101">
        <f>+J14*F14</f>
        <v>0</v>
      </c>
    </row>
    <row r="15" spans="2:13" ht="31" x14ac:dyDescent="0.35">
      <c r="B15" s="256"/>
      <c r="C15" s="102" t="s">
        <v>238</v>
      </c>
      <c r="D15" s="101">
        <v>28.8</v>
      </c>
      <c r="E15" s="103" t="s">
        <v>10</v>
      </c>
      <c r="F15" s="101">
        <v>91</v>
      </c>
      <c r="G15" s="99">
        <f>+D15*F15</f>
        <v>2620.8000000000002</v>
      </c>
      <c r="H15" s="101"/>
      <c r="I15" s="101"/>
      <c r="J15" s="101">
        <f t="shared" si="5"/>
        <v>0</v>
      </c>
      <c r="K15" s="101">
        <f>+H15*F15</f>
        <v>0</v>
      </c>
      <c r="L15" s="101">
        <f>+I15*F15</f>
        <v>0</v>
      </c>
      <c r="M15" s="101">
        <f>+J15*F15</f>
        <v>0</v>
      </c>
    </row>
    <row r="16" spans="2:13" ht="46.5" x14ac:dyDescent="0.35">
      <c r="B16" s="255" t="s">
        <v>239</v>
      </c>
      <c r="C16" s="108" t="s">
        <v>240</v>
      </c>
      <c r="D16" s="109"/>
      <c r="E16" s="109"/>
      <c r="F16" s="109"/>
      <c r="G16" s="110">
        <f>SUM(G18:G30)</f>
        <v>164783.09519999998</v>
      </c>
      <c r="H16" s="111"/>
      <c r="I16" s="111"/>
      <c r="J16" s="110"/>
      <c r="K16" s="110">
        <f>SUM(K18:K30)</f>
        <v>160184.05919999999</v>
      </c>
      <c r="L16" s="110">
        <f>SUM(L18:L30)</f>
        <v>0</v>
      </c>
      <c r="M16" s="110">
        <f>SUM(M18:M30)</f>
        <v>160184.05919999999</v>
      </c>
    </row>
    <row r="17" spans="2:13" x14ac:dyDescent="0.35">
      <c r="B17" s="256"/>
      <c r="C17" s="104" t="s">
        <v>241</v>
      </c>
      <c r="D17" s="101"/>
      <c r="E17" s="103"/>
      <c r="F17" s="101"/>
      <c r="G17" s="99"/>
      <c r="H17" s="101"/>
      <c r="I17" s="101"/>
      <c r="J17" s="101"/>
      <c r="K17" s="101"/>
      <c r="L17" s="101"/>
      <c r="M17" s="101"/>
    </row>
    <row r="18" spans="2:13" x14ac:dyDescent="0.35">
      <c r="B18" s="256"/>
      <c r="C18" s="102" t="s">
        <v>242</v>
      </c>
      <c r="D18" s="101">
        <v>-64</v>
      </c>
      <c r="E18" s="103" t="s">
        <v>10</v>
      </c>
      <c r="F18" s="101">
        <v>699.06</v>
      </c>
      <c r="G18" s="99">
        <f t="shared" ref="G18:G23" si="6">+D18*F18</f>
        <v>-44739.839999999997</v>
      </c>
      <c r="H18" s="101">
        <v>-64</v>
      </c>
      <c r="I18" s="101"/>
      <c r="J18" s="101">
        <f t="shared" ref="J18:J30" si="7">+H18+I18</f>
        <v>-64</v>
      </c>
      <c r="K18" s="101">
        <f t="shared" ref="K18:K23" si="8">+H18*F18</f>
        <v>-44739.839999999997</v>
      </c>
      <c r="L18" s="101">
        <f t="shared" ref="L18:L23" si="9">+I18*F18</f>
        <v>0</v>
      </c>
      <c r="M18" s="101">
        <f t="shared" ref="M18:M23" si="10">+J18*F18</f>
        <v>-44739.839999999997</v>
      </c>
    </row>
    <row r="19" spans="2:13" x14ac:dyDescent="0.35">
      <c r="B19" s="256"/>
      <c r="C19" s="102" t="s">
        <v>243</v>
      </c>
      <c r="D19" s="101">
        <v>-7.8</v>
      </c>
      <c r="E19" s="103" t="s">
        <v>10</v>
      </c>
      <c r="F19" s="101">
        <v>619.74</v>
      </c>
      <c r="G19" s="99">
        <f t="shared" si="6"/>
        <v>-4833.9719999999998</v>
      </c>
      <c r="H19" s="101"/>
      <c r="I19" s="101"/>
      <c r="J19" s="101">
        <f t="shared" si="7"/>
        <v>0</v>
      </c>
      <c r="K19" s="101">
        <f t="shared" si="8"/>
        <v>0</v>
      </c>
      <c r="L19" s="101">
        <f t="shared" si="9"/>
        <v>0</v>
      </c>
      <c r="M19" s="101">
        <f t="shared" si="10"/>
        <v>0</v>
      </c>
    </row>
    <row r="20" spans="2:13" ht="31" x14ac:dyDescent="0.35">
      <c r="B20" s="256"/>
      <c r="C20" s="102" t="s">
        <v>244</v>
      </c>
      <c r="D20" s="101">
        <v>-31.1</v>
      </c>
      <c r="E20" s="103" t="s">
        <v>10</v>
      </c>
      <c r="F20" s="101">
        <v>491.9</v>
      </c>
      <c r="G20" s="99">
        <f t="shared" si="6"/>
        <v>-15298.09</v>
      </c>
      <c r="H20" s="101">
        <v>-31.1</v>
      </c>
      <c r="I20" s="101"/>
      <c r="J20" s="101">
        <f t="shared" si="7"/>
        <v>-31.1</v>
      </c>
      <c r="K20" s="101">
        <f t="shared" si="8"/>
        <v>-15298.09</v>
      </c>
      <c r="L20" s="101">
        <f t="shared" si="9"/>
        <v>0</v>
      </c>
      <c r="M20" s="101">
        <f t="shared" si="10"/>
        <v>-15298.09</v>
      </c>
    </row>
    <row r="21" spans="2:13" ht="31" x14ac:dyDescent="0.35">
      <c r="B21" s="256"/>
      <c r="C21" s="102" t="s">
        <v>245</v>
      </c>
      <c r="D21" s="101">
        <v>-31.56</v>
      </c>
      <c r="E21" s="103" t="s">
        <v>10</v>
      </c>
      <c r="F21" s="101">
        <v>491.9</v>
      </c>
      <c r="G21" s="99">
        <f t="shared" si="6"/>
        <v>-15524.363999999998</v>
      </c>
      <c r="H21" s="101">
        <v>-31.56</v>
      </c>
      <c r="I21" s="101"/>
      <c r="J21" s="101">
        <f t="shared" si="7"/>
        <v>-31.56</v>
      </c>
      <c r="K21" s="101">
        <f t="shared" si="8"/>
        <v>-15524.363999999998</v>
      </c>
      <c r="L21" s="101">
        <f t="shared" si="9"/>
        <v>0</v>
      </c>
      <c r="M21" s="101">
        <f t="shared" si="10"/>
        <v>-15524.363999999998</v>
      </c>
    </row>
    <row r="22" spans="2:13" ht="31" x14ac:dyDescent="0.35">
      <c r="B22" s="256"/>
      <c r="C22" s="102" t="s">
        <v>246</v>
      </c>
      <c r="D22" s="101">
        <v>-31.56</v>
      </c>
      <c r="E22" s="103" t="s">
        <v>10</v>
      </c>
      <c r="F22" s="101">
        <v>491.9</v>
      </c>
      <c r="G22" s="99">
        <f t="shared" si="6"/>
        <v>-15524.363999999998</v>
      </c>
      <c r="H22" s="101">
        <v>-31.56</v>
      </c>
      <c r="I22" s="101"/>
      <c r="J22" s="101">
        <f t="shared" si="7"/>
        <v>-31.56</v>
      </c>
      <c r="K22" s="101">
        <f t="shared" si="8"/>
        <v>-15524.363999999998</v>
      </c>
      <c r="L22" s="101">
        <f t="shared" si="9"/>
        <v>0</v>
      </c>
      <c r="M22" s="101">
        <f t="shared" si="10"/>
        <v>-15524.363999999998</v>
      </c>
    </row>
    <row r="23" spans="2:13" ht="31" x14ac:dyDescent="0.35">
      <c r="B23" s="256"/>
      <c r="C23" s="102" t="s">
        <v>247</v>
      </c>
      <c r="D23" s="101">
        <v>-31.56</v>
      </c>
      <c r="E23" s="103" t="s">
        <v>10</v>
      </c>
      <c r="F23" s="101">
        <v>491.9</v>
      </c>
      <c r="G23" s="99">
        <f t="shared" si="6"/>
        <v>-15524.363999999998</v>
      </c>
      <c r="H23" s="101">
        <v>-31.56</v>
      </c>
      <c r="I23" s="101"/>
      <c r="J23" s="101">
        <f t="shared" si="7"/>
        <v>-31.56</v>
      </c>
      <c r="K23" s="101">
        <f t="shared" si="8"/>
        <v>-15524.363999999998</v>
      </c>
      <c r="L23" s="101">
        <f t="shared" si="9"/>
        <v>0</v>
      </c>
      <c r="M23" s="101">
        <f t="shared" si="10"/>
        <v>-15524.363999999998</v>
      </c>
    </row>
    <row r="24" spans="2:13" x14ac:dyDescent="0.35">
      <c r="B24" s="256"/>
      <c r="C24" s="104" t="s">
        <v>248</v>
      </c>
      <c r="D24" s="101"/>
      <c r="E24" s="103"/>
      <c r="F24" s="101"/>
      <c r="G24" s="99"/>
      <c r="H24" s="101"/>
      <c r="I24" s="101"/>
      <c r="J24" s="101"/>
      <c r="K24" s="101"/>
      <c r="L24" s="101"/>
      <c r="M24" s="101"/>
    </row>
    <row r="25" spans="2:13" x14ac:dyDescent="0.35">
      <c r="B25" s="256"/>
      <c r="C25" s="102" t="s">
        <v>249</v>
      </c>
      <c r="D25" s="101">
        <v>64</v>
      </c>
      <c r="E25" s="103" t="s">
        <v>10</v>
      </c>
      <c r="F25" s="101">
        <v>2080.4499999999998</v>
      </c>
      <c r="G25" s="99">
        <f t="shared" ref="G25:G30" si="11">+D25*F25</f>
        <v>133148.79999999999</v>
      </c>
      <c r="H25" s="101">
        <v>64</v>
      </c>
      <c r="I25" s="101"/>
      <c r="J25" s="101">
        <f t="shared" si="7"/>
        <v>64</v>
      </c>
      <c r="K25" s="101">
        <f t="shared" ref="K25:K30" si="12">+H25*F25</f>
        <v>133148.79999999999</v>
      </c>
      <c r="L25" s="101">
        <f t="shared" ref="L25:L30" si="13">+I25*F25</f>
        <v>0</v>
      </c>
      <c r="M25" s="101">
        <f t="shared" ref="M25:M30" si="14">+J25*F25</f>
        <v>133148.79999999999</v>
      </c>
    </row>
    <row r="26" spans="2:13" ht="31" x14ac:dyDescent="0.35">
      <c r="B26" s="256"/>
      <c r="C26" s="102" t="s">
        <v>250</v>
      </c>
      <c r="D26" s="101">
        <v>7.8</v>
      </c>
      <c r="E26" s="103" t="s">
        <v>10</v>
      </c>
      <c r="F26" s="101">
        <v>1209.3599999999999</v>
      </c>
      <c r="G26" s="99">
        <f t="shared" si="11"/>
        <v>9433.0079999999998</v>
      </c>
      <c r="H26" s="101"/>
      <c r="I26" s="101"/>
      <c r="J26" s="101">
        <f t="shared" si="7"/>
        <v>0</v>
      </c>
      <c r="K26" s="101">
        <f t="shared" si="12"/>
        <v>0</v>
      </c>
      <c r="L26" s="101">
        <f t="shared" si="13"/>
        <v>0</v>
      </c>
      <c r="M26" s="101">
        <f t="shared" si="14"/>
        <v>0</v>
      </c>
    </row>
    <row r="27" spans="2:13" ht="31" x14ac:dyDescent="0.35">
      <c r="B27" s="256"/>
      <c r="C27" s="102" t="s">
        <v>251</v>
      </c>
      <c r="D27" s="101">
        <v>31.1</v>
      </c>
      <c r="E27" s="103" t="s">
        <v>10</v>
      </c>
      <c r="F27" s="101">
        <v>1062.54</v>
      </c>
      <c r="G27" s="99">
        <f t="shared" si="11"/>
        <v>33044.993999999999</v>
      </c>
      <c r="H27" s="101">
        <v>31.1</v>
      </c>
      <c r="I27" s="101"/>
      <c r="J27" s="101">
        <f t="shared" si="7"/>
        <v>31.1</v>
      </c>
      <c r="K27" s="101">
        <f t="shared" si="12"/>
        <v>33044.993999999999</v>
      </c>
      <c r="L27" s="101">
        <f t="shared" si="13"/>
        <v>0</v>
      </c>
      <c r="M27" s="101">
        <f t="shared" si="14"/>
        <v>33044.993999999999</v>
      </c>
    </row>
    <row r="28" spans="2:13" ht="31" x14ac:dyDescent="0.35">
      <c r="B28" s="256"/>
      <c r="C28" s="102" t="s">
        <v>252</v>
      </c>
      <c r="D28" s="101">
        <v>31.56</v>
      </c>
      <c r="E28" s="103" t="s">
        <v>10</v>
      </c>
      <c r="F28" s="101">
        <v>1062.54</v>
      </c>
      <c r="G28" s="99">
        <f t="shared" si="11"/>
        <v>33533.7624</v>
      </c>
      <c r="H28" s="101">
        <v>31.56</v>
      </c>
      <c r="I28" s="101"/>
      <c r="J28" s="101">
        <f t="shared" si="7"/>
        <v>31.56</v>
      </c>
      <c r="K28" s="101">
        <f t="shared" si="12"/>
        <v>33533.7624</v>
      </c>
      <c r="L28" s="101">
        <f t="shared" si="13"/>
        <v>0</v>
      </c>
      <c r="M28" s="101">
        <f t="shared" si="14"/>
        <v>33533.7624</v>
      </c>
    </row>
    <row r="29" spans="2:13" ht="31" x14ac:dyDescent="0.35">
      <c r="B29" s="256"/>
      <c r="C29" s="102" t="s">
        <v>253</v>
      </c>
      <c r="D29" s="101">
        <v>31.56</v>
      </c>
      <c r="E29" s="103" t="s">
        <v>10</v>
      </c>
      <c r="F29" s="101">
        <v>1062.54</v>
      </c>
      <c r="G29" s="99">
        <f t="shared" si="11"/>
        <v>33533.7624</v>
      </c>
      <c r="H29" s="101">
        <v>31.56</v>
      </c>
      <c r="I29" s="101"/>
      <c r="J29" s="101">
        <f t="shared" si="7"/>
        <v>31.56</v>
      </c>
      <c r="K29" s="101">
        <f t="shared" si="12"/>
        <v>33533.7624</v>
      </c>
      <c r="L29" s="101">
        <f t="shared" si="13"/>
        <v>0</v>
      </c>
      <c r="M29" s="101">
        <f t="shared" si="14"/>
        <v>33533.7624</v>
      </c>
    </row>
    <row r="30" spans="2:13" ht="31" x14ac:dyDescent="0.35">
      <c r="B30" s="256"/>
      <c r="C30" s="102" t="s">
        <v>254</v>
      </c>
      <c r="D30" s="101">
        <v>31.56</v>
      </c>
      <c r="E30" s="103" t="s">
        <v>10</v>
      </c>
      <c r="F30" s="101">
        <v>1062.54</v>
      </c>
      <c r="G30" s="99">
        <f t="shared" si="11"/>
        <v>33533.7624</v>
      </c>
      <c r="H30" s="101">
        <v>31.56</v>
      </c>
      <c r="I30" s="101"/>
      <c r="J30" s="101">
        <f t="shared" si="7"/>
        <v>31.56</v>
      </c>
      <c r="K30" s="101">
        <f t="shared" si="12"/>
        <v>33533.7624</v>
      </c>
      <c r="L30" s="101">
        <f t="shared" si="13"/>
        <v>0</v>
      </c>
      <c r="M30" s="101">
        <f t="shared" si="14"/>
        <v>33533.7624</v>
      </c>
    </row>
    <row r="31" spans="2:13" ht="46.5" x14ac:dyDescent="0.35">
      <c r="B31" s="255" t="s">
        <v>255</v>
      </c>
      <c r="C31" s="108" t="s">
        <v>256</v>
      </c>
      <c r="D31" s="109"/>
      <c r="E31" s="109"/>
      <c r="F31" s="109"/>
      <c r="G31" s="110">
        <f>SUM(G32:G41)</f>
        <v>98788.930465594865</v>
      </c>
      <c r="H31" s="111"/>
      <c r="I31" s="111"/>
      <c r="J31" s="110"/>
      <c r="K31" s="110">
        <f>SUM(K32:K41)</f>
        <v>98788.930465594865</v>
      </c>
      <c r="L31" s="110">
        <f>SUM(L32:L41)</f>
        <v>0</v>
      </c>
      <c r="M31" s="110">
        <f>SUM(M32:M41)</f>
        <v>98788.930465594865</v>
      </c>
    </row>
    <row r="32" spans="2:13" x14ac:dyDescent="0.35">
      <c r="B32" s="256"/>
      <c r="C32" s="104" t="s">
        <v>257</v>
      </c>
      <c r="D32" s="101"/>
      <c r="E32" s="103"/>
      <c r="F32" s="101"/>
      <c r="G32" s="99"/>
      <c r="H32" s="101"/>
      <c r="I32" s="101"/>
      <c r="J32" s="101"/>
      <c r="K32" s="101"/>
      <c r="L32" s="101"/>
      <c r="M32" s="101"/>
    </row>
    <row r="33" spans="2:16" ht="46.5" x14ac:dyDescent="0.35">
      <c r="B33" s="256"/>
      <c r="C33" s="102" t="s">
        <v>258</v>
      </c>
      <c r="D33" s="101">
        <v>-31.1</v>
      </c>
      <c r="E33" s="103" t="s">
        <v>10</v>
      </c>
      <c r="F33" s="101">
        <v>1062.54</v>
      </c>
      <c r="G33" s="101">
        <f>+D33*F33</f>
        <v>-33044.993999999999</v>
      </c>
      <c r="H33" s="101">
        <v>-31.1</v>
      </c>
      <c r="I33" s="101"/>
      <c r="J33" s="101">
        <f t="shared" ref="J33:J44" si="15">+H33+I33</f>
        <v>-31.1</v>
      </c>
      <c r="K33" s="101">
        <f>+H33*F33</f>
        <v>-33044.993999999999</v>
      </c>
      <c r="L33" s="101">
        <f>+I33*F33</f>
        <v>0</v>
      </c>
      <c r="M33" s="101">
        <f>+J33*F33</f>
        <v>-33044.993999999999</v>
      </c>
    </row>
    <row r="34" spans="2:16" ht="46.5" x14ac:dyDescent="0.35">
      <c r="B34" s="256"/>
      <c r="C34" s="102" t="s">
        <v>259</v>
      </c>
      <c r="D34" s="101">
        <v>-31.56</v>
      </c>
      <c r="E34" s="103" t="s">
        <v>10</v>
      </c>
      <c r="F34" s="101">
        <v>1062.54</v>
      </c>
      <c r="G34" s="101">
        <f>+D34*F34</f>
        <v>-33533.7624</v>
      </c>
      <c r="H34" s="101">
        <v>-31.56</v>
      </c>
      <c r="I34" s="101"/>
      <c r="J34" s="101">
        <f t="shared" si="15"/>
        <v>-31.56</v>
      </c>
      <c r="K34" s="101">
        <f>+H34*F34</f>
        <v>-33533.7624</v>
      </c>
      <c r="L34" s="101">
        <f>+I34*F34</f>
        <v>0</v>
      </c>
      <c r="M34" s="101">
        <f>+J34*F34</f>
        <v>-33533.7624</v>
      </c>
    </row>
    <row r="35" spans="2:16" ht="46.5" x14ac:dyDescent="0.35">
      <c r="B35" s="256"/>
      <c r="C35" s="102" t="s">
        <v>260</v>
      </c>
      <c r="D35" s="101">
        <v>-31.56</v>
      </c>
      <c r="E35" s="103" t="s">
        <v>10</v>
      </c>
      <c r="F35" s="101">
        <v>1062.54</v>
      </c>
      <c r="G35" s="101">
        <f>+D35*F35</f>
        <v>-33533.7624</v>
      </c>
      <c r="H35" s="101">
        <v>-31.56</v>
      </c>
      <c r="I35" s="101"/>
      <c r="J35" s="101">
        <f t="shared" si="15"/>
        <v>-31.56</v>
      </c>
      <c r="K35" s="101">
        <f>+H35*F35</f>
        <v>-33533.7624</v>
      </c>
      <c r="L35" s="101">
        <f>+I35*F35</f>
        <v>0</v>
      </c>
      <c r="M35" s="101">
        <f>+J35*F35</f>
        <v>-33533.7624</v>
      </c>
    </row>
    <row r="36" spans="2:16" ht="46.5" x14ac:dyDescent="0.35">
      <c r="B36" s="256"/>
      <c r="C36" s="102" t="s">
        <v>261</v>
      </c>
      <c r="D36" s="101">
        <v>-31.56</v>
      </c>
      <c r="E36" s="103" t="s">
        <v>10</v>
      </c>
      <c r="F36" s="101">
        <v>1062.54</v>
      </c>
      <c r="G36" s="101">
        <f>+D36*F36</f>
        <v>-33533.7624</v>
      </c>
      <c r="H36" s="101">
        <v>-31.56</v>
      </c>
      <c r="I36" s="101"/>
      <c r="J36" s="101">
        <f t="shared" si="15"/>
        <v>-31.56</v>
      </c>
      <c r="K36" s="101">
        <f>+H36*F36</f>
        <v>-33533.7624</v>
      </c>
      <c r="L36" s="101">
        <f>+I36*F36</f>
        <v>0</v>
      </c>
      <c r="M36" s="101">
        <f>+J36*F36</f>
        <v>-33533.7624</v>
      </c>
    </row>
    <row r="37" spans="2:16" x14ac:dyDescent="0.35">
      <c r="B37" s="256"/>
      <c r="C37" s="104" t="s">
        <v>262</v>
      </c>
      <c r="D37" s="101"/>
      <c r="E37" s="103"/>
      <c r="F37" s="101"/>
      <c r="G37" s="99"/>
      <c r="H37" s="101"/>
      <c r="I37" s="101"/>
      <c r="J37" s="101"/>
      <c r="K37" s="101"/>
      <c r="L37" s="101"/>
      <c r="M37" s="101"/>
    </row>
    <row r="38" spans="2:16" ht="46.5" x14ac:dyDescent="0.35">
      <c r="B38" s="256"/>
      <c r="C38" s="102" t="s">
        <v>263</v>
      </c>
      <c r="D38" s="101">
        <v>31.1</v>
      </c>
      <c r="E38" s="103" t="s">
        <v>10</v>
      </c>
      <c r="F38" s="101">
        <v>1847.9504823151126</v>
      </c>
      <c r="G38" s="101">
        <f t="shared" ref="G38:G44" si="16">+D38*F38</f>
        <v>57471.26</v>
      </c>
      <c r="H38" s="101">
        <v>31.1</v>
      </c>
      <c r="I38" s="101"/>
      <c r="J38" s="101">
        <f t="shared" si="15"/>
        <v>31.1</v>
      </c>
      <c r="K38" s="101">
        <f t="shared" ref="K38:K44" si="17">+H38*F38</f>
        <v>57471.26</v>
      </c>
      <c r="L38" s="101">
        <f t="shared" ref="L38:L44" si="18">+I38*F38</f>
        <v>0</v>
      </c>
      <c r="M38" s="101">
        <f t="shared" ref="M38:M44" si="19">+J38*F38</f>
        <v>57471.26</v>
      </c>
    </row>
    <row r="39" spans="2:16" ht="46.5" x14ac:dyDescent="0.35">
      <c r="B39" s="256"/>
      <c r="C39" s="102" t="s">
        <v>264</v>
      </c>
      <c r="D39" s="101">
        <v>31.56</v>
      </c>
      <c r="E39" s="103" t="s">
        <v>10</v>
      </c>
      <c r="F39" s="101">
        <v>1847.9504823151126</v>
      </c>
      <c r="G39" s="101">
        <f t="shared" si="16"/>
        <v>58321.317221864949</v>
      </c>
      <c r="H39" s="101">
        <v>31.56</v>
      </c>
      <c r="I39" s="101"/>
      <c r="J39" s="101">
        <f t="shared" si="15"/>
        <v>31.56</v>
      </c>
      <c r="K39" s="101">
        <f t="shared" si="17"/>
        <v>58321.317221864949</v>
      </c>
      <c r="L39" s="101">
        <f t="shared" si="18"/>
        <v>0</v>
      </c>
      <c r="M39" s="101">
        <f t="shared" si="19"/>
        <v>58321.317221864949</v>
      </c>
    </row>
    <row r="40" spans="2:16" ht="46.5" x14ac:dyDescent="0.35">
      <c r="B40" s="256"/>
      <c r="C40" s="102" t="s">
        <v>265</v>
      </c>
      <c r="D40" s="101">
        <v>31.56</v>
      </c>
      <c r="E40" s="103" t="s">
        <v>10</v>
      </c>
      <c r="F40" s="101">
        <v>1847.9504823151126</v>
      </c>
      <c r="G40" s="101">
        <f t="shared" si="16"/>
        <v>58321.317221864949</v>
      </c>
      <c r="H40" s="101">
        <v>31.56</v>
      </c>
      <c r="I40" s="101"/>
      <c r="J40" s="101">
        <f t="shared" si="15"/>
        <v>31.56</v>
      </c>
      <c r="K40" s="101">
        <f t="shared" si="17"/>
        <v>58321.317221864949</v>
      </c>
      <c r="L40" s="101">
        <f t="shared" si="18"/>
        <v>0</v>
      </c>
      <c r="M40" s="101">
        <f t="shared" si="19"/>
        <v>58321.317221864949</v>
      </c>
    </row>
    <row r="41" spans="2:16" ht="46.5" x14ac:dyDescent="0.35">
      <c r="B41" s="257"/>
      <c r="C41" s="102" t="s">
        <v>266</v>
      </c>
      <c r="D41" s="101">
        <v>31.56</v>
      </c>
      <c r="E41" s="103"/>
      <c r="F41" s="101">
        <v>1847.9504823151126</v>
      </c>
      <c r="G41" s="101">
        <f t="shared" si="16"/>
        <v>58321.317221864949</v>
      </c>
      <c r="H41" s="101">
        <v>31.56</v>
      </c>
      <c r="I41" s="101"/>
      <c r="J41" s="101">
        <f t="shared" si="15"/>
        <v>31.56</v>
      </c>
      <c r="K41" s="101">
        <f t="shared" si="17"/>
        <v>58321.317221864949</v>
      </c>
      <c r="L41" s="101">
        <f t="shared" si="18"/>
        <v>0</v>
      </c>
      <c r="M41" s="101">
        <f t="shared" si="19"/>
        <v>58321.317221864949</v>
      </c>
    </row>
    <row r="42" spans="2:16" ht="62" x14ac:dyDescent="0.35">
      <c r="B42" s="105" t="s">
        <v>255</v>
      </c>
      <c r="C42" s="108" t="s">
        <v>267</v>
      </c>
      <c r="D42" s="109">
        <v>118</v>
      </c>
      <c r="E42" s="109" t="s">
        <v>17</v>
      </c>
      <c r="F42" s="109">
        <v>635</v>
      </c>
      <c r="G42" s="110">
        <f t="shared" si="16"/>
        <v>74930</v>
      </c>
      <c r="H42" s="111">
        <v>118</v>
      </c>
      <c r="I42" s="111"/>
      <c r="J42" s="110">
        <f t="shared" si="15"/>
        <v>118</v>
      </c>
      <c r="K42" s="110">
        <f t="shared" si="17"/>
        <v>74930</v>
      </c>
      <c r="L42" s="110">
        <f t="shared" si="18"/>
        <v>0</v>
      </c>
      <c r="M42" s="110">
        <f t="shared" si="19"/>
        <v>74930</v>
      </c>
    </row>
    <row r="43" spans="2:16" ht="62" x14ac:dyDescent="0.35">
      <c r="B43" s="105" t="s">
        <v>268</v>
      </c>
      <c r="C43" s="108" t="s">
        <v>269</v>
      </c>
      <c r="D43" s="109">
        <v>1395.73</v>
      </c>
      <c r="E43" s="109" t="s">
        <v>17</v>
      </c>
      <c r="F43" s="109">
        <v>52</v>
      </c>
      <c r="G43" s="110">
        <f t="shared" si="16"/>
        <v>72577.960000000006</v>
      </c>
      <c r="H43" s="111">
        <v>1395.73</v>
      </c>
      <c r="I43" s="111"/>
      <c r="J43" s="110">
        <f t="shared" si="15"/>
        <v>1395.73</v>
      </c>
      <c r="K43" s="110">
        <f t="shared" si="17"/>
        <v>72577.960000000006</v>
      </c>
      <c r="L43" s="110">
        <f t="shared" si="18"/>
        <v>0</v>
      </c>
      <c r="M43" s="110">
        <f t="shared" si="19"/>
        <v>72577.960000000006</v>
      </c>
      <c r="O43" s="89">
        <v>322.22000000000003</v>
      </c>
    </row>
    <row r="44" spans="2:16" ht="46.5" x14ac:dyDescent="0.35">
      <c r="B44" s="105" t="s">
        <v>270</v>
      </c>
      <c r="C44" s="108" t="s">
        <v>216</v>
      </c>
      <c r="D44" s="109">
        <v>159.82</v>
      </c>
      <c r="E44" s="109" t="s">
        <v>17</v>
      </c>
      <c r="F44" s="109">
        <v>52</v>
      </c>
      <c r="G44" s="110">
        <f t="shared" si="16"/>
        <v>8310.64</v>
      </c>
      <c r="H44" s="111">
        <v>159.82</v>
      </c>
      <c r="I44" s="111"/>
      <c r="J44" s="110">
        <f t="shared" si="15"/>
        <v>159.82</v>
      </c>
      <c r="K44" s="110">
        <f t="shared" si="17"/>
        <v>8310.64</v>
      </c>
      <c r="L44" s="110">
        <f t="shared" si="18"/>
        <v>0</v>
      </c>
      <c r="M44" s="110">
        <f t="shared" si="19"/>
        <v>8310.64</v>
      </c>
      <c r="O44" s="89">
        <v>158.1</v>
      </c>
    </row>
    <row r="45" spans="2:16" ht="46.5" x14ac:dyDescent="0.35">
      <c r="B45" s="255" t="s">
        <v>271</v>
      </c>
      <c r="C45" s="108" t="s">
        <v>217</v>
      </c>
      <c r="D45" s="109"/>
      <c r="E45" s="109"/>
      <c r="F45" s="109"/>
      <c r="G45" s="110">
        <f>SUM(G46:G54)</f>
        <v>1261894.8439999998</v>
      </c>
      <c r="H45" s="111"/>
      <c r="I45" s="111"/>
      <c r="J45" s="110"/>
      <c r="K45" s="110">
        <f t="shared" ref="K45:M45" si="20">SUM(K46:K54)</f>
        <v>156800</v>
      </c>
      <c r="L45" s="110">
        <f t="shared" si="20"/>
        <v>376320</v>
      </c>
      <c r="M45" s="110">
        <f t="shared" si="20"/>
        <v>533120</v>
      </c>
    </row>
    <row r="46" spans="2:16" ht="46.5" x14ac:dyDescent="0.35">
      <c r="B46" s="256"/>
      <c r="C46" s="91" t="s">
        <v>272</v>
      </c>
      <c r="D46" s="90">
        <v>2026</v>
      </c>
      <c r="E46" s="90" t="s">
        <v>17</v>
      </c>
      <c r="F46" s="90">
        <v>490</v>
      </c>
      <c r="G46" s="106">
        <f t="shared" ref="G46:G55" si="21">+D46*F46</f>
        <v>992740</v>
      </c>
      <c r="H46" s="107">
        <v>320</v>
      </c>
      <c r="I46" s="107">
        <v>768</v>
      </c>
      <c r="J46" s="106">
        <f>+H46+I46</f>
        <v>1088</v>
      </c>
      <c r="K46" s="106">
        <f t="shared" ref="K46:K58" si="22">+H46*F46</f>
        <v>156800</v>
      </c>
      <c r="L46" s="106">
        <f t="shared" ref="L46:L58" si="23">+I46*F46</f>
        <v>376320</v>
      </c>
      <c r="M46" s="106">
        <f>+J46*F46</f>
        <v>533120</v>
      </c>
      <c r="O46" s="275"/>
      <c r="P46" s="275"/>
    </row>
    <row r="47" spans="2:16" ht="31" x14ac:dyDescent="0.35">
      <c r="B47" s="256"/>
      <c r="C47" s="91" t="s">
        <v>273</v>
      </c>
      <c r="D47" s="90">
        <v>96.889999999999986</v>
      </c>
      <c r="E47" s="90" t="s">
        <v>17</v>
      </c>
      <c r="F47" s="90">
        <v>726</v>
      </c>
      <c r="G47" s="106">
        <f t="shared" si="21"/>
        <v>70342.139999999985</v>
      </c>
      <c r="H47" s="107">
        <v>0</v>
      </c>
      <c r="I47" s="107"/>
      <c r="J47" s="106">
        <f t="shared" ref="J47:J58" si="24">+H47+I47</f>
        <v>0</v>
      </c>
      <c r="K47" s="106">
        <f t="shared" si="22"/>
        <v>0</v>
      </c>
      <c r="L47" s="106">
        <f t="shared" si="23"/>
        <v>0</v>
      </c>
      <c r="M47" s="106">
        <f t="shared" ref="M47:M54" si="25">+J47*F47</f>
        <v>0</v>
      </c>
    </row>
    <row r="48" spans="2:16" ht="31" x14ac:dyDescent="0.35">
      <c r="B48" s="256"/>
      <c r="C48" s="91" t="s">
        <v>274</v>
      </c>
      <c r="D48" s="90">
        <v>88.042000000000002</v>
      </c>
      <c r="E48" s="90" t="s">
        <v>17</v>
      </c>
      <c r="F48" s="90">
        <v>862</v>
      </c>
      <c r="G48" s="106">
        <f t="shared" si="21"/>
        <v>75892.203999999998</v>
      </c>
      <c r="H48" s="107">
        <v>0</v>
      </c>
      <c r="I48" s="107"/>
      <c r="J48" s="106">
        <f t="shared" si="24"/>
        <v>0</v>
      </c>
      <c r="K48" s="106">
        <f t="shared" si="22"/>
        <v>0</v>
      </c>
      <c r="L48" s="106">
        <f t="shared" si="23"/>
        <v>0</v>
      </c>
      <c r="M48" s="106">
        <f t="shared" si="25"/>
        <v>0</v>
      </c>
    </row>
    <row r="49" spans="2:13" ht="31" x14ac:dyDescent="0.35">
      <c r="B49" s="256"/>
      <c r="C49" s="91" t="s">
        <v>275</v>
      </c>
      <c r="D49" s="90"/>
      <c r="E49" s="90"/>
      <c r="F49" s="90"/>
      <c r="G49" s="106">
        <f t="shared" si="21"/>
        <v>0</v>
      </c>
      <c r="H49" s="107">
        <v>0</v>
      </c>
      <c r="I49" s="107"/>
      <c r="J49" s="106">
        <f t="shared" si="24"/>
        <v>0</v>
      </c>
      <c r="K49" s="106">
        <f t="shared" si="22"/>
        <v>0</v>
      </c>
      <c r="L49" s="106">
        <f t="shared" si="23"/>
        <v>0</v>
      </c>
      <c r="M49" s="106">
        <f t="shared" si="25"/>
        <v>0</v>
      </c>
    </row>
    <row r="50" spans="2:13" x14ac:dyDescent="0.35">
      <c r="B50" s="256"/>
      <c r="C50" s="91" t="s">
        <v>276</v>
      </c>
      <c r="D50" s="90">
        <v>4.25</v>
      </c>
      <c r="E50" s="90" t="s">
        <v>10</v>
      </c>
      <c r="F50" s="90">
        <v>114</v>
      </c>
      <c r="G50" s="106">
        <f t="shared" si="21"/>
        <v>484.5</v>
      </c>
      <c r="H50" s="107">
        <v>0</v>
      </c>
      <c r="I50" s="107"/>
      <c r="J50" s="106">
        <f t="shared" si="24"/>
        <v>0</v>
      </c>
      <c r="K50" s="106">
        <f t="shared" si="22"/>
        <v>0</v>
      </c>
      <c r="L50" s="106">
        <f t="shared" si="23"/>
        <v>0</v>
      </c>
      <c r="M50" s="106">
        <f t="shared" si="25"/>
        <v>0</v>
      </c>
    </row>
    <row r="51" spans="2:13" x14ac:dyDescent="0.35">
      <c r="B51" s="256"/>
      <c r="C51" s="91" t="s">
        <v>277</v>
      </c>
      <c r="D51" s="90">
        <v>242</v>
      </c>
      <c r="E51" s="90" t="s">
        <v>10</v>
      </c>
      <c r="F51" s="90">
        <v>152</v>
      </c>
      <c r="G51" s="106">
        <f t="shared" si="21"/>
        <v>36784</v>
      </c>
      <c r="H51" s="107">
        <v>0</v>
      </c>
      <c r="I51" s="107"/>
      <c r="J51" s="106">
        <f t="shared" si="24"/>
        <v>0</v>
      </c>
      <c r="K51" s="106">
        <f t="shared" si="22"/>
        <v>0</v>
      </c>
      <c r="L51" s="106">
        <f t="shared" si="23"/>
        <v>0</v>
      </c>
      <c r="M51" s="106">
        <f t="shared" si="25"/>
        <v>0</v>
      </c>
    </row>
    <row r="52" spans="2:13" x14ac:dyDescent="0.35">
      <c r="B52" s="256"/>
      <c r="C52" s="91" t="s">
        <v>278</v>
      </c>
      <c r="D52" s="90">
        <v>92</v>
      </c>
      <c r="E52" s="90" t="s">
        <v>10</v>
      </c>
      <c r="F52" s="90">
        <v>190</v>
      </c>
      <c r="G52" s="106">
        <f t="shared" si="21"/>
        <v>17480</v>
      </c>
      <c r="H52" s="107">
        <v>0</v>
      </c>
      <c r="I52" s="107"/>
      <c r="J52" s="106">
        <f t="shared" si="24"/>
        <v>0</v>
      </c>
      <c r="K52" s="106">
        <f t="shared" si="22"/>
        <v>0</v>
      </c>
      <c r="L52" s="106">
        <f t="shared" si="23"/>
        <v>0</v>
      </c>
      <c r="M52" s="106">
        <f t="shared" si="25"/>
        <v>0</v>
      </c>
    </row>
    <row r="53" spans="2:13" x14ac:dyDescent="0.35">
      <c r="B53" s="256"/>
      <c r="C53" s="91" t="s">
        <v>279</v>
      </c>
      <c r="D53" s="90">
        <v>187</v>
      </c>
      <c r="E53" s="90" t="s">
        <v>10</v>
      </c>
      <c r="F53" s="90">
        <v>228</v>
      </c>
      <c r="G53" s="106">
        <f t="shared" si="21"/>
        <v>42636</v>
      </c>
      <c r="H53" s="107">
        <v>0</v>
      </c>
      <c r="I53" s="107"/>
      <c r="J53" s="106">
        <f t="shared" si="24"/>
        <v>0</v>
      </c>
      <c r="K53" s="106">
        <f t="shared" si="22"/>
        <v>0</v>
      </c>
      <c r="L53" s="106">
        <f t="shared" si="23"/>
        <v>0</v>
      </c>
      <c r="M53" s="106">
        <f t="shared" si="25"/>
        <v>0</v>
      </c>
    </row>
    <row r="54" spans="2:13" x14ac:dyDescent="0.35">
      <c r="B54" s="257"/>
      <c r="C54" s="91" t="s">
        <v>280</v>
      </c>
      <c r="D54" s="90">
        <v>84</v>
      </c>
      <c r="E54" s="90" t="s">
        <v>10</v>
      </c>
      <c r="F54" s="90">
        <v>304</v>
      </c>
      <c r="G54" s="106">
        <f t="shared" si="21"/>
        <v>25536</v>
      </c>
      <c r="H54" s="107">
        <v>0</v>
      </c>
      <c r="I54" s="107"/>
      <c r="J54" s="106">
        <f t="shared" si="24"/>
        <v>0</v>
      </c>
      <c r="K54" s="106">
        <f t="shared" si="22"/>
        <v>0</v>
      </c>
      <c r="L54" s="106">
        <f t="shared" si="23"/>
        <v>0</v>
      </c>
      <c r="M54" s="106">
        <f t="shared" si="25"/>
        <v>0</v>
      </c>
    </row>
    <row r="55" spans="2:13" ht="62" x14ac:dyDescent="0.35">
      <c r="B55" s="105"/>
      <c r="C55" s="108" t="s">
        <v>935</v>
      </c>
      <c r="D55" s="109">
        <v>253.31</v>
      </c>
      <c r="E55" s="109" t="s">
        <v>17</v>
      </c>
      <c r="F55" s="109"/>
      <c r="G55" s="110">
        <f>SUM(G56:G57)</f>
        <v>75798.45</v>
      </c>
      <c r="H55" s="111"/>
      <c r="I55" s="111"/>
      <c r="J55" s="110"/>
      <c r="K55" s="110">
        <f>SUM(K56:K57)</f>
        <v>26597.55</v>
      </c>
      <c r="L55" s="110">
        <f>SUM(L56:L57)</f>
        <v>45167.115000000005</v>
      </c>
      <c r="M55" s="110">
        <f>SUM(M56:M57)</f>
        <v>71764.665000000008</v>
      </c>
    </row>
    <row r="56" spans="2:13" x14ac:dyDescent="0.35">
      <c r="B56" s="105"/>
      <c r="C56" s="91" t="s">
        <v>934</v>
      </c>
      <c r="D56" s="90">
        <v>329.89</v>
      </c>
      <c r="E56" s="90" t="s">
        <v>17</v>
      </c>
      <c r="F56" s="90">
        <v>105</v>
      </c>
      <c r="G56" s="106">
        <f>+D56*F56</f>
        <v>34638.449999999997</v>
      </c>
      <c r="H56" s="107">
        <v>253.31</v>
      </c>
      <c r="I56" s="107">
        <v>76.58</v>
      </c>
      <c r="J56" s="106">
        <f t="shared" si="24"/>
        <v>329.89</v>
      </c>
      <c r="K56" s="106">
        <f t="shared" si="22"/>
        <v>26597.55</v>
      </c>
      <c r="L56" s="106">
        <f t="shared" si="23"/>
        <v>8040.9</v>
      </c>
      <c r="M56" s="106">
        <f t="shared" ref="M56" si="26">+J56*F56</f>
        <v>34638.449999999997</v>
      </c>
    </row>
    <row r="57" spans="2:13" ht="31" x14ac:dyDescent="0.35">
      <c r="B57" s="105"/>
      <c r="C57" s="91" t="s">
        <v>932</v>
      </c>
      <c r="D57" s="90">
        <v>392</v>
      </c>
      <c r="E57" s="90" t="s">
        <v>17</v>
      </c>
      <c r="F57" s="90">
        <v>105</v>
      </c>
      <c r="G57" s="106">
        <f>+D57*F57</f>
        <v>41160</v>
      </c>
      <c r="H57" s="107"/>
      <c r="I57" s="107">
        <f>392.87*0.9</f>
        <v>353.58300000000003</v>
      </c>
      <c r="J57" s="106">
        <f t="shared" si="24"/>
        <v>353.58300000000003</v>
      </c>
      <c r="K57" s="106">
        <f t="shared" si="22"/>
        <v>0</v>
      </c>
      <c r="L57" s="106">
        <f t="shared" si="23"/>
        <v>37126.215000000004</v>
      </c>
      <c r="M57" s="106">
        <f t="shared" ref="M57:M58" si="27">+J57*F57</f>
        <v>37126.215000000004</v>
      </c>
    </row>
    <row r="58" spans="2:13" ht="59" customHeight="1" x14ac:dyDescent="0.35">
      <c r="B58" s="105"/>
      <c r="C58" s="108" t="s">
        <v>933</v>
      </c>
      <c r="D58" s="109">
        <v>175</v>
      </c>
      <c r="E58" s="109" t="s">
        <v>10</v>
      </c>
      <c r="F58" s="109">
        <v>170</v>
      </c>
      <c r="G58" s="110">
        <f>+D58*F58</f>
        <v>29750</v>
      </c>
      <c r="H58" s="111"/>
      <c r="I58" s="111">
        <f>175*0.9</f>
        <v>157.5</v>
      </c>
      <c r="J58" s="110">
        <f t="shared" si="24"/>
        <v>157.5</v>
      </c>
      <c r="K58" s="110">
        <f t="shared" si="22"/>
        <v>0</v>
      </c>
      <c r="L58" s="110">
        <f t="shared" si="23"/>
        <v>26775</v>
      </c>
      <c r="M58" s="110">
        <f t="shared" si="27"/>
        <v>26775</v>
      </c>
    </row>
    <row r="59" spans="2:13" ht="54" customHeight="1" x14ac:dyDescent="0.35">
      <c r="B59" s="87"/>
      <c r="C59" s="85" t="s">
        <v>187</v>
      </c>
      <c r="D59" s="87"/>
      <c r="E59" s="86"/>
      <c r="F59" s="87"/>
      <c r="G59" s="87">
        <f>+G4+G12+G16+G31+G42+G43+G45+G44+G55</f>
        <v>1886555.7138055945</v>
      </c>
      <c r="H59" s="88"/>
      <c r="I59" s="88"/>
      <c r="J59" s="87"/>
      <c r="K59" s="87">
        <f>+K4+K12+K16+K31+K42+K43+K45+K44+K55+K58</f>
        <v>670000.03136559494</v>
      </c>
      <c r="L59" s="87">
        <f>+L4+L12+L16+L31+L42+L43+L45+L44+L55+L58</f>
        <v>452772.11499999999</v>
      </c>
      <c r="M59" s="87">
        <f>+M4+M12+M16+M31+M42+M43+M45+M44+M55+M58</f>
        <v>1122772.1463655948</v>
      </c>
    </row>
  </sheetData>
  <mergeCells count="13">
    <mergeCell ref="B45:B54"/>
    <mergeCell ref="H2:J2"/>
    <mergeCell ref="K2:M2"/>
    <mergeCell ref="B2:B3"/>
    <mergeCell ref="C2:C3"/>
    <mergeCell ref="D2:D3"/>
    <mergeCell ref="E2:E3"/>
    <mergeCell ref="F2:F3"/>
    <mergeCell ref="G2:G3"/>
    <mergeCell ref="B4:B11"/>
    <mergeCell ref="B12:B15"/>
    <mergeCell ref="B16:B30"/>
    <mergeCell ref="B31:B41"/>
  </mergeCells>
  <pageMargins left="0.7" right="0.7" top="0.75" bottom="0.75" header="0.3" footer="0.3"/>
  <pageSetup paperSize="8" scale="75"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AA88A-D6F6-4C75-AA95-6139745BBA17}">
  <dimension ref="A1:Q72"/>
  <sheetViews>
    <sheetView view="pageBreakPreview" zoomScale="80" zoomScaleNormal="100" zoomScaleSheetLayoutView="80" workbookViewId="0">
      <selection activeCell="N71" sqref="N71"/>
    </sheetView>
  </sheetViews>
  <sheetFormatPr defaultRowHeight="14.5" x14ac:dyDescent="0.35"/>
  <cols>
    <col min="2" max="2" width="43.54296875" style="3" customWidth="1"/>
    <col min="3" max="3" width="8.7265625" style="197"/>
    <col min="4" max="4" width="8.7265625" style="2"/>
    <col min="5" max="5" width="13.54296875" style="1" customWidth="1"/>
    <col min="6" max="6" width="13.1796875" style="1" customWidth="1"/>
    <col min="7" max="7" width="13.26953125" style="1" bestFit="1" customWidth="1"/>
    <col min="8" max="8" width="20.6328125" style="229" customWidth="1"/>
    <col min="9" max="9" width="13.26953125" style="234" customWidth="1"/>
    <col min="10" max="10" width="20.08984375" style="234" customWidth="1"/>
    <col min="11" max="11" width="23.6328125" style="229" customWidth="1"/>
    <col min="12" max="12" width="13.453125" style="197" customWidth="1"/>
    <col min="13" max="13" width="12.7265625" style="197" customWidth="1"/>
    <col min="14" max="14" width="12.26953125" style="197" customWidth="1"/>
    <col min="15" max="15" width="18.26953125" style="1" customWidth="1"/>
    <col min="16" max="16" width="17.453125" style="1" customWidth="1"/>
    <col min="17" max="17" width="20.453125" style="1" customWidth="1"/>
  </cols>
  <sheetData>
    <row r="1" spans="1:17" ht="36" customHeight="1" x14ac:dyDescent="0.35">
      <c r="A1" s="18" t="s">
        <v>0</v>
      </c>
      <c r="B1" s="18" t="s">
        <v>1</v>
      </c>
      <c r="C1" s="27" t="s">
        <v>2</v>
      </c>
      <c r="D1" s="18" t="s">
        <v>3</v>
      </c>
      <c r="E1" s="19" t="s">
        <v>4</v>
      </c>
      <c r="F1" s="19" t="s">
        <v>5</v>
      </c>
      <c r="G1" s="19" t="s">
        <v>6</v>
      </c>
      <c r="H1" s="233" t="s">
        <v>928</v>
      </c>
      <c r="I1" s="231" t="s">
        <v>929</v>
      </c>
      <c r="J1" s="231" t="s">
        <v>930</v>
      </c>
      <c r="K1" s="233" t="s">
        <v>931</v>
      </c>
      <c r="L1" s="232" t="s">
        <v>173</v>
      </c>
      <c r="M1" s="232" t="s">
        <v>174</v>
      </c>
      <c r="N1" s="232" t="s">
        <v>175</v>
      </c>
      <c r="O1" s="19" t="s">
        <v>176</v>
      </c>
      <c r="P1" s="19" t="s">
        <v>177</v>
      </c>
      <c r="Q1" s="19" t="s">
        <v>178</v>
      </c>
    </row>
    <row r="2" spans="1:17" s="171" customFormat="1" ht="22.5" customHeight="1" x14ac:dyDescent="0.35">
      <c r="A2" s="4"/>
      <c r="B2" s="247" t="s">
        <v>207</v>
      </c>
      <c r="C2" s="248"/>
      <c r="D2" s="68"/>
      <c r="E2" s="246"/>
      <c r="F2" s="246"/>
      <c r="G2" s="246"/>
      <c r="H2" s="243"/>
      <c r="I2" s="244"/>
      <c r="J2" s="244"/>
      <c r="K2" s="243"/>
      <c r="L2" s="245"/>
      <c r="M2" s="245"/>
      <c r="N2" s="245"/>
      <c r="O2" s="246"/>
      <c r="P2" s="246"/>
      <c r="Q2" s="246"/>
    </row>
    <row r="3" spans="1:17" ht="29" x14ac:dyDescent="0.35">
      <c r="A3" t="s">
        <v>695</v>
      </c>
      <c r="B3" s="3" t="s">
        <v>696</v>
      </c>
      <c r="C3" s="197">
        <v>233.6</v>
      </c>
      <c r="D3" s="2" t="s">
        <v>17</v>
      </c>
      <c r="E3" s="1">
        <v>315</v>
      </c>
      <c r="F3" s="1">
        <v>117</v>
      </c>
      <c r="G3" s="1">
        <f>(Table6[[#This Row],[Install Rate]]+Table6[[#This Row],[Supply Rate]])*Table6[[#This Row],[Qty]]</f>
        <v>100915.2</v>
      </c>
      <c r="H3" s="229">
        <f>Table6[[#This Row],[Supply Rate]]*80%</f>
        <v>252</v>
      </c>
      <c r="I3" s="241">
        <v>233.6</v>
      </c>
      <c r="J3" s="241">
        <f>IF(Table6[[#This Row],[Material Qty]]=0,0,Table6[[#This Row],[Material Qty]]-Table6[[#This Row],[Cumulative]])</f>
        <v>133.6</v>
      </c>
      <c r="K3" s="229">
        <f>Table6[[#This Row],[Material Balance Qty]]*Table6[[#This Row],[Material @ Site Rate]]</f>
        <v>33667.199999999997</v>
      </c>
      <c r="L3" s="197">
        <v>100</v>
      </c>
      <c r="M3" s="197">
        <f>Table6[[#This Row],[Cumulative]]-Table6[[#This Row],[Previous Qty]]</f>
        <v>0</v>
      </c>
      <c r="N3" s="197">
        <v>100</v>
      </c>
      <c r="O3" s="1">
        <f>(Table6[[#This Row],[Supply Rate]]+Table6[[#This Row],[Install Rate]])*Table6[[#This Row],[Previous Qty]]</f>
        <v>43200</v>
      </c>
      <c r="P3" s="1">
        <f>Table6[[#This Row],[Cumulative Amount]]-Table6[[#This Row],[Previous Amount]]</f>
        <v>0</v>
      </c>
      <c r="Q3" s="1">
        <f>(Table6[[#This Row],[Supply Rate]]+Table6[[#This Row],[Install Rate]])*Table6[[#This Row],[Cumulative]]</f>
        <v>43200</v>
      </c>
    </row>
    <row r="4" spans="1:17" ht="29" x14ac:dyDescent="0.35">
      <c r="A4" t="s">
        <v>695</v>
      </c>
      <c r="B4" s="3" t="s">
        <v>697</v>
      </c>
      <c r="C4" s="197">
        <v>24.8</v>
      </c>
      <c r="D4" s="2" t="s">
        <v>10</v>
      </c>
      <c r="E4" s="1">
        <v>101</v>
      </c>
      <c r="F4" s="1">
        <v>36</v>
      </c>
      <c r="G4" s="1">
        <f>(Table6[[#This Row],[Install Rate]]+Table6[[#This Row],[Supply Rate]])*Table6[[#This Row],[Qty]]</f>
        <v>3397.6</v>
      </c>
      <c r="H4" s="229">
        <f>Table6[[#This Row],[Supply Rate]]*80%</f>
        <v>80.800000000000011</v>
      </c>
      <c r="I4" s="241"/>
      <c r="J4" s="241">
        <f>IF(Table6[[#This Row],[Material Qty]]=0,0,Table6[[#This Row],[Material Qty]]-Table6[[#This Row],[Cumulative]])</f>
        <v>0</v>
      </c>
      <c r="K4" s="229">
        <f>Table6[[#This Row],[Material Balance Qty]]*Table6[[#This Row],[Material @ Site Rate]]</f>
        <v>0</v>
      </c>
      <c r="M4" s="197">
        <f>Table6[[#This Row],[Cumulative]]-Table6[[#This Row],[Previous Qty]]</f>
        <v>0</v>
      </c>
      <c r="O4" s="1">
        <f>(Table6[[#This Row],[Supply Rate]]+Table6[[#This Row],[Install Rate]])*Table6[[#This Row],[Previous Qty]]</f>
        <v>0</v>
      </c>
      <c r="P4" s="1">
        <f>Table6[[#This Row],[Cumulative Amount]]-Table6[[#This Row],[Previous Amount]]</f>
        <v>0</v>
      </c>
      <c r="Q4" s="1">
        <f>(Table6[[#This Row],[Supply Rate]]+Table6[[#This Row],[Install Rate]])*Table6[[#This Row],[Cumulative]]</f>
        <v>0</v>
      </c>
    </row>
    <row r="5" spans="1:17" ht="29" x14ac:dyDescent="0.35">
      <c r="A5" t="s">
        <v>20</v>
      </c>
      <c r="B5" s="3" t="s">
        <v>698</v>
      </c>
      <c r="C5" s="197">
        <v>52.538999999999994</v>
      </c>
      <c r="D5" s="2" t="s">
        <v>17</v>
      </c>
      <c r="E5" s="1">
        <v>248.31</v>
      </c>
      <c r="G5" s="1">
        <f>(Table6[[#This Row],[Install Rate]]+Table6[[#This Row],[Supply Rate]])*Table6[[#This Row],[Qty]]</f>
        <v>13045.959089999998</v>
      </c>
      <c r="H5" s="229">
        <f>Table6[[#This Row],[Supply Rate]]*80%</f>
        <v>198.64800000000002</v>
      </c>
      <c r="I5" s="241"/>
      <c r="J5" s="241">
        <f>IF(Table6[[#This Row],[Material Qty]]=0,0,Table6[[#This Row],[Material Qty]]-Table6[[#This Row],[Cumulative]])</f>
        <v>0</v>
      </c>
      <c r="K5" s="229">
        <f>Table6[[#This Row],[Material Balance Qty]]*Table6[[#This Row],[Material @ Site Rate]]</f>
        <v>0</v>
      </c>
      <c r="L5" s="197">
        <v>52.54</v>
      </c>
      <c r="M5" s="197">
        <f>Table6[[#This Row],[Cumulative]]-Table6[[#This Row],[Previous Qty]]</f>
        <v>0</v>
      </c>
      <c r="N5" s="197">
        <v>52.54</v>
      </c>
      <c r="O5" s="1">
        <f>(Table6[[#This Row],[Supply Rate]]+Table6[[#This Row],[Install Rate]])*Table6[[#This Row],[Previous Qty]]</f>
        <v>13046.207399999999</v>
      </c>
      <c r="P5" s="1">
        <f>Table6[[#This Row],[Cumulative Amount]]-Table6[[#This Row],[Previous Amount]]</f>
        <v>0</v>
      </c>
      <c r="Q5" s="1">
        <f>(Table6[[#This Row],[Supply Rate]]+Table6[[#This Row],[Install Rate]])*Table6[[#This Row],[Cumulative]]</f>
        <v>13046.207399999999</v>
      </c>
    </row>
    <row r="6" spans="1:17" ht="29" x14ac:dyDescent="0.35">
      <c r="A6" t="s">
        <v>38</v>
      </c>
      <c r="B6" s="3" t="s">
        <v>699</v>
      </c>
      <c r="C6" s="197">
        <v>439.78</v>
      </c>
      <c r="D6" s="2" t="s">
        <v>17</v>
      </c>
      <c r="F6" s="1">
        <v>131</v>
      </c>
      <c r="G6" s="1">
        <f>(Table6[[#This Row],[Install Rate]]+Table6[[#This Row],[Supply Rate]])*Table6[[#This Row],[Qty]]</f>
        <v>57611.179999999993</v>
      </c>
      <c r="H6" s="229">
        <f>Table6[[#This Row],[Supply Rate]]*80%</f>
        <v>0</v>
      </c>
      <c r="I6" s="241"/>
      <c r="J6" s="241">
        <f>IF(Table6[[#This Row],[Material Qty]]=0,0,Table6[[#This Row],[Material Qty]]-Table6[[#This Row],[Cumulative]])</f>
        <v>0</v>
      </c>
      <c r="K6" s="229">
        <f>Table6[[#This Row],[Material Balance Qty]]*Table6[[#This Row],[Material @ Site Rate]]</f>
        <v>0</v>
      </c>
      <c r="M6" s="197">
        <f>Table6[[#This Row],[Cumulative]]-Table6[[#This Row],[Previous Qty]]</f>
        <v>439.78000000000003</v>
      </c>
      <c r="N6" s="273">
        <v>439.78000000000003</v>
      </c>
      <c r="O6" s="1">
        <f>(Table6[[#This Row],[Supply Rate]]+Table6[[#This Row],[Install Rate]])*Table6[[#This Row],[Previous Qty]]</f>
        <v>0</v>
      </c>
      <c r="P6" s="1">
        <f>Table6[[#This Row],[Cumulative Amount]]-Table6[[#This Row],[Previous Amount]]</f>
        <v>57611.18</v>
      </c>
      <c r="Q6" s="1">
        <f>(Table6[[#This Row],[Supply Rate]]+Table6[[#This Row],[Install Rate]])*Table6[[#This Row],[Cumulative]]</f>
        <v>57611.18</v>
      </c>
    </row>
    <row r="7" spans="1:17" ht="43.5" x14ac:dyDescent="0.35">
      <c r="A7" t="s">
        <v>38</v>
      </c>
      <c r="B7" s="3" t="s">
        <v>700</v>
      </c>
      <c r="C7" s="197">
        <v>877.54200000000003</v>
      </c>
      <c r="D7" s="2" t="s">
        <v>17</v>
      </c>
      <c r="F7" s="1">
        <v>131</v>
      </c>
      <c r="G7" s="1">
        <f>(Table6[[#This Row],[Install Rate]]+Table6[[#This Row],[Supply Rate]])*Table6[[#This Row],[Qty]]</f>
        <v>114958.00200000001</v>
      </c>
      <c r="H7" s="229">
        <f>Table6[[#This Row],[Supply Rate]]*80%</f>
        <v>0</v>
      </c>
      <c r="I7" s="241"/>
      <c r="J7" s="241">
        <f>IF(Table6[[#This Row],[Material Qty]]=0,0,Table6[[#This Row],[Material Qty]]-Table6[[#This Row],[Cumulative]])</f>
        <v>0</v>
      </c>
      <c r="K7" s="229">
        <f>Table6[[#This Row],[Material Balance Qty]]*Table6[[#This Row],[Material @ Site Rate]]</f>
        <v>0</v>
      </c>
      <c r="L7" s="197">
        <v>922.45</v>
      </c>
      <c r="M7" s="197">
        <f>Table6[[#This Row],[Cumulative]]-Table6[[#This Row],[Previous Qty]]</f>
        <v>-424.54</v>
      </c>
      <c r="N7" s="273">
        <v>497.91</v>
      </c>
      <c r="O7" s="1">
        <f>(Table6[[#This Row],[Supply Rate]]+Table6[[#This Row],[Install Rate]])*Table6[[#This Row],[Previous Qty]]</f>
        <v>120840.95000000001</v>
      </c>
      <c r="P7" s="1">
        <f>Table6[[#This Row],[Cumulative Amount]]-Table6[[#This Row],[Previous Amount]]</f>
        <v>-55614.740000000005</v>
      </c>
      <c r="Q7" s="1">
        <f>(Table6[[#This Row],[Supply Rate]]+Table6[[#This Row],[Install Rate]])*Table6[[#This Row],[Cumulative]]</f>
        <v>65226.210000000006</v>
      </c>
    </row>
    <row r="8" spans="1:17" ht="29" x14ac:dyDescent="0.35">
      <c r="A8" t="s">
        <v>38</v>
      </c>
      <c r="B8" s="3" t="s">
        <v>701</v>
      </c>
      <c r="C8" s="197">
        <v>5.78</v>
      </c>
      <c r="D8" s="2" t="s">
        <v>17</v>
      </c>
      <c r="F8" s="1">
        <v>220</v>
      </c>
      <c r="G8" s="1">
        <f>(Table6[[#This Row],[Install Rate]]+Table6[[#This Row],[Supply Rate]])*Table6[[#This Row],[Qty]]</f>
        <v>1271.6000000000001</v>
      </c>
      <c r="H8" s="229">
        <f>Table6[[#This Row],[Supply Rate]]*80%</f>
        <v>0</v>
      </c>
      <c r="I8" s="241"/>
      <c r="J8" s="241">
        <f>IF(Table6[[#This Row],[Material Qty]]=0,0,Table6[[#This Row],[Material Qty]]-Table6[[#This Row],[Cumulative]])</f>
        <v>0</v>
      </c>
      <c r="K8" s="229">
        <f>Table6[[#This Row],[Material Balance Qty]]*Table6[[#This Row],[Material @ Site Rate]]</f>
        <v>0</v>
      </c>
      <c r="M8" s="197">
        <f>Table6[[#This Row],[Cumulative]]-Table6[[#This Row],[Previous Qty]]</f>
        <v>0</v>
      </c>
      <c r="O8" s="1">
        <f>(Table6[[#This Row],[Supply Rate]]+Table6[[#This Row],[Install Rate]])*Table6[[#This Row],[Previous Qty]]</f>
        <v>0</v>
      </c>
      <c r="P8" s="1">
        <f>Table6[[#This Row],[Cumulative Amount]]-Table6[[#This Row],[Previous Amount]]</f>
        <v>0</v>
      </c>
      <c r="Q8" s="1">
        <f>(Table6[[#This Row],[Supply Rate]]+Table6[[#This Row],[Install Rate]])*Table6[[#This Row],[Cumulative]]</f>
        <v>0</v>
      </c>
    </row>
    <row r="9" spans="1:17" ht="29" x14ac:dyDescent="0.35">
      <c r="A9" t="s">
        <v>38</v>
      </c>
      <c r="B9" s="3" t="s">
        <v>702</v>
      </c>
      <c r="C9" s="197">
        <v>6.68</v>
      </c>
      <c r="D9" s="2" t="s">
        <v>17</v>
      </c>
      <c r="F9" s="1">
        <v>220</v>
      </c>
      <c r="G9" s="1">
        <f>(Table6[[#This Row],[Install Rate]]+Table6[[#This Row],[Supply Rate]])*Table6[[#This Row],[Qty]]</f>
        <v>1469.6</v>
      </c>
      <c r="H9" s="229">
        <f>Table6[[#This Row],[Supply Rate]]*80%</f>
        <v>0</v>
      </c>
      <c r="I9" s="241"/>
      <c r="J9" s="241">
        <f>IF(Table6[[#This Row],[Material Qty]]=0,0,Table6[[#This Row],[Material Qty]]-Table6[[#This Row],[Cumulative]])</f>
        <v>0</v>
      </c>
      <c r="K9" s="229">
        <f>Table6[[#This Row],[Material Balance Qty]]*Table6[[#This Row],[Material @ Site Rate]]</f>
        <v>0</v>
      </c>
      <c r="M9" s="197">
        <f>Table6[[#This Row],[Cumulative]]-Table6[[#This Row],[Previous Qty]]</f>
        <v>0</v>
      </c>
      <c r="O9" s="1">
        <f>(Table6[[#This Row],[Supply Rate]]+Table6[[#This Row],[Install Rate]])*Table6[[#This Row],[Previous Qty]]</f>
        <v>0</v>
      </c>
      <c r="P9" s="1">
        <f>Table6[[#This Row],[Cumulative Amount]]-Table6[[#This Row],[Previous Amount]]</f>
        <v>0</v>
      </c>
      <c r="Q9" s="1">
        <f>(Table6[[#This Row],[Supply Rate]]+Table6[[#This Row],[Install Rate]])*Table6[[#This Row],[Cumulative]]</f>
        <v>0</v>
      </c>
    </row>
    <row r="10" spans="1:17" ht="29" x14ac:dyDescent="0.35">
      <c r="A10" t="s">
        <v>38</v>
      </c>
      <c r="B10" s="3" t="s">
        <v>703</v>
      </c>
      <c r="C10" s="197">
        <v>2.34</v>
      </c>
      <c r="D10" s="2" t="s">
        <v>17</v>
      </c>
      <c r="F10" s="1">
        <v>220</v>
      </c>
      <c r="G10" s="1">
        <f>(Table6[[#This Row],[Install Rate]]+Table6[[#This Row],[Supply Rate]])*Table6[[#This Row],[Qty]]</f>
        <v>514.79999999999995</v>
      </c>
      <c r="H10" s="229">
        <f>Table6[[#This Row],[Supply Rate]]*80%</f>
        <v>0</v>
      </c>
      <c r="I10" s="241"/>
      <c r="J10" s="241">
        <f>IF(Table6[[#This Row],[Material Qty]]=0,0,Table6[[#This Row],[Material Qty]]-Table6[[#This Row],[Cumulative]])</f>
        <v>0</v>
      </c>
      <c r="K10" s="229">
        <f>Table6[[#This Row],[Material Balance Qty]]*Table6[[#This Row],[Material @ Site Rate]]</f>
        <v>0</v>
      </c>
      <c r="M10" s="197">
        <f>Table6[[#This Row],[Cumulative]]-Table6[[#This Row],[Previous Qty]]</f>
        <v>0</v>
      </c>
      <c r="O10" s="1">
        <f>(Table6[[#This Row],[Supply Rate]]+Table6[[#This Row],[Install Rate]])*Table6[[#This Row],[Previous Qty]]</f>
        <v>0</v>
      </c>
      <c r="P10" s="1">
        <f>Table6[[#This Row],[Cumulative Amount]]-Table6[[#This Row],[Previous Amount]]</f>
        <v>0</v>
      </c>
      <c r="Q10" s="1">
        <f>(Table6[[#This Row],[Supply Rate]]+Table6[[#This Row],[Install Rate]])*Table6[[#This Row],[Cumulative]]</f>
        <v>0</v>
      </c>
    </row>
    <row r="11" spans="1:17" ht="29" x14ac:dyDescent="0.35">
      <c r="A11" t="s">
        <v>38</v>
      </c>
      <c r="B11" s="3" t="s">
        <v>704</v>
      </c>
      <c r="C11" s="197">
        <v>16.5</v>
      </c>
      <c r="D11" s="2" t="s">
        <v>10</v>
      </c>
      <c r="F11" s="1">
        <v>102</v>
      </c>
      <c r="G11" s="1">
        <f>(Table6[[#This Row],[Install Rate]]+Table6[[#This Row],[Supply Rate]])*Table6[[#This Row],[Qty]]</f>
        <v>1683</v>
      </c>
      <c r="H11" s="229">
        <f>Table6[[#This Row],[Supply Rate]]*80%</f>
        <v>0</v>
      </c>
      <c r="I11" s="241"/>
      <c r="J11" s="241">
        <f>IF(Table6[[#This Row],[Material Qty]]=0,0,Table6[[#This Row],[Material Qty]]-Table6[[#This Row],[Cumulative]])</f>
        <v>0</v>
      </c>
      <c r="K11" s="229">
        <f>Table6[[#This Row],[Material Balance Qty]]*Table6[[#This Row],[Material @ Site Rate]]</f>
        <v>0</v>
      </c>
      <c r="M11" s="197">
        <f>Table6[[#This Row],[Cumulative]]-Table6[[#This Row],[Previous Qty]]</f>
        <v>0</v>
      </c>
      <c r="O11" s="1">
        <f>(Table6[[#This Row],[Supply Rate]]+Table6[[#This Row],[Install Rate]])*Table6[[#This Row],[Previous Qty]]</f>
        <v>0</v>
      </c>
      <c r="P11" s="1">
        <f>Table6[[#This Row],[Cumulative Amount]]-Table6[[#This Row],[Previous Amount]]</f>
        <v>0</v>
      </c>
      <c r="Q11" s="1">
        <f>(Table6[[#This Row],[Supply Rate]]+Table6[[#This Row],[Install Rate]])*Table6[[#This Row],[Cumulative]]</f>
        <v>0</v>
      </c>
    </row>
    <row r="12" spans="1:17" ht="29" x14ac:dyDescent="0.35">
      <c r="A12" t="s">
        <v>38</v>
      </c>
      <c r="B12" s="3" t="s">
        <v>705</v>
      </c>
      <c r="C12" s="197">
        <v>16.5</v>
      </c>
      <c r="D12" s="2" t="s">
        <v>10</v>
      </c>
      <c r="F12" s="1">
        <v>42</v>
      </c>
      <c r="G12" s="1">
        <f>(Table6[[#This Row],[Install Rate]]+Table6[[#This Row],[Supply Rate]])*Table6[[#This Row],[Qty]]</f>
        <v>693</v>
      </c>
      <c r="H12" s="229">
        <f>Table6[[#This Row],[Supply Rate]]*80%</f>
        <v>0</v>
      </c>
      <c r="I12" s="241"/>
      <c r="J12" s="241">
        <f>IF(Table6[[#This Row],[Material Qty]]=0,0,Table6[[#This Row],[Material Qty]]-Table6[[#This Row],[Cumulative]])</f>
        <v>0</v>
      </c>
      <c r="K12" s="229">
        <f>Table6[[#This Row],[Material Balance Qty]]*Table6[[#This Row],[Material @ Site Rate]]</f>
        <v>0</v>
      </c>
      <c r="M12" s="197">
        <f>Table6[[#This Row],[Cumulative]]-Table6[[#This Row],[Previous Qty]]</f>
        <v>0</v>
      </c>
      <c r="O12" s="1">
        <f>(Table6[[#This Row],[Supply Rate]]+Table6[[#This Row],[Install Rate]])*Table6[[#This Row],[Previous Qty]]</f>
        <v>0</v>
      </c>
      <c r="P12" s="1">
        <f>Table6[[#This Row],[Cumulative Amount]]-Table6[[#This Row],[Previous Amount]]</f>
        <v>0</v>
      </c>
      <c r="Q12" s="1">
        <f>(Table6[[#This Row],[Supply Rate]]+Table6[[#This Row],[Install Rate]])*Table6[[#This Row],[Cumulative]]</f>
        <v>0</v>
      </c>
    </row>
    <row r="13" spans="1:17" ht="29" x14ac:dyDescent="0.35">
      <c r="A13" t="s">
        <v>38</v>
      </c>
      <c r="B13" s="3" t="s">
        <v>706</v>
      </c>
      <c r="C13" s="197">
        <v>48</v>
      </c>
      <c r="D13" s="2" t="s">
        <v>10</v>
      </c>
      <c r="F13" s="1">
        <v>78</v>
      </c>
      <c r="G13" s="1">
        <f>(Table6[[#This Row],[Install Rate]]+Table6[[#This Row],[Supply Rate]])*Table6[[#This Row],[Qty]]</f>
        <v>3744</v>
      </c>
      <c r="H13" s="229">
        <f>Table6[[#This Row],[Supply Rate]]*80%</f>
        <v>0</v>
      </c>
      <c r="I13" s="241"/>
      <c r="J13" s="241">
        <f>IF(Table6[[#This Row],[Material Qty]]=0,0,Table6[[#This Row],[Material Qty]]-Table6[[#This Row],[Cumulative]])</f>
        <v>0</v>
      </c>
      <c r="K13" s="229">
        <f>Table6[[#This Row],[Material Balance Qty]]*Table6[[#This Row],[Material @ Site Rate]]</f>
        <v>0</v>
      </c>
      <c r="M13" s="197">
        <f>Table6[[#This Row],[Cumulative]]-Table6[[#This Row],[Previous Qty]]</f>
        <v>0</v>
      </c>
      <c r="O13" s="1">
        <f>(Table6[[#This Row],[Supply Rate]]+Table6[[#This Row],[Install Rate]])*Table6[[#This Row],[Previous Qty]]</f>
        <v>0</v>
      </c>
      <c r="P13" s="1">
        <f>Table6[[#This Row],[Cumulative Amount]]-Table6[[#This Row],[Previous Amount]]</f>
        <v>0</v>
      </c>
      <c r="Q13" s="1">
        <f>(Table6[[#This Row],[Supply Rate]]+Table6[[#This Row],[Install Rate]])*Table6[[#This Row],[Cumulative]]</f>
        <v>0</v>
      </c>
    </row>
    <row r="14" spans="1:17" ht="29" x14ac:dyDescent="0.35">
      <c r="A14" t="s">
        <v>38</v>
      </c>
      <c r="B14" s="3" t="s">
        <v>707</v>
      </c>
      <c r="C14" s="197">
        <v>48</v>
      </c>
      <c r="D14" s="2" t="s">
        <v>10</v>
      </c>
      <c r="F14" s="1">
        <v>63</v>
      </c>
      <c r="G14" s="1">
        <f>(Table6[[#This Row],[Install Rate]]+Table6[[#This Row],[Supply Rate]])*Table6[[#This Row],[Qty]]</f>
        <v>3024</v>
      </c>
      <c r="H14" s="229">
        <f>Table6[[#This Row],[Supply Rate]]*80%</f>
        <v>0</v>
      </c>
      <c r="I14" s="241"/>
      <c r="J14" s="241">
        <f>IF(Table6[[#This Row],[Material Qty]]=0,0,Table6[[#This Row],[Material Qty]]-Table6[[#This Row],[Cumulative]])</f>
        <v>0</v>
      </c>
      <c r="K14" s="229">
        <f>Table6[[#This Row],[Material Balance Qty]]*Table6[[#This Row],[Material @ Site Rate]]</f>
        <v>0</v>
      </c>
      <c r="M14" s="197">
        <f>Table6[[#This Row],[Cumulative]]-Table6[[#This Row],[Previous Qty]]</f>
        <v>0</v>
      </c>
      <c r="O14" s="1">
        <f>(Table6[[#This Row],[Supply Rate]]+Table6[[#This Row],[Install Rate]])*Table6[[#This Row],[Previous Qty]]</f>
        <v>0</v>
      </c>
      <c r="P14" s="1">
        <f>Table6[[#This Row],[Cumulative Amount]]-Table6[[#This Row],[Previous Amount]]</f>
        <v>0</v>
      </c>
      <c r="Q14" s="1">
        <f>(Table6[[#This Row],[Supply Rate]]+Table6[[#This Row],[Install Rate]])*Table6[[#This Row],[Cumulative]]</f>
        <v>0</v>
      </c>
    </row>
    <row r="15" spans="1:17" ht="29" x14ac:dyDescent="0.35">
      <c r="A15" t="s">
        <v>38</v>
      </c>
      <c r="B15" s="3" t="s">
        <v>708</v>
      </c>
      <c r="C15" s="197">
        <v>2.4</v>
      </c>
      <c r="D15" s="2" t="s">
        <v>10</v>
      </c>
      <c r="F15" s="1">
        <v>102</v>
      </c>
      <c r="G15" s="1">
        <f>(Table6[[#This Row],[Install Rate]]+Table6[[#This Row],[Supply Rate]])*Table6[[#This Row],[Qty]]</f>
        <v>244.79999999999998</v>
      </c>
      <c r="H15" s="229">
        <f>Table6[[#This Row],[Supply Rate]]*80%</f>
        <v>0</v>
      </c>
      <c r="I15" s="241"/>
      <c r="J15" s="241">
        <f>IF(Table6[[#This Row],[Material Qty]]=0,0,Table6[[#This Row],[Material Qty]]-Table6[[#This Row],[Cumulative]])</f>
        <v>0</v>
      </c>
      <c r="K15" s="229">
        <f>Table6[[#This Row],[Material Balance Qty]]*Table6[[#This Row],[Material @ Site Rate]]</f>
        <v>0</v>
      </c>
      <c r="M15" s="197">
        <f>Table6[[#This Row],[Cumulative]]-Table6[[#This Row],[Previous Qty]]</f>
        <v>0</v>
      </c>
      <c r="O15" s="1">
        <f>(Table6[[#This Row],[Supply Rate]]+Table6[[#This Row],[Install Rate]])*Table6[[#This Row],[Previous Qty]]</f>
        <v>0</v>
      </c>
      <c r="P15" s="1">
        <f>Table6[[#This Row],[Cumulative Amount]]-Table6[[#This Row],[Previous Amount]]</f>
        <v>0</v>
      </c>
      <c r="Q15" s="1">
        <f>(Table6[[#This Row],[Supply Rate]]+Table6[[#This Row],[Install Rate]])*Table6[[#This Row],[Cumulative]]</f>
        <v>0</v>
      </c>
    </row>
    <row r="16" spans="1:17" ht="29" x14ac:dyDescent="0.35">
      <c r="A16" t="s">
        <v>38</v>
      </c>
      <c r="B16" s="3" t="s">
        <v>709</v>
      </c>
      <c r="C16" s="197">
        <v>2.4</v>
      </c>
      <c r="D16" s="2" t="s">
        <v>10</v>
      </c>
      <c r="F16" s="1">
        <v>50</v>
      </c>
      <c r="G16" s="1">
        <f>(Table6[[#This Row],[Install Rate]]+Table6[[#This Row],[Supply Rate]])*Table6[[#This Row],[Qty]]</f>
        <v>120</v>
      </c>
      <c r="H16" s="229">
        <f>Table6[[#This Row],[Supply Rate]]*80%</f>
        <v>0</v>
      </c>
      <c r="I16" s="241"/>
      <c r="J16" s="241">
        <f>IF(Table6[[#This Row],[Material Qty]]=0,0,Table6[[#This Row],[Material Qty]]-Table6[[#This Row],[Cumulative]])</f>
        <v>0</v>
      </c>
      <c r="K16" s="229">
        <f>Table6[[#This Row],[Material Balance Qty]]*Table6[[#This Row],[Material @ Site Rate]]</f>
        <v>0</v>
      </c>
      <c r="M16" s="197">
        <f>Table6[[#This Row],[Cumulative]]-Table6[[#This Row],[Previous Qty]]</f>
        <v>0</v>
      </c>
      <c r="O16" s="1">
        <f>(Table6[[#This Row],[Supply Rate]]+Table6[[#This Row],[Install Rate]])*Table6[[#This Row],[Previous Qty]]</f>
        <v>0</v>
      </c>
      <c r="P16" s="1">
        <f>Table6[[#This Row],[Cumulative Amount]]-Table6[[#This Row],[Previous Amount]]</f>
        <v>0</v>
      </c>
      <c r="Q16" s="1">
        <f>(Table6[[#This Row],[Supply Rate]]+Table6[[#This Row],[Install Rate]])*Table6[[#This Row],[Cumulative]]</f>
        <v>0</v>
      </c>
    </row>
    <row r="17" spans="1:17" ht="29" x14ac:dyDescent="0.35">
      <c r="A17" t="s">
        <v>38</v>
      </c>
      <c r="B17" s="3" t="s">
        <v>710</v>
      </c>
      <c r="C17" s="197">
        <v>70.75</v>
      </c>
      <c r="D17" s="2" t="s">
        <v>10</v>
      </c>
      <c r="F17" s="1">
        <v>102</v>
      </c>
      <c r="G17" s="1">
        <f>(Table6[[#This Row],[Install Rate]]+Table6[[#This Row],[Supply Rate]])*Table6[[#This Row],[Qty]]</f>
        <v>7216.5</v>
      </c>
      <c r="H17" s="229">
        <f>Table6[[#This Row],[Supply Rate]]*80%</f>
        <v>0</v>
      </c>
      <c r="I17" s="241"/>
      <c r="J17" s="241">
        <f>IF(Table6[[#This Row],[Material Qty]]=0,0,Table6[[#This Row],[Material Qty]]-Table6[[#This Row],[Cumulative]])</f>
        <v>0</v>
      </c>
      <c r="K17" s="229">
        <f>Table6[[#This Row],[Material Balance Qty]]*Table6[[#This Row],[Material @ Site Rate]]</f>
        <v>0</v>
      </c>
      <c r="M17" s="197">
        <f>Table6[[#This Row],[Cumulative]]-Table6[[#This Row],[Previous Qty]]</f>
        <v>0</v>
      </c>
      <c r="O17" s="1">
        <f>(Table6[[#This Row],[Supply Rate]]+Table6[[#This Row],[Install Rate]])*Table6[[#This Row],[Previous Qty]]</f>
        <v>0</v>
      </c>
      <c r="P17" s="1">
        <f>Table6[[#This Row],[Cumulative Amount]]-Table6[[#This Row],[Previous Amount]]</f>
        <v>0</v>
      </c>
      <c r="Q17" s="1">
        <f>(Table6[[#This Row],[Supply Rate]]+Table6[[#This Row],[Install Rate]])*Table6[[#This Row],[Cumulative]]</f>
        <v>0</v>
      </c>
    </row>
    <row r="18" spans="1:17" ht="29" x14ac:dyDescent="0.35">
      <c r="A18" t="s">
        <v>38</v>
      </c>
      <c r="B18" s="3" t="s">
        <v>711</v>
      </c>
      <c r="C18" s="197">
        <v>70.75</v>
      </c>
      <c r="D18" s="2" t="s">
        <v>10</v>
      </c>
      <c r="F18" s="1">
        <v>50</v>
      </c>
      <c r="G18" s="1">
        <f>(Table6[[#This Row],[Install Rate]]+Table6[[#This Row],[Supply Rate]])*Table6[[#This Row],[Qty]]</f>
        <v>3537.5</v>
      </c>
      <c r="H18" s="229">
        <f>Table6[[#This Row],[Supply Rate]]*80%</f>
        <v>0</v>
      </c>
      <c r="I18" s="241"/>
      <c r="J18" s="241">
        <f>IF(Table6[[#This Row],[Material Qty]]=0,0,Table6[[#This Row],[Material Qty]]-Table6[[#This Row],[Cumulative]])</f>
        <v>0</v>
      </c>
      <c r="K18" s="229">
        <f>Table6[[#This Row],[Material Balance Qty]]*Table6[[#This Row],[Material @ Site Rate]]</f>
        <v>0</v>
      </c>
      <c r="M18" s="197">
        <f>Table6[[#This Row],[Cumulative]]-Table6[[#This Row],[Previous Qty]]</f>
        <v>0</v>
      </c>
      <c r="O18" s="1">
        <f>(Table6[[#This Row],[Supply Rate]]+Table6[[#This Row],[Install Rate]])*Table6[[#This Row],[Previous Qty]]</f>
        <v>0</v>
      </c>
      <c r="P18" s="1">
        <f>Table6[[#This Row],[Cumulative Amount]]-Table6[[#This Row],[Previous Amount]]</f>
        <v>0</v>
      </c>
      <c r="Q18" s="1">
        <f>(Table6[[#This Row],[Supply Rate]]+Table6[[#This Row],[Install Rate]])*Table6[[#This Row],[Cumulative]]</f>
        <v>0</v>
      </c>
    </row>
    <row r="19" spans="1:17" ht="29" x14ac:dyDescent="0.35">
      <c r="A19" t="s">
        <v>38</v>
      </c>
      <c r="B19" s="3" t="s">
        <v>712</v>
      </c>
      <c r="C19" s="197">
        <v>27</v>
      </c>
      <c r="D19" s="2" t="s">
        <v>10</v>
      </c>
      <c r="F19" s="1">
        <v>102</v>
      </c>
      <c r="G19" s="1">
        <f>(Table6[[#This Row],[Install Rate]]+Table6[[#This Row],[Supply Rate]])*Table6[[#This Row],[Qty]]</f>
        <v>2754</v>
      </c>
      <c r="H19" s="229">
        <f>Table6[[#This Row],[Supply Rate]]*80%</f>
        <v>0</v>
      </c>
      <c r="I19" s="241"/>
      <c r="J19" s="241">
        <f>IF(Table6[[#This Row],[Material Qty]]=0,0,Table6[[#This Row],[Material Qty]]-Table6[[#This Row],[Cumulative]])</f>
        <v>0</v>
      </c>
      <c r="K19" s="229">
        <f>Table6[[#This Row],[Material Balance Qty]]*Table6[[#This Row],[Material @ Site Rate]]</f>
        <v>0</v>
      </c>
      <c r="M19" s="197">
        <f>Table6[[#This Row],[Cumulative]]-Table6[[#This Row],[Previous Qty]]</f>
        <v>0</v>
      </c>
      <c r="O19" s="1">
        <f>(Table6[[#This Row],[Supply Rate]]+Table6[[#This Row],[Install Rate]])*Table6[[#This Row],[Previous Qty]]</f>
        <v>0</v>
      </c>
      <c r="P19" s="1">
        <f>Table6[[#This Row],[Cumulative Amount]]-Table6[[#This Row],[Previous Amount]]</f>
        <v>0</v>
      </c>
      <c r="Q19" s="1">
        <f>(Table6[[#This Row],[Supply Rate]]+Table6[[#This Row],[Install Rate]])*Table6[[#This Row],[Cumulative]]</f>
        <v>0</v>
      </c>
    </row>
    <row r="20" spans="1:17" ht="29" x14ac:dyDescent="0.35">
      <c r="A20" t="s">
        <v>38</v>
      </c>
      <c r="B20" s="3" t="s">
        <v>713</v>
      </c>
      <c r="C20" s="197">
        <v>27</v>
      </c>
      <c r="D20" s="2" t="s">
        <v>10</v>
      </c>
      <c r="F20" s="1">
        <v>50</v>
      </c>
      <c r="G20" s="1">
        <f>(Table6[[#This Row],[Install Rate]]+Table6[[#This Row],[Supply Rate]])*Table6[[#This Row],[Qty]]</f>
        <v>1350</v>
      </c>
      <c r="H20" s="229">
        <f>Table6[[#This Row],[Supply Rate]]*80%</f>
        <v>0</v>
      </c>
      <c r="I20" s="241"/>
      <c r="J20" s="241">
        <f>IF(Table6[[#This Row],[Material Qty]]=0,0,Table6[[#This Row],[Material Qty]]-Table6[[#This Row],[Cumulative]])</f>
        <v>0</v>
      </c>
      <c r="K20" s="229">
        <f>Table6[[#This Row],[Material Balance Qty]]*Table6[[#This Row],[Material @ Site Rate]]</f>
        <v>0</v>
      </c>
      <c r="M20" s="197">
        <f>Table6[[#This Row],[Cumulative]]-Table6[[#This Row],[Previous Qty]]</f>
        <v>0</v>
      </c>
      <c r="O20" s="1">
        <f>(Table6[[#This Row],[Supply Rate]]+Table6[[#This Row],[Install Rate]])*Table6[[#This Row],[Previous Qty]]</f>
        <v>0</v>
      </c>
      <c r="P20" s="1">
        <f>Table6[[#This Row],[Cumulative Amount]]-Table6[[#This Row],[Previous Amount]]</f>
        <v>0</v>
      </c>
      <c r="Q20" s="1">
        <f>(Table6[[#This Row],[Supply Rate]]+Table6[[#This Row],[Install Rate]])*Table6[[#This Row],[Cumulative]]</f>
        <v>0</v>
      </c>
    </row>
    <row r="21" spans="1:17" ht="29" x14ac:dyDescent="0.35">
      <c r="A21" t="s">
        <v>38</v>
      </c>
      <c r="B21" s="3" t="s">
        <v>714</v>
      </c>
      <c r="C21" s="197">
        <v>6.75</v>
      </c>
      <c r="D21" s="2" t="s">
        <v>10</v>
      </c>
      <c r="F21" s="1">
        <v>50</v>
      </c>
      <c r="G21" s="1">
        <f>(Table6[[#This Row],[Install Rate]]+Table6[[#This Row],[Supply Rate]])*Table6[[#This Row],[Qty]]</f>
        <v>337.5</v>
      </c>
      <c r="H21" s="229">
        <f>Table6[[#This Row],[Supply Rate]]*80%</f>
        <v>0</v>
      </c>
      <c r="I21" s="241"/>
      <c r="J21" s="241">
        <f>IF(Table6[[#This Row],[Material Qty]]=0,0,Table6[[#This Row],[Material Qty]]-Table6[[#This Row],[Cumulative]])</f>
        <v>0</v>
      </c>
      <c r="K21" s="229">
        <f>Table6[[#This Row],[Material Balance Qty]]*Table6[[#This Row],[Material @ Site Rate]]</f>
        <v>0</v>
      </c>
      <c r="M21" s="197">
        <f>Table6[[#This Row],[Cumulative]]-Table6[[#This Row],[Previous Qty]]</f>
        <v>0</v>
      </c>
      <c r="O21" s="1">
        <f>(Table6[[#This Row],[Supply Rate]]+Table6[[#This Row],[Install Rate]])*Table6[[#This Row],[Previous Qty]]</f>
        <v>0</v>
      </c>
      <c r="P21" s="1">
        <f>Table6[[#This Row],[Cumulative Amount]]-Table6[[#This Row],[Previous Amount]]</f>
        <v>0</v>
      </c>
      <c r="Q21" s="1">
        <f>(Table6[[#This Row],[Supply Rate]]+Table6[[#This Row],[Install Rate]])*Table6[[#This Row],[Cumulative]]</f>
        <v>0</v>
      </c>
    </row>
    <row r="22" spans="1:17" ht="29" x14ac:dyDescent="0.35">
      <c r="A22" t="s">
        <v>38</v>
      </c>
      <c r="B22" s="3" t="s">
        <v>715</v>
      </c>
      <c r="C22" s="197">
        <v>6.75</v>
      </c>
      <c r="D22" s="2" t="s">
        <v>10</v>
      </c>
      <c r="F22" s="1">
        <v>50</v>
      </c>
      <c r="G22" s="1">
        <f>(Table6[[#This Row],[Install Rate]]+Table6[[#This Row],[Supply Rate]])*Table6[[#This Row],[Qty]]</f>
        <v>337.5</v>
      </c>
      <c r="H22" s="229">
        <f>Table6[[#This Row],[Supply Rate]]*80%</f>
        <v>0</v>
      </c>
      <c r="I22" s="241"/>
      <c r="J22" s="241">
        <f>IF(Table6[[#This Row],[Material Qty]]=0,0,Table6[[#This Row],[Material Qty]]-Table6[[#This Row],[Cumulative]])</f>
        <v>0</v>
      </c>
      <c r="K22" s="229">
        <f>Table6[[#This Row],[Material Balance Qty]]*Table6[[#This Row],[Material @ Site Rate]]</f>
        <v>0</v>
      </c>
      <c r="M22" s="197">
        <f>Table6[[#This Row],[Cumulative]]-Table6[[#This Row],[Previous Qty]]</f>
        <v>0</v>
      </c>
      <c r="O22" s="1">
        <f>(Table6[[#This Row],[Supply Rate]]+Table6[[#This Row],[Install Rate]])*Table6[[#This Row],[Previous Qty]]</f>
        <v>0</v>
      </c>
      <c r="P22" s="1">
        <f>Table6[[#This Row],[Cumulative Amount]]-Table6[[#This Row],[Previous Amount]]</f>
        <v>0</v>
      </c>
      <c r="Q22" s="1">
        <f>(Table6[[#This Row],[Supply Rate]]+Table6[[#This Row],[Install Rate]])*Table6[[#This Row],[Cumulative]]</f>
        <v>0</v>
      </c>
    </row>
    <row r="23" spans="1:17" ht="29" x14ac:dyDescent="0.35">
      <c r="A23" t="s">
        <v>38</v>
      </c>
      <c r="B23" s="3" t="s">
        <v>716</v>
      </c>
      <c r="C23" s="197">
        <v>14.44</v>
      </c>
      <c r="D23" s="2" t="s">
        <v>10</v>
      </c>
      <c r="F23" s="1">
        <v>50</v>
      </c>
      <c r="G23" s="1">
        <f>(Table6[[#This Row],[Install Rate]]+Table6[[#This Row],[Supply Rate]])*Table6[[#This Row],[Qty]]</f>
        <v>722</v>
      </c>
      <c r="H23" s="229">
        <f>Table6[[#This Row],[Supply Rate]]*80%</f>
        <v>0</v>
      </c>
      <c r="I23" s="241"/>
      <c r="J23" s="241">
        <f>IF(Table6[[#This Row],[Material Qty]]=0,0,Table6[[#This Row],[Material Qty]]-Table6[[#This Row],[Cumulative]])</f>
        <v>0</v>
      </c>
      <c r="K23" s="229">
        <f>Table6[[#This Row],[Material Balance Qty]]*Table6[[#This Row],[Material @ Site Rate]]</f>
        <v>0</v>
      </c>
      <c r="M23" s="197">
        <f>Table6[[#This Row],[Cumulative]]-Table6[[#This Row],[Previous Qty]]</f>
        <v>14.44</v>
      </c>
      <c r="N23" s="197">
        <v>14.44</v>
      </c>
      <c r="O23" s="1">
        <f>(Table6[[#This Row],[Supply Rate]]+Table6[[#This Row],[Install Rate]])*Table6[[#This Row],[Previous Qty]]</f>
        <v>0</v>
      </c>
      <c r="P23" s="1">
        <f>Table6[[#This Row],[Cumulative Amount]]-Table6[[#This Row],[Previous Amount]]</f>
        <v>722</v>
      </c>
      <c r="Q23" s="1">
        <f>(Table6[[#This Row],[Supply Rate]]+Table6[[#This Row],[Install Rate]])*Table6[[#This Row],[Cumulative]]</f>
        <v>722</v>
      </c>
    </row>
    <row r="24" spans="1:17" ht="29" x14ac:dyDescent="0.35">
      <c r="A24" t="s">
        <v>38</v>
      </c>
      <c r="B24" s="3" t="s">
        <v>717</v>
      </c>
      <c r="C24" s="197">
        <v>14.44</v>
      </c>
      <c r="D24" s="2" t="s">
        <v>10</v>
      </c>
      <c r="F24" s="1">
        <v>50</v>
      </c>
      <c r="G24" s="1">
        <f>(Table6[[#This Row],[Install Rate]]+Table6[[#This Row],[Supply Rate]])*Table6[[#This Row],[Qty]]</f>
        <v>722</v>
      </c>
      <c r="H24" s="229">
        <f>Table6[[#This Row],[Supply Rate]]*80%</f>
        <v>0</v>
      </c>
      <c r="I24" s="241"/>
      <c r="J24" s="241">
        <f>IF(Table6[[#This Row],[Material Qty]]=0,0,Table6[[#This Row],[Material Qty]]-Table6[[#This Row],[Cumulative]])</f>
        <v>0</v>
      </c>
      <c r="K24" s="229">
        <f>Table6[[#This Row],[Material Balance Qty]]*Table6[[#This Row],[Material @ Site Rate]]</f>
        <v>0</v>
      </c>
      <c r="M24" s="197">
        <f>Table6[[#This Row],[Cumulative]]-Table6[[#This Row],[Previous Qty]]</f>
        <v>14.44</v>
      </c>
      <c r="N24" s="197">
        <v>14.44</v>
      </c>
      <c r="O24" s="1">
        <f>(Table6[[#This Row],[Supply Rate]]+Table6[[#This Row],[Install Rate]])*Table6[[#This Row],[Previous Qty]]</f>
        <v>0</v>
      </c>
      <c r="P24" s="1">
        <f>Table6[[#This Row],[Cumulative Amount]]-Table6[[#This Row],[Previous Amount]]</f>
        <v>722</v>
      </c>
      <c r="Q24" s="1">
        <f>(Table6[[#This Row],[Supply Rate]]+Table6[[#This Row],[Install Rate]])*Table6[[#This Row],[Cumulative]]</f>
        <v>722</v>
      </c>
    </row>
    <row r="25" spans="1:17" ht="29" x14ac:dyDescent="0.35">
      <c r="A25" t="s">
        <v>38</v>
      </c>
      <c r="B25" s="3" t="s">
        <v>718</v>
      </c>
      <c r="C25" s="197">
        <v>14.44</v>
      </c>
      <c r="D25" s="2" t="s">
        <v>10</v>
      </c>
      <c r="F25" s="1">
        <v>50</v>
      </c>
      <c r="G25" s="1">
        <f>(Table6[[#This Row],[Install Rate]]+Table6[[#This Row],[Supply Rate]])*Table6[[#This Row],[Qty]]</f>
        <v>722</v>
      </c>
      <c r="H25" s="229">
        <f>Table6[[#This Row],[Supply Rate]]*80%</f>
        <v>0</v>
      </c>
      <c r="I25" s="241"/>
      <c r="J25" s="241">
        <f>IF(Table6[[#This Row],[Material Qty]]=0,0,Table6[[#This Row],[Material Qty]]-Table6[[#This Row],[Cumulative]])</f>
        <v>0</v>
      </c>
      <c r="K25" s="229">
        <f>Table6[[#This Row],[Material Balance Qty]]*Table6[[#This Row],[Material @ Site Rate]]</f>
        <v>0</v>
      </c>
      <c r="M25" s="197">
        <f>Table6[[#This Row],[Cumulative]]-Table6[[#This Row],[Previous Qty]]</f>
        <v>14.44</v>
      </c>
      <c r="N25" s="197">
        <v>14.44</v>
      </c>
      <c r="O25" s="1">
        <f>(Table6[[#This Row],[Supply Rate]]+Table6[[#This Row],[Install Rate]])*Table6[[#This Row],[Previous Qty]]</f>
        <v>0</v>
      </c>
      <c r="P25" s="1">
        <f>Table6[[#This Row],[Cumulative Amount]]-Table6[[#This Row],[Previous Amount]]</f>
        <v>722</v>
      </c>
      <c r="Q25" s="1">
        <f>(Table6[[#This Row],[Supply Rate]]+Table6[[#This Row],[Install Rate]])*Table6[[#This Row],[Cumulative]]</f>
        <v>722</v>
      </c>
    </row>
    <row r="26" spans="1:17" ht="29" x14ac:dyDescent="0.35">
      <c r="A26" t="s">
        <v>38</v>
      </c>
      <c r="B26" s="3" t="s">
        <v>719</v>
      </c>
      <c r="C26" s="197">
        <v>14.44</v>
      </c>
      <c r="D26" s="2" t="s">
        <v>10</v>
      </c>
      <c r="F26" s="1">
        <v>50</v>
      </c>
      <c r="G26" s="1">
        <f>(Table6[[#This Row],[Install Rate]]+Table6[[#This Row],[Supply Rate]])*Table6[[#This Row],[Qty]]</f>
        <v>722</v>
      </c>
      <c r="H26" s="229">
        <f>Table6[[#This Row],[Supply Rate]]*80%</f>
        <v>0</v>
      </c>
      <c r="I26" s="241"/>
      <c r="J26" s="241">
        <f>IF(Table6[[#This Row],[Material Qty]]=0,0,Table6[[#This Row],[Material Qty]]-Table6[[#This Row],[Cumulative]])</f>
        <v>0</v>
      </c>
      <c r="K26" s="229">
        <f>Table6[[#This Row],[Material Balance Qty]]*Table6[[#This Row],[Material @ Site Rate]]</f>
        <v>0</v>
      </c>
      <c r="M26" s="197">
        <f>Table6[[#This Row],[Cumulative]]-Table6[[#This Row],[Previous Qty]]</f>
        <v>14.44</v>
      </c>
      <c r="N26" s="197">
        <v>14.44</v>
      </c>
      <c r="O26" s="1">
        <f>(Table6[[#This Row],[Supply Rate]]+Table6[[#This Row],[Install Rate]])*Table6[[#This Row],[Previous Qty]]</f>
        <v>0</v>
      </c>
      <c r="P26" s="1">
        <f>Table6[[#This Row],[Cumulative Amount]]-Table6[[#This Row],[Previous Amount]]</f>
        <v>722</v>
      </c>
      <c r="Q26" s="1">
        <f>(Table6[[#This Row],[Supply Rate]]+Table6[[#This Row],[Install Rate]])*Table6[[#This Row],[Cumulative]]</f>
        <v>722</v>
      </c>
    </row>
    <row r="27" spans="1:17" ht="58" x14ac:dyDescent="0.35">
      <c r="A27" t="s">
        <v>38</v>
      </c>
      <c r="B27" s="3" t="s">
        <v>720</v>
      </c>
      <c r="C27" s="197">
        <v>39.6</v>
      </c>
      <c r="D27" s="2" t="s">
        <v>17</v>
      </c>
      <c r="F27" s="1">
        <v>178</v>
      </c>
      <c r="G27" s="1">
        <f>(Table6[[#This Row],[Install Rate]]+Table6[[#This Row],[Supply Rate]])*Table6[[#This Row],[Qty]]</f>
        <v>7048.8</v>
      </c>
      <c r="H27" s="229">
        <f>Table6[[#This Row],[Supply Rate]]*80%</f>
        <v>0</v>
      </c>
      <c r="I27" s="241"/>
      <c r="J27" s="241">
        <f>IF(Table6[[#This Row],[Material Qty]]=0,0,Table6[[#This Row],[Material Qty]]-Table6[[#This Row],[Cumulative]])</f>
        <v>0</v>
      </c>
      <c r="K27" s="229">
        <f>Table6[[#This Row],[Material Balance Qty]]*Table6[[#This Row],[Material @ Site Rate]]</f>
        <v>0</v>
      </c>
      <c r="M27" s="197">
        <f>Table6[[#This Row],[Cumulative]]-Table6[[#This Row],[Previous Qty]]</f>
        <v>0</v>
      </c>
      <c r="O27" s="1">
        <f>(Table6[[#This Row],[Supply Rate]]+Table6[[#This Row],[Install Rate]])*Table6[[#This Row],[Previous Qty]]</f>
        <v>0</v>
      </c>
      <c r="P27" s="1">
        <f>Table6[[#This Row],[Cumulative Amount]]-Table6[[#This Row],[Previous Amount]]</f>
        <v>0</v>
      </c>
      <c r="Q27" s="1">
        <f>(Table6[[#This Row],[Supply Rate]]+Table6[[#This Row],[Install Rate]])*Table6[[#This Row],[Cumulative]]</f>
        <v>0</v>
      </c>
    </row>
    <row r="28" spans="1:17" ht="29" x14ac:dyDescent="0.35">
      <c r="A28" t="s">
        <v>69</v>
      </c>
      <c r="B28" s="3" t="s">
        <v>721</v>
      </c>
      <c r="D28" s="2" t="s">
        <v>17</v>
      </c>
      <c r="F28" s="1">
        <v>154</v>
      </c>
      <c r="G28" s="1">
        <f>(Table6[[#This Row],[Install Rate]]+Table6[[#This Row],[Supply Rate]])*Table6[[#This Row],[Qty]]</f>
        <v>0</v>
      </c>
      <c r="H28" s="229">
        <f>Table6[[#This Row],[Supply Rate]]*80%</f>
        <v>0</v>
      </c>
      <c r="I28" s="241"/>
      <c r="J28" s="241">
        <f>IF(Table6[[#This Row],[Material Qty]]=0,0,Table6[[#This Row],[Material Qty]]-Table6[[#This Row],[Cumulative]])</f>
        <v>0</v>
      </c>
      <c r="K28" s="229">
        <f>Table6[[#This Row],[Material Balance Qty]]*Table6[[#This Row],[Material @ Site Rate]]</f>
        <v>0</v>
      </c>
      <c r="M28" s="197">
        <f>Table6[[#This Row],[Cumulative]]-Table6[[#This Row],[Previous Qty]]</f>
        <v>0</v>
      </c>
      <c r="O28" s="1">
        <f>(Table6[[#This Row],[Supply Rate]]+Table6[[#This Row],[Install Rate]])*Table6[[#This Row],[Previous Qty]]</f>
        <v>0</v>
      </c>
      <c r="P28" s="1">
        <f>Table6[[#This Row],[Cumulative Amount]]-Table6[[#This Row],[Previous Amount]]</f>
        <v>0</v>
      </c>
      <c r="Q28" s="1">
        <f>(Table6[[#This Row],[Supply Rate]]+Table6[[#This Row],[Install Rate]])*Table6[[#This Row],[Cumulative]]</f>
        <v>0</v>
      </c>
    </row>
    <row r="29" spans="1:17" ht="29" x14ac:dyDescent="0.35">
      <c r="A29" t="s">
        <v>69</v>
      </c>
      <c r="B29" s="3" t="s">
        <v>722</v>
      </c>
      <c r="C29" s="197">
        <v>155.53</v>
      </c>
      <c r="D29" s="2" t="s">
        <v>17</v>
      </c>
      <c r="G29" s="1">
        <f>(Table6[[#This Row],[Install Rate]]+Table6[[#This Row],[Supply Rate]])*Table6[[#This Row],[Qty]]</f>
        <v>0</v>
      </c>
      <c r="H29" s="229">
        <f>Table6[[#This Row],[Supply Rate]]*80%</f>
        <v>0</v>
      </c>
      <c r="I29" s="241"/>
      <c r="J29" s="241">
        <f>IF(Table6[[#This Row],[Material Qty]]=0,0,Table6[[#This Row],[Material Qty]]-Table6[[#This Row],[Cumulative]])</f>
        <v>0</v>
      </c>
      <c r="K29" s="229">
        <f>Table6[[#This Row],[Material Balance Qty]]*Table6[[#This Row],[Material @ Site Rate]]</f>
        <v>0</v>
      </c>
      <c r="M29" s="197">
        <f>Table6[[#This Row],[Cumulative]]-Table6[[#This Row],[Previous Qty]]</f>
        <v>0</v>
      </c>
      <c r="O29" s="1">
        <f>(Table6[[#This Row],[Supply Rate]]+Table6[[#This Row],[Install Rate]])*Table6[[#This Row],[Previous Qty]]</f>
        <v>0</v>
      </c>
      <c r="P29" s="1">
        <f>Table6[[#This Row],[Cumulative Amount]]-Table6[[#This Row],[Previous Amount]]</f>
        <v>0</v>
      </c>
      <c r="Q29" s="1">
        <f>(Table6[[#This Row],[Supply Rate]]+Table6[[#This Row],[Install Rate]])*Table6[[#This Row],[Cumulative]]</f>
        <v>0</v>
      </c>
    </row>
    <row r="30" spans="1:17" ht="29" x14ac:dyDescent="0.35">
      <c r="A30" t="s">
        <v>69</v>
      </c>
      <c r="B30" s="3" t="s">
        <v>723</v>
      </c>
      <c r="C30" s="197">
        <v>8.1999999999999993</v>
      </c>
      <c r="D30" s="2" t="s">
        <v>17</v>
      </c>
      <c r="G30" s="1">
        <f>(Table6[[#This Row],[Install Rate]]+Table6[[#This Row],[Supply Rate]])*Table6[[#This Row],[Qty]]</f>
        <v>0</v>
      </c>
      <c r="H30" s="229">
        <f>Table6[[#This Row],[Supply Rate]]*80%</f>
        <v>0</v>
      </c>
      <c r="I30" s="241"/>
      <c r="J30" s="241">
        <f>IF(Table6[[#This Row],[Material Qty]]=0,0,Table6[[#This Row],[Material Qty]]-Table6[[#This Row],[Cumulative]])</f>
        <v>0</v>
      </c>
      <c r="K30" s="229">
        <f>Table6[[#This Row],[Material Balance Qty]]*Table6[[#This Row],[Material @ Site Rate]]</f>
        <v>0</v>
      </c>
      <c r="M30" s="197">
        <f>Table6[[#This Row],[Cumulative]]-Table6[[#This Row],[Previous Qty]]</f>
        <v>0</v>
      </c>
      <c r="O30" s="1">
        <f>(Table6[[#This Row],[Supply Rate]]+Table6[[#This Row],[Install Rate]])*Table6[[#This Row],[Previous Qty]]</f>
        <v>0</v>
      </c>
      <c r="P30" s="1">
        <f>Table6[[#This Row],[Cumulative Amount]]-Table6[[#This Row],[Previous Amount]]</f>
        <v>0</v>
      </c>
      <c r="Q30" s="1">
        <f>(Table6[[#This Row],[Supply Rate]]+Table6[[#This Row],[Install Rate]])*Table6[[#This Row],[Cumulative]]</f>
        <v>0</v>
      </c>
    </row>
    <row r="31" spans="1:17" ht="29" x14ac:dyDescent="0.35">
      <c r="A31" t="s">
        <v>69</v>
      </c>
      <c r="B31" s="3" t="s">
        <v>724</v>
      </c>
      <c r="C31" s="197">
        <v>5.86</v>
      </c>
      <c r="D31" s="2" t="s">
        <v>17</v>
      </c>
      <c r="G31" s="1">
        <f>(Table6[[#This Row],[Install Rate]]+Table6[[#This Row],[Supply Rate]])*Table6[[#This Row],[Qty]]</f>
        <v>0</v>
      </c>
      <c r="H31" s="229">
        <f>Table6[[#This Row],[Supply Rate]]*80%</f>
        <v>0</v>
      </c>
      <c r="I31" s="241"/>
      <c r="J31" s="241">
        <f>IF(Table6[[#This Row],[Material Qty]]=0,0,Table6[[#This Row],[Material Qty]]-Table6[[#This Row],[Cumulative]])</f>
        <v>0</v>
      </c>
      <c r="K31" s="229">
        <f>Table6[[#This Row],[Material Balance Qty]]*Table6[[#This Row],[Material @ Site Rate]]</f>
        <v>0</v>
      </c>
      <c r="M31" s="197">
        <f>Table6[[#This Row],[Cumulative]]-Table6[[#This Row],[Previous Qty]]</f>
        <v>0</v>
      </c>
      <c r="O31" s="1">
        <f>(Table6[[#This Row],[Supply Rate]]+Table6[[#This Row],[Install Rate]])*Table6[[#This Row],[Previous Qty]]</f>
        <v>0</v>
      </c>
      <c r="P31" s="1">
        <f>Table6[[#This Row],[Cumulative Amount]]-Table6[[#This Row],[Previous Amount]]</f>
        <v>0</v>
      </c>
      <c r="Q31" s="1">
        <f>(Table6[[#This Row],[Supply Rate]]+Table6[[#This Row],[Install Rate]])*Table6[[#This Row],[Cumulative]]</f>
        <v>0</v>
      </c>
    </row>
    <row r="32" spans="1:17" ht="29" x14ac:dyDescent="0.35">
      <c r="A32" t="s">
        <v>69</v>
      </c>
      <c r="B32" s="3" t="s">
        <v>725</v>
      </c>
      <c r="C32" s="197">
        <v>8.9700000000000006</v>
      </c>
      <c r="D32" s="2" t="s">
        <v>17</v>
      </c>
      <c r="G32" s="1">
        <f>(Table6[[#This Row],[Install Rate]]+Table6[[#This Row],[Supply Rate]])*Table6[[#This Row],[Qty]]</f>
        <v>0</v>
      </c>
      <c r="H32" s="229">
        <f>Table6[[#This Row],[Supply Rate]]*80%</f>
        <v>0</v>
      </c>
      <c r="I32" s="241"/>
      <c r="J32" s="241">
        <f>IF(Table6[[#This Row],[Material Qty]]=0,0,Table6[[#This Row],[Material Qty]]-Table6[[#This Row],[Cumulative]])</f>
        <v>0</v>
      </c>
      <c r="K32" s="229">
        <f>Table6[[#This Row],[Material Balance Qty]]*Table6[[#This Row],[Material @ Site Rate]]</f>
        <v>0</v>
      </c>
      <c r="M32" s="197">
        <f>Table6[[#This Row],[Cumulative]]-Table6[[#This Row],[Previous Qty]]</f>
        <v>0</v>
      </c>
      <c r="O32" s="1">
        <f>(Table6[[#This Row],[Supply Rate]]+Table6[[#This Row],[Install Rate]])*Table6[[#This Row],[Previous Qty]]</f>
        <v>0</v>
      </c>
      <c r="P32" s="1">
        <f>Table6[[#This Row],[Cumulative Amount]]-Table6[[#This Row],[Previous Amount]]</f>
        <v>0</v>
      </c>
      <c r="Q32" s="1">
        <f>(Table6[[#This Row],[Supply Rate]]+Table6[[#This Row],[Install Rate]])*Table6[[#This Row],[Cumulative]]</f>
        <v>0</v>
      </c>
    </row>
    <row r="33" spans="1:17" ht="29" x14ac:dyDescent="0.35">
      <c r="A33" t="s">
        <v>69</v>
      </c>
      <c r="B33" s="3" t="s">
        <v>726</v>
      </c>
      <c r="C33" s="197">
        <v>19.96</v>
      </c>
      <c r="D33" s="2" t="s">
        <v>17</v>
      </c>
      <c r="G33" s="1">
        <f>(Table6[[#This Row],[Install Rate]]+Table6[[#This Row],[Supply Rate]])*Table6[[#This Row],[Qty]]</f>
        <v>0</v>
      </c>
      <c r="H33" s="229">
        <f>Table6[[#This Row],[Supply Rate]]*80%</f>
        <v>0</v>
      </c>
      <c r="I33" s="241"/>
      <c r="J33" s="241">
        <f>IF(Table6[[#This Row],[Material Qty]]=0,0,Table6[[#This Row],[Material Qty]]-Table6[[#This Row],[Cumulative]])</f>
        <v>0</v>
      </c>
      <c r="K33" s="229">
        <f>Table6[[#This Row],[Material Balance Qty]]*Table6[[#This Row],[Material @ Site Rate]]</f>
        <v>0</v>
      </c>
      <c r="M33" s="197">
        <f>Table6[[#This Row],[Cumulative]]-Table6[[#This Row],[Previous Qty]]</f>
        <v>0</v>
      </c>
      <c r="O33" s="1">
        <f>(Table6[[#This Row],[Supply Rate]]+Table6[[#This Row],[Install Rate]])*Table6[[#This Row],[Previous Qty]]</f>
        <v>0</v>
      </c>
      <c r="P33" s="1">
        <f>Table6[[#This Row],[Cumulative Amount]]-Table6[[#This Row],[Previous Amount]]</f>
        <v>0</v>
      </c>
      <c r="Q33" s="1">
        <f>(Table6[[#This Row],[Supply Rate]]+Table6[[#This Row],[Install Rate]])*Table6[[#This Row],[Cumulative]]</f>
        <v>0</v>
      </c>
    </row>
    <row r="34" spans="1:17" ht="29" x14ac:dyDescent="0.35">
      <c r="A34" t="s">
        <v>69</v>
      </c>
      <c r="B34" s="3" t="s">
        <v>727</v>
      </c>
      <c r="C34" s="197">
        <v>15.07</v>
      </c>
      <c r="D34" s="2" t="s">
        <v>10</v>
      </c>
      <c r="G34" s="1">
        <f>(Table6[[#This Row],[Install Rate]]+Table6[[#This Row],[Supply Rate]])*Table6[[#This Row],[Qty]]</f>
        <v>0</v>
      </c>
      <c r="H34" s="229">
        <f>Table6[[#This Row],[Supply Rate]]*80%</f>
        <v>0</v>
      </c>
      <c r="I34" s="241"/>
      <c r="J34" s="241">
        <f>IF(Table6[[#This Row],[Material Qty]]=0,0,Table6[[#This Row],[Material Qty]]-Table6[[#This Row],[Cumulative]])</f>
        <v>0</v>
      </c>
      <c r="K34" s="229">
        <f>Table6[[#This Row],[Material Balance Qty]]*Table6[[#This Row],[Material @ Site Rate]]</f>
        <v>0</v>
      </c>
      <c r="M34" s="197">
        <f>Table6[[#This Row],[Cumulative]]-Table6[[#This Row],[Previous Qty]]</f>
        <v>0</v>
      </c>
      <c r="O34" s="1">
        <f>(Table6[[#This Row],[Supply Rate]]+Table6[[#This Row],[Install Rate]])*Table6[[#This Row],[Previous Qty]]</f>
        <v>0</v>
      </c>
      <c r="P34" s="1">
        <f>Table6[[#This Row],[Cumulative Amount]]-Table6[[#This Row],[Previous Amount]]</f>
        <v>0</v>
      </c>
      <c r="Q34" s="1">
        <f>(Table6[[#This Row],[Supply Rate]]+Table6[[#This Row],[Install Rate]])*Table6[[#This Row],[Cumulative]]</f>
        <v>0</v>
      </c>
    </row>
    <row r="35" spans="1:17" ht="29" x14ac:dyDescent="0.35">
      <c r="A35" t="s">
        <v>69</v>
      </c>
      <c r="B35" s="3" t="s">
        <v>728</v>
      </c>
      <c r="C35" s="197">
        <v>15.07</v>
      </c>
      <c r="D35" s="2" t="s">
        <v>10</v>
      </c>
      <c r="G35" s="1">
        <f>(Table6[[#This Row],[Install Rate]]+Table6[[#This Row],[Supply Rate]])*Table6[[#This Row],[Qty]]</f>
        <v>0</v>
      </c>
      <c r="H35" s="229">
        <f>Table6[[#This Row],[Supply Rate]]*80%</f>
        <v>0</v>
      </c>
      <c r="I35" s="241"/>
      <c r="J35" s="241">
        <f>IF(Table6[[#This Row],[Material Qty]]=0,0,Table6[[#This Row],[Material Qty]]-Table6[[#This Row],[Cumulative]])</f>
        <v>0</v>
      </c>
      <c r="K35" s="229">
        <f>Table6[[#This Row],[Material Balance Qty]]*Table6[[#This Row],[Material @ Site Rate]]</f>
        <v>0</v>
      </c>
      <c r="M35" s="197">
        <f>Table6[[#This Row],[Cumulative]]-Table6[[#This Row],[Previous Qty]]</f>
        <v>0</v>
      </c>
      <c r="O35" s="1">
        <f>(Table6[[#This Row],[Supply Rate]]+Table6[[#This Row],[Install Rate]])*Table6[[#This Row],[Previous Qty]]</f>
        <v>0</v>
      </c>
      <c r="P35" s="1">
        <f>Table6[[#This Row],[Cumulative Amount]]-Table6[[#This Row],[Previous Amount]]</f>
        <v>0</v>
      </c>
      <c r="Q35" s="1">
        <f>(Table6[[#This Row],[Supply Rate]]+Table6[[#This Row],[Install Rate]])*Table6[[#This Row],[Cumulative]]</f>
        <v>0</v>
      </c>
    </row>
    <row r="36" spans="1:17" ht="29" x14ac:dyDescent="0.35">
      <c r="A36" t="s">
        <v>729</v>
      </c>
      <c r="B36" s="3" t="s">
        <v>721</v>
      </c>
      <c r="C36" s="197">
        <v>717.43000000000006</v>
      </c>
      <c r="D36" s="2" t="s">
        <v>17</v>
      </c>
      <c r="F36" s="1">
        <v>131</v>
      </c>
      <c r="G36" s="1">
        <f>(Table6[[#This Row],[Install Rate]]+Table6[[#This Row],[Supply Rate]])*Table6[[#This Row],[Qty]]</f>
        <v>93983.33</v>
      </c>
      <c r="H36" s="229">
        <f>Table6[[#This Row],[Supply Rate]]*80%</f>
        <v>0</v>
      </c>
      <c r="I36" s="241"/>
      <c r="J36" s="241">
        <f>IF(Table6[[#This Row],[Material Qty]]=0,0,Table6[[#This Row],[Material Qty]]-Table6[[#This Row],[Cumulative]])</f>
        <v>0</v>
      </c>
      <c r="K36" s="229">
        <f>Table6[[#This Row],[Material Balance Qty]]*Table6[[#This Row],[Material @ Site Rate]]</f>
        <v>0</v>
      </c>
      <c r="L36" s="197">
        <v>157</v>
      </c>
      <c r="M36" s="276">
        <f>Table6[[#This Row],[Cumulative]]-Table6[[#This Row],[Previous Qty]]</f>
        <v>0</v>
      </c>
      <c r="N36" s="197">
        <v>157</v>
      </c>
      <c r="O36" s="1">
        <f>(Table6[[#This Row],[Supply Rate]]+Table6[[#This Row],[Install Rate]])*Table6[[#This Row],[Previous Qty]]</f>
        <v>20567</v>
      </c>
      <c r="P36" s="1">
        <f>Table6[[#This Row],[Cumulative Amount]]-Table6[[#This Row],[Previous Amount]]</f>
        <v>0</v>
      </c>
      <c r="Q36" s="1">
        <f>(Table6[[#This Row],[Supply Rate]]+Table6[[#This Row],[Install Rate]])*Table6[[#This Row],[Cumulative]]</f>
        <v>20567</v>
      </c>
    </row>
    <row r="37" spans="1:17" ht="29" x14ac:dyDescent="0.35">
      <c r="A37" t="s">
        <v>729</v>
      </c>
      <c r="B37" s="3" t="s">
        <v>730</v>
      </c>
      <c r="C37" s="197">
        <v>8.6999999999999993</v>
      </c>
      <c r="D37" s="2" t="s">
        <v>17</v>
      </c>
      <c r="F37" s="1">
        <v>243</v>
      </c>
      <c r="G37" s="1">
        <f>(Table6[[#This Row],[Install Rate]]+Table6[[#This Row],[Supply Rate]])*Table6[[#This Row],[Qty]]</f>
        <v>2114.1</v>
      </c>
      <c r="H37" s="229">
        <f>Table6[[#This Row],[Supply Rate]]*80%</f>
        <v>0</v>
      </c>
      <c r="I37" s="241"/>
      <c r="J37" s="241">
        <f>IF(Table6[[#This Row],[Material Qty]]=0,0,Table6[[#This Row],[Material Qty]]-Table6[[#This Row],[Cumulative]])</f>
        <v>0</v>
      </c>
      <c r="K37" s="229">
        <f>Table6[[#This Row],[Material Balance Qty]]*Table6[[#This Row],[Material @ Site Rate]]</f>
        <v>0</v>
      </c>
      <c r="M37" s="197">
        <f>Table6[[#This Row],[Cumulative]]-Table6[[#This Row],[Previous Qty]]</f>
        <v>0</v>
      </c>
      <c r="O37" s="1">
        <f>(Table6[[#This Row],[Supply Rate]]+Table6[[#This Row],[Install Rate]])*Table6[[#This Row],[Previous Qty]]</f>
        <v>0</v>
      </c>
      <c r="P37" s="1">
        <f>Table6[[#This Row],[Cumulative Amount]]-Table6[[#This Row],[Previous Amount]]</f>
        <v>0</v>
      </c>
      <c r="Q37" s="1">
        <f>(Table6[[#This Row],[Supply Rate]]+Table6[[#This Row],[Install Rate]])*Table6[[#This Row],[Cumulative]]</f>
        <v>0</v>
      </c>
    </row>
    <row r="38" spans="1:17" x14ac:dyDescent="0.35">
      <c r="A38" t="s">
        <v>729</v>
      </c>
      <c r="B38" s="3" t="s">
        <v>731</v>
      </c>
      <c r="C38" s="197">
        <v>9</v>
      </c>
      <c r="D38" s="2" t="s">
        <v>17</v>
      </c>
      <c r="F38" s="1">
        <v>204</v>
      </c>
      <c r="G38" s="1">
        <f>(Table6[[#This Row],[Install Rate]]+Table6[[#This Row],[Supply Rate]])*Table6[[#This Row],[Qty]]</f>
        <v>1836</v>
      </c>
      <c r="H38" s="229">
        <f>Table6[[#This Row],[Supply Rate]]*80%</f>
        <v>0</v>
      </c>
      <c r="I38" s="241"/>
      <c r="J38" s="241">
        <f>IF(Table6[[#This Row],[Material Qty]]=0,0,Table6[[#This Row],[Material Qty]]-Table6[[#This Row],[Cumulative]])</f>
        <v>0</v>
      </c>
      <c r="K38" s="229">
        <f>Table6[[#This Row],[Material Balance Qty]]*Table6[[#This Row],[Material @ Site Rate]]</f>
        <v>0</v>
      </c>
      <c r="M38" s="197">
        <f>Table6[[#This Row],[Cumulative]]-Table6[[#This Row],[Previous Qty]]</f>
        <v>0</v>
      </c>
      <c r="O38" s="1">
        <f>(Table6[[#This Row],[Supply Rate]]+Table6[[#This Row],[Install Rate]])*Table6[[#This Row],[Previous Qty]]</f>
        <v>0</v>
      </c>
      <c r="P38" s="1">
        <f>Table6[[#This Row],[Cumulative Amount]]-Table6[[#This Row],[Previous Amount]]</f>
        <v>0</v>
      </c>
      <c r="Q38" s="1">
        <f>(Table6[[#This Row],[Supply Rate]]+Table6[[#This Row],[Install Rate]])*Table6[[#This Row],[Cumulative]]</f>
        <v>0</v>
      </c>
    </row>
    <row r="39" spans="1:17" x14ac:dyDescent="0.35">
      <c r="A39" t="s">
        <v>729</v>
      </c>
      <c r="B39" s="3" t="s">
        <v>732</v>
      </c>
      <c r="C39" s="197">
        <v>8.4</v>
      </c>
      <c r="D39" s="2" t="s">
        <v>17</v>
      </c>
      <c r="F39" s="1">
        <v>256</v>
      </c>
      <c r="G39" s="1">
        <f>(Table6[[#This Row],[Install Rate]]+Table6[[#This Row],[Supply Rate]])*Table6[[#This Row],[Qty]]</f>
        <v>2150.4</v>
      </c>
      <c r="H39" s="229">
        <f>Table6[[#This Row],[Supply Rate]]*80%</f>
        <v>0</v>
      </c>
      <c r="I39" s="241"/>
      <c r="J39" s="241">
        <f>IF(Table6[[#This Row],[Material Qty]]=0,0,Table6[[#This Row],[Material Qty]]-Table6[[#This Row],[Cumulative]])</f>
        <v>0</v>
      </c>
      <c r="K39" s="229">
        <f>Table6[[#This Row],[Material Balance Qty]]*Table6[[#This Row],[Material @ Site Rate]]</f>
        <v>0</v>
      </c>
      <c r="M39" s="197">
        <f>Table6[[#This Row],[Cumulative]]-Table6[[#This Row],[Previous Qty]]</f>
        <v>0</v>
      </c>
      <c r="O39" s="1">
        <f>(Table6[[#This Row],[Supply Rate]]+Table6[[#This Row],[Install Rate]])*Table6[[#This Row],[Previous Qty]]</f>
        <v>0</v>
      </c>
      <c r="P39" s="1">
        <f>Table6[[#This Row],[Cumulative Amount]]-Table6[[#This Row],[Previous Amount]]</f>
        <v>0</v>
      </c>
      <c r="Q39" s="1">
        <f>(Table6[[#This Row],[Supply Rate]]+Table6[[#This Row],[Install Rate]])*Table6[[#This Row],[Cumulative]]</f>
        <v>0</v>
      </c>
    </row>
    <row r="40" spans="1:17" ht="29" x14ac:dyDescent="0.35">
      <c r="A40" t="s">
        <v>729</v>
      </c>
      <c r="B40" s="3" t="s">
        <v>733</v>
      </c>
      <c r="C40" s="197">
        <v>11.48</v>
      </c>
      <c r="D40" s="2" t="s">
        <v>17</v>
      </c>
      <c r="F40" s="1">
        <v>204</v>
      </c>
      <c r="G40" s="1">
        <f>(Table6[[#This Row],[Install Rate]]+Table6[[#This Row],[Supply Rate]])*Table6[[#This Row],[Qty]]</f>
        <v>2341.92</v>
      </c>
      <c r="H40" s="229">
        <f>Table6[[#This Row],[Supply Rate]]*80%</f>
        <v>0</v>
      </c>
      <c r="I40" s="241"/>
      <c r="J40" s="241">
        <f>IF(Table6[[#This Row],[Material Qty]]=0,0,Table6[[#This Row],[Material Qty]]-Table6[[#This Row],[Cumulative]])</f>
        <v>0</v>
      </c>
      <c r="K40" s="229">
        <f>Table6[[#This Row],[Material Balance Qty]]*Table6[[#This Row],[Material @ Site Rate]]</f>
        <v>0</v>
      </c>
      <c r="M40" s="197">
        <f>Table6[[#This Row],[Cumulative]]-Table6[[#This Row],[Previous Qty]]</f>
        <v>0</v>
      </c>
      <c r="O40" s="1">
        <f>(Table6[[#This Row],[Supply Rate]]+Table6[[#This Row],[Install Rate]])*Table6[[#This Row],[Previous Qty]]</f>
        <v>0</v>
      </c>
      <c r="P40" s="1">
        <f>Table6[[#This Row],[Cumulative Amount]]-Table6[[#This Row],[Previous Amount]]</f>
        <v>0</v>
      </c>
      <c r="Q40" s="1">
        <f>(Table6[[#This Row],[Supply Rate]]+Table6[[#This Row],[Install Rate]])*Table6[[#This Row],[Cumulative]]</f>
        <v>0</v>
      </c>
    </row>
    <row r="41" spans="1:17" ht="29" x14ac:dyDescent="0.35">
      <c r="A41" t="s">
        <v>729</v>
      </c>
      <c r="B41" s="3" t="s">
        <v>734</v>
      </c>
      <c r="C41" s="197">
        <v>17.760000000000002</v>
      </c>
      <c r="D41" s="2" t="s">
        <v>17</v>
      </c>
      <c r="F41" s="1">
        <v>256</v>
      </c>
      <c r="G41" s="1">
        <f>(Table6[[#This Row],[Install Rate]]+Table6[[#This Row],[Supply Rate]])*Table6[[#This Row],[Qty]]</f>
        <v>4546.5600000000004</v>
      </c>
      <c r="H41" s="229">
        <f>Table6[[#This Row],[Supply Rate]]*80%</f>
        <v>0</v>
      </c>
      <c r="I41" s="241"/>
      <c r="J41" s="241">
        <f>IF(Table6[[#This Row],[Material Qty]]=0,0,Table6[[#This Row],[Material Qty]]-Table6[[#This Row],[Cumulative]])</f>
        <v>0</v>
      </c>
      <c r="K41" s="229">
        <f>Table6[[#This Row],[Material Balance Qty]]*Table6[[#This Row],[Material @ Site Rate]]</f>
        <v>0</v>
      </c>
      <c r="M41" s="197">
        <f>Table6[[#This Row],[Cumulative]]-Table6[[#This Row],[Previous Qty]]</f>
        <v>0</v>
      </c>
      <c r="O41" s="1">
        <f>(Table6[[#This Row],[Supply Rate]]+Table6[[#This Row],[Install Rate]])*Table6[[#This Row],[Previous Qty]]</f>
        <v>0</v>
      </c>
      <c r="P41" s="1">
        <f>Table6[[#This Row],[Cumulative Amount]]-Table6[[#This Row],[Previous Amount]]</f>
        <v>0</v>
      </c>
      <c r="Q41" s="1">
        <f>(Table6[[#This Row],[Supply Rate]]+Table6[[#This Row],[Install Rate]])*Table6[[#This Row],[Cumulative]]</f>
        <v>0</v>
      </c>
    </row>
    <row r="42" spans="1:17" ht="29" x14ac:dyDescent="0.35">
      <c r="A42" t="s">
        <v>729</v>
      </c>
      <c r="B42" s="3" t="s">
        <v>735</v>
      </c>
      <c r="C42" s="197">
        <v>13.28</v>
      </c>
      <c r="D42" s="2" t="s">
        <v>17</v>
      </c>
      <c r="F42" s="1">
        <v>206</v>
      </c>
      <c r="G42" s="1">
        <f>(Table6[[#This Row],[Install Rate]]+Table6[[#This Row],[Supply Rate]])*Table6[[#This Row],[Qty]]</f>
        <v>2735.68</v>
      </c>
      <c r="H42" s="229">
        <f>Table6[[#This Row],[Supply Rate]]*80%</f>
        <v>0</v>
      </c>
      <c r="I42" s="241"/>
      <c r="J42" s="241">
        <f>IF(Table6[[#This Row],[Material Qty]]=0,0,Table6[[#This Row],[Material Qty]]-Table6[[#This Row],[Cumulative]])</f>
        <v>0</v>
      </c>
      <c r="K42" s="229">
        <f>Table6[[#This Row],[Material Balance Qty]]*Table6[[#This Row],[Material @ Site Rate]]</f>
        <v>0</v>
      </c>
      <c r="M42" s="197">
        <f>Table6[[#This Row],[Cumulative]]-Table6[[#This Row],[Previous Qty]]</f>
        <v>0</v>
      </c>
      <c r="O42" s="1">
        <f>(Table6[[#This Row],[Supply Rate]]+Table6[[#This Row],[Install Rate]])*Table6[[#This Row],[Previous Qty]]</f>
        <v>0</v>
      </c>
      <c r="P42" s="1">
        <f>Table6[[#This Row],[Cumulative Amount]]-Table6[[#This Row],[Previous Amount]]</f>
        <v>0</v>
      </c>
      <c r="Q42" s="1">
        <f>(Table6[[#This Row],[Supply Rate]]+Table6[[#This Row],[Install Rate]])*Table6[[#This Row],[Cumulative]]</f>
        <v>0</v>
      </c>
    </row>
    <row r="43" spans="1:17" ht="29" x14ac:dyDescent="0.35">
      <c r="A43" t="s">
        <v>729</v>
      </c>
      <c r="B43" s="3" t="s">
        <v>736</v>
      </c>
      <c r="C43" s="197">
        <v>17.760000000000002</v>
      </c>
      <c r="D43" s="2" t="s">
        <v>10</v>
      </c>
      <c r="F43" s="1">
        <v>88</v>
      </c>
      <c r="G43" s="1">
        <f>(Table6[[#This Row],[Install Rate]]+Table6[[#This Row],[Supply Rate]])*Table6[[#This Row],[Qty]]</f>
        <v>1562.88</v>
      </c>
      <c r="H43" s="229">
        <f>Table6[[#This Row],[Supply Rate]]*80%</f>
        <v>0</v>
      </c>
      <c r="I43" s="241"/>
      <c r="J43" s="241">
        <f>IF(Table6[[#This Row],[Material Qty]]=0,0,Table6[[#This Row],[Material Qty]]-Table6[[#This Row],[Cumulative]])</f>
        <v>0</v>
      </c>
      <c r="K43" s="229">
        <f>Table6[[#This Row],[Material Balance Qty]]*Table6[[#This Row],[Material @ Site Rate]]</f>
        <v>0</v>
      </c>
      <c r="M43" s="197">
        <f>Table6[[#This Row],[Cumulative]]-Table6[[#This Row],[Previous Qty]]</f>
        <v>0</v>
      </c>
      <c r="O43" s="1">
        <f>(Table6[[#This Row],[Supply Rate]]+Table6[[#This Row],[Install Rate]])*Table6[[#This Row],[Previous Qty]]</f>
        <v>0</v>
      </c>
      <c r="P43" s="1">
        <f>Table6[[#This Row],[Cumulative Amount]]-Table6[[#This Row],[Previous Amount]]</f>
        <v>0</v>
      </c>
      <c r="Q43" s="1">
        <f>(Table6[[#This Row],[Supply Rate]]+Table6[[#This Row],[Install Rate]])*Table6[[#This Row],[Cumulative]]</f>
        <v>0</v>
      </c>
    </row>
    <row r="44" spans="1:17" ht="29" x14ac:dyDescent="0.35">
      <c r="A44" t="s">
        <v>729</v>
      </c>
      <c r="B44" s="3" t="s">
        <v>737</v>
      </c>
      <c r="C44" s="197">
        <v>47.44</v>
      </c>
      <c r="D44" s="2" t="s">
        <v>17</v>
      </c>
      <c r="F44" s="1">
        <v>148</v>
      </c>
      <c r="G44" s="1">
        <f>(Table6[[#This Row],[Install Rate]]+Table6[[#This Row],[Supply Rate]])*Table6[[#This Row],[Qty]]</f>
        <v>7021.12</v>
      </c>
      <c r="H44" s="229">
        <f>Table6[[#This Row],[Supply Rate]]*80%</f>
        <v>0</v>
      </c>
      <c r="I44" s="241"/>
      <c r="J44" s="241">
        <f>IF(Table6[[#This Row],[Material Qty]]=0,0,Table6[[#This Row],[Material Qty]]-Table6[[#This Row],[Cumulative]])</f>
        <v>0</v>
      </c>
      <c r="K44" s="229">
        <f>Table6[[#This Row],[Material Balance Qty]]*Table6[[#This Row],[Material @ Site Rate]]</f>
        <v>0</v>
      </c>
      <c r="M44" s="197">
        <f>Table6[[#This Row],[Cumulative]]-Table6[[#This Row],[Previous Qty]]</f>
        <v>0</v>
      </c>
      <c r="O44" s="1">
        <f>(Table6[[#This Row],[Supply Rate]]+Table6[[#This Row],[Install Rate]])*Table6[[#This Row],[Previous Qty]]</f>
        <v>0</v>
      </c>
      <c r="P44" s="1">
        <f>Table6[[#This Row],[Cumulative Amount]]-Table6[[#This Row],[Previous Amount]]</f>
        <v>0</v>
      </c>
      <c r="Q44" s="1">
        <f>(Table6[[#This Row],[Supply Rate]]+Table6[[#This Row],[Install Rate]])*Table6[[#This Row],[Cumulative]]</f>
        <v>0</v>
      </c>
    </row>
    <row r="45" spans="1:17" x14ac:dyDescent="0.35">
      <c r="A45" t="s">
        <v>729</v>
      </c>
      <c r="B45" s="3" t="s">
        <v>738</v>
      </c>
      <c r="C45" s="197">
        <v>28</v>
      </c>
      <c r="E45" s="1">
        <v>18.600000000000001</v>
      </c>
      <c r="F45" s="1">
        <v>7.6</v>
      </c>
      <c r="G45" s="1">
        <f>(Table6[[#This Row],[Install Rate]]+Table6[[#This Row],[Supply Rate]])*Table6[[#This Row],[Qty]]</f>
        <v>733.60000000000014</v>
      </c>
      <c r="H45" s="229">
        <f>Table6[[#This Row],[Supply Rate]]*80%</f>
        <v>14.880000000000003</v>
      </c>
      <c r="I45" s="241"/>
      <c r="J45" s="241">
        <f>IF(Table6[[#This Row],[Material Qty]]=0,0,Table6[[#This Row],[Material Qty]]-Table6[[#This Row],[Cumulative]])</f>
        <v>0</v>
      </c>
      <c r="K45" s="229">
        <f>Table6[[#This Row],[Material Balance Qty]]*Table6[[#This Row],[Material @ Site Rate]]</f>
        <v>0</v>
      </c>
      <c r="M45" s="197">
        <f>Table6[[#This Row],[Cumulative]]-Table6[[#This Row],[Previous Qty]]</f>
        <v>0</v>
      </c>
      <c r="O45" s="1">
        <f>(Table6[[#This Row],[Supply Rate]]+Table6[[#This Row],[Install Rate]])*Table6[[#This Row],[Previous Qty]]</f>
        <v>0</v>
      </c>
      <c r="P45" s="1">
        <f>Table6[[#This Row],[Cumulative Amount]]-Table6[[#This Row],[Previous Amount]]</f>
        <v>0</v>
      </c>
      <c r="Q45" s="1">
        <f>(Table6[[#This Row],[Supply Rate]]+Table6[[#This Row],[Install Rate]])*Table6[[#This Row],[Cumulative]]</f>
        <v>0</v>
      </c>
    </row>
    <row r="46" spans="1:17" ht="29" x14ac:dyDescent="0.35">
      <c r="A46" t="s">
        <v>729</v>
      </c>
      <c r="B46" s="3" t="s">
        <v>739</v>
      </c>
      <c r="D46" s="2" t="s">
        <v>10</v>
      </c>
      <c r="G46" s="1">
        <f>(Table6[[#This Row],[Install Rate]]+Table6[[#This Row],[Supply Rate]])*Table6[[#This Row],[Qty]]</f>
        <v>0</v>
      </c>
      <c r="H46" s="229">
        <f>Table6[[#This Row],[Supply Rate]]*80%</f>
        <v>0</v>
      </c>
      <c r="I46" s="241"/>
      <c r="J46" s="241">
        <f>IF(Table6[[#This Row],[Material Qty]]=0,0,Table6[[#This Row],[Material Qty]]-Table6[[#This Row],[Cumulative]])</f>
        <v>0</v>
      </c>
      <c r="K46" s="229">
        <f>Table6[[#This Row],[Material Balance Qty]]*Table6[[#This Row],[Material @ Site Rate]]</f>
        <v>0</v>
      </c>
      <c r="M46" s="197">
        <f>Table6[[#This Row],[Cumulative]]-Table6[[#This Row],[Previous Qty]]</f>
        <v>0</v>
      </c>
      <c r="O46" s="1">
        <f>(Table6[[#This Row],[Supply Rate]]+Table6[[#This Row],[Install Rate]])*Table6[[#This Row],[Previous Qty]]</f>
        <v>0</v>
      </c>
      <c r="P46" s="1">
        <f>Table6[[#This Row],[Cumulative Amount]]-Table6[[#This Row],[Previous Amount]]</f>
        <v>0</v>
      </c>
      <c r="Q46" s="1">
        <f>(Table6[[#This Row],[Supply Rate]]+Table6[[#This Row],[Install Rate]])*Table6[[#This Row],[Cumulative]]</f>
        <v>0</v>
      </c>
    </row>
    <row r="47" spans="1:17" ht="29" x14ac:dyDescent="0.35">
      <c r="A47" t="s">
        <v>729</v>
      </c>
      <c r="B47" s="3" t="s">
        <v>740</v>
      </c>
      <c r="D47" s="2" t="s">
        <v>10</v>
      </c>
      <c r="G47" s="1">
        <f>(Table6[[#This Row],[Install Rate]]+Table6[[#This Row],[Supply Rate]])*Table6[[#This Row],[Qty]]</f>
        <v>0</v>
      </c>
      <c r="H47" s="229">
        <f>Table6[[#This Row],[Supply Rate]]*80%</f>
        <v>0</v>
      </c>
      <c r="I47" s="241"/>
      <c r="J47" s="241">
        <f>IF(Table6[[#This Row],[Material Qty]]=0,0,Table6[[#This Row],[Material Qty]]-Table6[[#This Row],[Cumulative]])</f>
        <v>0</v>
      </c>
      <c r="K47" s="229">
        <f>Table6[[#This Row],[Material Balance Qty]]*Table6[[#This Row],[Material @ Site Rate]]</f>
        <v>0</v>
      </c>
      <c r="M47" s="197">
        <f>Table6[[#This Row],[Cumulative]]-Table6[[#This Row],[Previous Qty]]</f>
        <v>0</v>
      </c>
      <c r="O47" s="1">
        <f>(Table6[[#This Row],[Supply Rate]]+Table6[[#This Row],[Install Rate]])*Table6[[#This Row],[Previous Qty]]</f>
        <v>0</v>
      </c>
      <c r="P47" s="1">
        <f>Table6[[#This Row],[Cumulative Amount]]-Table6[[#This Row],[Previous Amount]]</f>
        <v>0</v>
      </c>
      <c r="Q47" s="1">
        <f>(Table6[[#This Row],[Supply Rate]]+Table6[[#This Row],[Install Rate]])*Table6[[#This Row],[Cumulative]]</f>
        <v>0</v>
      </c>
    </row>
    <row r="48" spans="1:17" ht="29" x14ac:dyDescent="0.35">
      <c r="A48" t="s">
        <v>729</v>
      </c>
      <c r="B48" s="3" t="s">
        <v>741</v>
      </c>
      <c r="D48" s="2" t="s">
        <v>10</v>
      </c>
      <c r="G48" s="1">
        <f>(Table6[[#This Row],[Install Rate]]+Table6[[#This Row],[Supply Rate]])*Table6[[#This Row],[Qty]]</f>
        <v>0</v>
      </c>
      <c r="H48" s="229">
        <f>Table6[[#This Row],[Supply Rate]]*80%</f>
        <v>0</v>
      </c>
      <c r="I48" s="241"/>
      <c r="J48" s="241">
        <f>IF(Table6[[#This Row],[Material Qty]]=0,0,Table6[[#This Row],[Material Qty]]-Table6[[#This Row],[Cumulative]])</f>
        <v>0</v>
      </c>
      <c r="K48" s="229">
        <f>Table6[[#This Row],[Material Balance Qty]]*Table6[[#This Row],[Material @ Site Rate]]</f>
        <v>0</v>
      </c>
      <c r="M48" s="197">
        <f>Table6[[#This Row],[Cumulative]]-Table6[[#This Row],[Previous Qty]]</f>
        <v>0</v>
      </c>
      <c r="O48" s="1">
        <f>(Table6[[#This Row],[Supply Rate]]+Table6[[#This Row],[Install Rate]])*Table6[[#This Row],[Previous Qty]]</f>
        <v>0</v>
      </c>
      <c r="P48" s="1">
        <f>Table6[[#This Row],[Cumulative Amount]]-Table6[[#This Row],[Previous Amount]]</f>
        <v>0</v>
      </c>
      <c r="Q48" s="1">
        <f>(Table6[[#This Row],[Supply Rate]]+Table6[[#This Row],[Install Rate]])*Table6[[#This Row],[Cumulative]]</f>
        <v>0</v>
      </c>
    </row>
    <row r="49" spans="1:17" ht="29" x14ac:dyDescent="0.35">
      <c r="A49" t="s">
        <v>729</v>
      </c>
      <c r="B49" s="3" t="s">
        <v>742</v>
      </c>
      <c r="D49" s="2" t="s">
        <v>10</v>
      </c>
      <c r="G49" s="1">
        <f>(Table6[[#This Row],[Install Rate]]+Table6[[#This Row],[Supply Rate]])*Table6[[#This Row],[Qty]]</f>
        <v>0</v>
      </c>
      <c r="H49" s="229">
        <f>Table6[[#This Row],[Supply Rate]]*80%</f>
        <v>0</v>
      </c>
      <c r="I49" s="241"/>
      <c r="J49" s="241">
        <f>IF(Table6[[#This Row],[Material Qty]]=0,0,Table6[[#This Row],[Material Qty]]-Table6[[#This Row],[Cumulative]])</f>
        <v>0</v>
      </c>
      <c r="K49" s="229">
        <f>Table6[[#This Row],[Material Balance Qty]]*Table6[[#This Row],[Material @ Site Rate]]</f>
        <v>0</v>
      </c>
      <c r="M49" s="197">
        <f>Table6[[#This Row],[Cumulative]]-Table6[[#This Row],[Previous Qty]]</f>
        <v>0</v>
      </c>
      <c r="O49" s="1">
        <f>(Table6[[#This Row],[Supply Rate]]+Table6[[#This Row],[Install Rate]])*Table6[[#This Row],[Previous Qty]]</f>
        <v>0</v>
      </c>
      <c r="P49" s="1">
        <f>Table6[[#This Row],[Cumulative Amount]]-Table6[[#This Row],[Previous Amount]]</f>
        <v>0</v>
      </c>
      <c r="Q49" s="1">
        <f>(Table6[[#This Row],[Supply Rate]]+Table6[[#This Row],[Install Rate]])*Table6[[#This Row],[Cumulative]]</f>
        <v>0</v>
      </c>
    </row>
    <row r="50" spans="1:17" ht="29" x14ac:dyDescent="0.35">
      <c r="A50" t="s">
        <v>729</v>
      </c>
      <c r="B50" s="3" t="s">
        <v>743</v>
      </c>
      <c r="D50" s="2" t="s">
        <v>10</v>
      </c>
      <c r="G50" s="1">
        <f>(Table6[[#This Row],[Install Rate]]+Table6[[#This Row],[Supply Rate]])*Table6[[#This Row],[Qty]]</f>
        <v>0</v>
      </c>
      <c r="H50" s="229">
        <f>Table6[[#This Row],[Supply Rate]]*80%</f>
        <v>0</v>
      </c>
      <c r="I50" s="241"/>
      <c r="J50" s="241">
        <f>IF(Table6[[#This Row],[Material Qty]]=0,0,Table6[[#This Row],[Material Qty]]-Table6[[#This Row],[Cumulative]])</f>
        <v>0</v>
      </c>
      <c r="K50" s="229">
        <f>Table6[[#This Row],[Material Balance Qty]]*Table6[[#This Row],[Material @ Site Rate]]</f>
        <v>0</v>
      </c>
      <c r="M50" s="197">
        <f>Table6[[#This Row],[Cumulative]]-Table6[[#This Row],[Previous Qty]]</f>
        <v>0</v>
      </c>
      <c r="O50" s="1">
        <f>(Table6[[#This Row],[Supply Rate]]+Table6[[#This Row],[Install Rate]])*Table6[[#This Row],[Previous Qty]]</f>
        <v>0</v>
      </c>
      <c r="P50" s="1">
        <f>Table6[[#This Row],[Cumulative Amount]]-Table6[[#This Row],[Previous Amount]]</f>
        <v>0</v>
      </c>
      <c r="Q50" s="1">
        <f>(Table6[[#This Row],[Supply Rate]]+Table6[[#This Row],[Install Rate]])*Table6[[#This Row],[Cumulative]]</f>
        <v>0</v>
      </c>
    </row>
    <row r="51" spans="1:17" ht="29" x14ac:dyDescent="0.35">
      <c r="A51" t="s">
        <v>729</v>
      </c>
      <c r="B51" s="3" t="s">
        <v>744</v>
      </c>
      <c r="D51" s="2" t="s">
        <v>10</v>
      </c>
      <c r="G51" s="1">
        <f>(Table6[[#This Row],[Install Rate]]+Table6[[#This Row],[Supply Rate]])*Table6[[#This Row],[Qty]]</f>
        <v>0</v>
      </c>
      <c r="H51" s="229">
        <f>Table6[[#This Row],[Supply Rate]]*80%</f>
        <v>0</v>
      </c>
      <c r="I51" s="241"/>
      <c r="J51" s="241">
        <f>IF(Table6[[#This Row],[Material Qty]]=0,0,Table6[[#This Row],[Material Qty]]-Table6[[#This Row],[Cumulative]])</f>
        <v>0</v>
      </c>
      <c r="K51" s="229">
        <f>Table6[[#This Row],[Material Balance Qty]]*Table6[[#This Row],[Material @ Site Rate]]</f>
        <v>0</v>
      </c>
      <c r="M51" s="197">
        <f>Table6[[#This Row],[Cumulative]]-Table6[[#This Row],[Previous Qty]]</f>
        <v>0</v>
      </c>
      <c r="O51" s="1">
        <f>(Table6[[#This Row],[Supply Rate]]+Table6[[#This Row],[Install Rate]])*Table6[[#This Row],[Previous Qty]]</f>
        <v>0</v>
      </c>
      <c r="P51" s="1">
        <f>Table6[[#This Row],[Cumulative Amount]]-Table6[[#This Row],[Previous Amount]]</f>
        <v>0</v>
      </c>
      <c r="Q51" s="1">
        <f>(Table6[[#This Row],[Supply Rate]]+Table6[[#This Row],[Install Rate]])*Table6[[#This Row],[Cumulative]]</f>
        <v>0</v>
      </c>
    </row>
    <row r="52" spans="1:17" x14ac:dyDescent="0.35">
      <c r="A52" t="s">
        <v>729</v>
      </c>
      <c r="B52" s="3" t="s">
        <v>745</v>
      </c>
      <c r="C52" s="197">
        <v>33.9</v>
      </c>
      <c r="D52" s="2" t="s">
        <v>10</v>
      </c>
      <c r="F52" s="1">
        <v>88</v>
      </c>
      <c r="G52" s="1">
        <f>(Table6[[#This Row],[Install Rate]]+Table6[[#This Row],[Supply Rate]])*Table6[[#This Row],[Qty]]</f>
        <v>2983.2</v>
      </c>
      <c r="H52" s="229">
        <f>Table6[[#This Row],[Supply Rate]]*80%</f>
        <v>0</v>
      </c>
      <c r="I52" s="241"/>
      <c r="J52" s="241">
        <f>IF(Table6[[#This Row],[Material Qty]]=0,0,Table6[[#This Row],[Material Qty]]-Table6[[#This Row],[Cumulative]])</f>
        <v>0</v>
      </c>
      <c r="K52" s="229">
        <f>Table6[[#This Row],[Material Balance Qty]]*Table6[[#This Row],[Material @ Site Rate]]</f>
        <v>0</v>
      </c>
      <c r="M52" s="276">
        <f>Table6[[#This Row],[Cumulative]]-Table6[[#This Row],[Previous Qty]]</f>
        <v>0</v>
      </c>
      <c r="O52" s="1">
        <f>(Table6[[#This Row],[Supply Rate]]+Table6[[#This Row],[Install Rate]])*Table6[[#This Row],[Previous Qty]]</f>
        <v>0</v>
      </c>
      <c r="P52" s="1">
        <f>Table6[[#This Row],[Cumulative Amount]]-Table6[[#This Row],[Previous Amount]]</f>
        <v>0</v>
      </c>
      <c r="Q52" s="1">
        <f>(Table6[[#This Row],[Supply Rate]]+Table6[[#This Row],[Install Rate]])*Table6[[#This Row],[Cumulative]]</f>
        <v>0</v>
      </c>
    </row>
    <row r="53" spans="1:17" x14ac:dyDescent="0.35">
      <c r="A53" t="s">
        <v>729</v>
      </c>
      <c r="B53" s="3" t="s">
        <v>746</v>
      </c>
      <c r="C53" s="197">
        <v>12.7</v>
      </c>
      <c r="D53" s="2" t="s">
        <v>10</v>
      </c>
      <c r="F53" s="1">
        <v>85</v>
      </c>
      <c r="G53" s="1">
        <f>(Table6[[#This Row],[Install Rate]]+Table6[[#This Row],[Supply Rate]])*Table6[[#This Row],[Qty]]</f>
        <v>1079.5</v>
      </c>
      <c r="H53" s="229">
        <f>Table6[[#This Row],[Supply Rate]]*80%</f>
        <v>0</v>
      </c>
      <c r="I53" s="241"/>
      <c r="J53" s="241">
        <f>IF(Table6[[#This Row],[Material Qty]]=0,0,Table6[[#This Row],[Material Qty]]-Table6[[#This Row],[Cumulative]])</f>
        <v>0</v>
      </c>
      <c r="K53" s="229">
        <f>Table6[[#This Row],[Material Balance Qty]]*Table6[[#This Row],[Material @ Site Rate]]</f>
        <v>0</v>
      </c>
      <c r="M53" s="276">
        <f>Table6[[#This Row],[Cumulative]]-Table6[[#This Row],[Previous Qty]]</f>
        <v>0</v>
      </c>
      <c r="O53" s="1">
        <f>(Table6[[#This Row],[Supply Rate]]+Table6[[#This Row],[Install Rate]])*Table6[[#This Row],[Previous Qty]]</f>
        <v>0</v>
      </c>
      <c r="P53" s="1">
        <f>Table6[[#This Row],[Cumulative Amount]]-Table6[[#This Row],[Previous Amount]]</f>
        <v>0</v>
      </c>
      <c r="Q53" s="1">
        <f>(Table6[[#This Row],[Supply Rate]]+Table6[[#This Row],[Install Rate]])*Table6[[#This Row],[Cumulative]]</f>
        <v>0</v>
      </c>
    </row>
    <row r="54" spans="1:17" x14ac:dyDescent="0.35">
      <c r="A54" t="s">
        <v>729</v>
      </c>
      <c r="B54" s="3" t="s">
        <v>747</v>
      </c>
      <c r="C54" s="197">
        <v>13.5</v>
      </c>
      <c r="D54" s="2" t="s">
        <v>10</v>
      </c>
      <c r="F54" s="1">
        <v>78</v>
      </c>
      <c r="G54" s="1">
        <f>(Table6[[#This Row],[Install Rate]]+Table6[[#This Row],[Supply Rate]])*Table6[[#This Row],[Qty]]</f>
        <v>1053</v>
      </c>
      <c r="H54" s="229">
        <f>Table6[[#This Row],[Supply Rate]]*80%</f>
        <v>0</v>
      </c>
      <c r="I54" s="241"/>
      <c r="J54" s="241">
        <f>IF(Table6[[#This Row],[Material Qty]]=0,0,Table6[[#This Row],[Material Qty]]-Table6[[#This Row],[Cumulative]])</f>
        <v>0</v>
      </c>
      <c r="K54" s="229">
        <f>Table6[[#This Row],[Material Balance Qty]]*Table6[[#This Row],[Material @ Site Rate]]</f>
        <v>0</v>
      </c>
      <c r="M54" s="276">
        <f>Table6[[#This Row],[Cumulative]]-Table6[[#This Row],[Previous Qty]]</f>
        <v>0</v>
      </c>
      <c r="O54" s="1">
        <f>(Table6[[#This Row],[Supply Rate]]+Table6[[#This Row],[Install Rate]])*Table6[[#This Row],[Previous Qty]]</f>
        <v>0</v>
      </c>
      <c r="P54" s="1">
        <f>Table6[[#This Row],[Cumulative Amount]]-Table6[[#This Row],[Previous Amount]]</f>
        <v>0</v>
      </c>
      <c r="Q54" s="1">
        <f>(Table6[[#This Row],[Supply Rate]]+Table6[[#This Row],[Install Rate]])*Table6[[#This Row],[Cumulative]]</f>
        <v>0</v>
      </c>
    </row>
    <row r="55" spans="1:17" x14ac:dyDescent="0.35">
      <c r="A55" t="s">
        <v>729</v>
      </c>
      <c r="B55" s="3" t="s">
        <v>748</v>
      </c>
      <c r="C55" s="197">
        <v>68.8</v>
      </c>
      <c r="D55" s="2" t="s">
        <v>17</v>
      </c>
      <c r="F55" s="1">
        <v>148</v>
      </c>
      <c r="G55" s="1">
        <f>(Table6[[#This Row],[Install Rate]]+Table6[[#This Row],[Supply Rate]])*Table6[[#This Row],[Qty]]</f>
        <v>10182.4</v>
      </c>
      <c r="H55" s="229">
        <f>Table6[[#This Row],[Supply Rate]]*80%</f>
        <v>0</v>
      </c>
      <c r="I55" s="241"/>
      <c r="J55" s="241">
        <f>IF(Table6[[#This Row],[Material Qty]]=0,0,Table6[[#This Row],[Material Qty]]-Table6[[#This Row],[Cumulative]])</f>
        <v>0</v>
      </c>
      <c r="K55" s="229">
        <f>Table6[[#This Row],[Material Balance Qty]]*Table6[[#This Row],[Material @ Site Rate]]</f>
        <v>0</v>
      </c>
      <c r="M55" s="276">
        <f>Table6[[#This Row],[Cumulative]]-Table6[[#This Row],[Previous Qty]]</f>
        <v>0</v>
      </c>
      <c r="O55" s="1">
        <f>(Table6[[#This Row],[Supply Rate]]+Table6[[#This Row],[Install Rate]])*Table6[[#This Row],[Previous Qty]]</f>
        <v>0</v>
      </c>
      <c r="P55" s="1">
        <f>Table6[[#This Row],[Cumulative Amount]]-Table6[[#This Row],[Previous Amount]]</f>
        <v>0</v>
      </c>
      <c r="Q55" s="1">
        <f>(Table6[[#This Row],[Supply Rate]]+Table6[[#This Row],[Install Rate]])*Table6[[#This Row],[Cumulative]]</f>
        <v>0</v>
      </c>
    </row>
    <row r="56" spans="1:17" x14ac:dyDescent="0.35">
      <c r="A56" t="s">
        <v>729</v>
      </c>
      <c r="B56" s="3" t="s">
        <v>749</v>
      </c>
      <c r="C56" s="197">
        <v>41.18</v>
      </c>
      <c r="D56" s="2" t="s">
        <v>17</v>
      </c>
      <c r="E56" s="1">
        <v>169</v>
      </c>
      <c r="F56" s="1">
        <v>106</v>
      </c>
      <c r="G56" s="1">
        <f>(Table6[[#This Row],[Install Rate]]+Table6[[#This Row],[Supply Rate]])*Table6[[#This Row],[Qty]]</f>
        <v>11324.5</v>
      </c>
      <c r="H56" s="229">
        <f>Table6[[#This Row],[Supply Rate]]*80%</f>
        <v>135.20000000000002</v>
      </c>
      <c r="I56" s="241"/>
      <c r="J56" s="241">
        <f>IF(Table6[[#This Row],[Material Qty]]=0,0,Table6[[#This Row],[Material Qty]]-Table6[[#This Row],[Cumulative]])</f>
        <v>0</v>
      </c>
      <c r="K56" s="229">
        <f>Table6[[#This Row],[Material Balance Qty]]*Table6[[#This Row],[Material @ Site Rate]]</f>
        <v>0</v>
      </c>
      <c r="L56" s="197">
        <v>41.18</v>
      </c>
      <c r="M56" s="197">
        <f>Table6[[#This Row],[Cumulative]]-Table6[[#This Row],[Previous Qty]]</f>
        <v>0</v>
      </c>
      <c r="N56" s="197">
        <v>41.18</v>
      </c>
      <c r="O56" s="1">
        <f>(Table6[[#This Row],[Supply Rate]]+Table6[[#This Row],[Install Rate]])*Table6[[#This Row],[Previous Qty]]</f>
        <v>11324.5</v>
      </c>
      <c r="P56" s="1">
        <f>Table6[[#This Row],[Cumulative Amount]]-Table6[[#This Row],[Previous Amount]]</f>
        <v>0</v>
      </c>
      <c r="Q56" s="1">
        <f>(Table6[[#This Row],[Supply Rate]]+Table6[[#This Row],[Install Rate]])*Table6[[#This Row],[Cumulative]]</f>
        <v>11324.5</v>
      </c>
    </row>
    <row r="57" spans="1:17" ht="29" x14ac:dyDescent="0.35">
      <c r="A57" t="s">
        <v>729</v>
      </c>
      <c r="B57" s="3" t="s">
        <v>750</v>
      </c>
      <c r="C57" s="197">
        <v>9</v>
      </c>
      <c r="D57" s="2" t="s">
        <v>17</v>
      </c>
      <c r="F57" s="1">
        <v>148</v>
      </c>
      <c r="G57" s="1">
        <f>(Table6[[#This Row],[Install Rate]]+Table6[[#This Row],[Supply Rate]])*Table6[[#This Row],[Qty]]</f>
        <v>1332</v>
      </c>
      <c r="H57" s="229">
        <f>Table6[[#This Row],[Supply Rate]]*80%</f>
        <v>0</v>
      </c>
      <c r="I57" s="241"/>
      <c r="J57" s="241">
        <f>IF(Table6[[#This Row],[Material Qty]]=0,0,Table6[[#This Row],[Material Qty]]-Table6[[#This Row],[Cumulative]])</f>
        <v>0</v>
      </c>
      <c r="K57" s="229">
        <f>Table6[[#This Row],[Material Balance Qty]]*Table6[[#This Row],[Material @ Site Rate]]</f>
        <v>0</v>
      </c>
      <c r="M57" s="276">
        <f>Table6[[#This Row],[Cumulative]]-Table6[[#This Row],[Previous Qty]]</f>
        <v>0</v>
      </c>
      <c r="O57" s="1">
        <f>(Table6[[#This Row],[Supply Rate]]+Table6[[#This Row],[Install Rate]])*Table6[[#This Row],[Previous Qty]]</f>
        <v>0</v>
      </c>
      <c r="P57" s="1">
        <f>Table6[[#This Row],[Cumulative Amount]]-Table6[[#This Row],[Previous Amount]]</f>
        <v>0</v>
      </c>
      <c r="Q57" s="1">
        <f>(Table6[[#This Row],[Supply Rate]]+Table6[[#This Row],[Install Rate]])*Table6[[#This Row],[Cumulative]]</f>
        <v>0</v>
      </c>
    </row>
    <row r="58" spans="1:17" x14ac:dyDescent="0.35">
      <c r="A58" t="s">
        <v>729</v>
      </c>
      <c r="B58" s="3" t="s">
        <v>751</v>
      </c>
      <c r="C58" s="197">
        <v>92.25</v>
      </c>
      <c r="D58" s="2" t="s">
        <v>10</v>
      </c>
      <c r="E58" s="1">
        <v>33</v>
      </c>
      <c r="F58" s="1">
        <v>12</v>
      </c>
      <c r="G58" s="1">
        <f>(Table6[[#This Row],[Install Rate]]+Table6[[#This Row],[Supply Rate]])*Table6[[#This Row],[Qty]]</f>
        <v>4151.25</v>
      </c>
      <c r="H58" s="229">
        <f>Table6[[#This Row],[Supply Rate]]*80%</f>
        <v>26.400000000000002</v>
      </c>
      <c r="I58" s="241"/>
      <c r="J58" s="241">
        <f>IF(Table6[[#This Row],[Material Qty]]=0,0,Table6[[#This Row],[Material Qty]]-Table6[[#This Row],[Cumulative]])</f>
        <v>0</v>
      </c>
      <c r="K58" s="229">
        <f>Table6[[#This Row],[Material Balance Qty]]*Table6[[#This Row],[Material @ Site Rate]]</f>
        <v>0</v>
      </c>
      <c r="M58" s="197">
        <f>Table6[[#This Row],[Cumulative]]-Table6[[#This Row],[Previous Qty]]</f>
        <v>0</v>
      </c>
      <c r="O58" s="1">
        <f>(Table6[[#This Row],[Supply Rate]]+Table6[[#This Row],[Install Rate]])*Table6[[#This Row],[Previous Qty]]</f>
        <v>0</v>
      </c>
      <c r="P58" s="1">
        <f>Table6[[#This Row],[Cumulative Amount]]-Table6[[#This Row],[Previous Amount]]</f>
        <v>0</v>
      </c>
      <c r="Q58" s="1">
        <f>(Table6[[#This Row],[Supply Rate]]+Table6[[#This Row],[Install Rate]])*Table6[[#This Row],[Cumulative]]</f>
        <v>0</v>
      </c>
    </row>
    <row r="59" spans="1:17" x14ac:dyDescent="0.35">
      <c r="A59" t="s">
        <v>729</v>
      </c>
      <c r="B59" s="3" t="s">
        <v>738</v>
      </c>
      <c r="C59" s="197">
        <v>33.65</v>
      </c>
      <c r="D59" s="2" t="s">
        <v>10</v>
      </c>
      <c r="E59" s="1">
        <v>19</v>
      </c>
      <c r="F59" s="1">
        <v>7</v>
      </c>
      <c r="G59" s="1">
        <f>(Table6[[#This Row],[Install Rate]]+Table6[[#This Row],[Supply Rate]])*Table6[[#This Row],[Qty]]</f>
        <v>874.9</v>
      </c>
      <c r="H59" s="229">
        <f>Table6[[#This Row],[Supply Rate]]*80%</f>
        <v>15.200000000000001</v>
      </c>
      <c r="I59" s="241"/>
      <c r="J59" s="241">
        <f>IF(Table6[[#This Row],[Material Qty]]=0,0,Table6[[#This Row],[Material Qty]]-Table6[[#This Row],[Cumulative]])</f>
        <v>0</v>
      </c>
      <c r="K59" s="229">
        <f>Table6[[#This Row],[Material Balance Qty]]*Table6[[#This Row],[Material @ Site Rate]]</f>
        <v>0</v>
      </c>
      <c r="M59" s="197">
        <f>Table6[[#This Row],[Cumulative]]-Table6[[#This Row],[Previous Qty]]</f>
        <v>0</v>
      </c>
      <c r="O59" s="1">
        <f>(Table6[[#This Row],[Supply Rate]]+Table6[[#This Row],[Install Rate]])*Table6[[#This Row],[Previous Qty]]</f>
        <v>0</v>
      </c>
      <c r="P59" s="1">
        <f>Table6[[#This Row],[Cumulative Amount]]-Table6[[#This Row],[Previous Amount]]</f>
        <v>0</v>
      </c>
      <c r="Q59" s="1">
        <f>(Table6[[#This Row],[Supply Rate]]+Table6[[#This Row],[Install Rate]])*Table6[[#This Row],[Cumulative]]</f>
        <v>0</v>
      </c>
    </row>
    <row r="60" spans="1:17" x14ac:dyDescent="0.35">
      <c r="A60" t="s">
        <v>729</v>
      </c>
      <c r="B60" s="3" t="s">
        <v>752</v>
      </c>
      <c r="C60" s="197">
        <v>47.98</v>
      </c>
      <c r="D60" s="2" t="s">
        <v>10</v>
      </c>
      <c r="F60" s="1">
        <v>88</v>
      </c>
      <c r="G60" s="1">
        <f>(Table6[[#This Row],[Install Rate]]+Table6[[#This Row],[Supply Rate]])*Table6[[#This Row],[Qty]]</f>
        <v>4222.24</v>
      </c>
      <c r="H60" s="229">
        <f>Table6[[#This Row],[Supply Rate]]*80%</f>
        <v>0</v>
      </c>
      <c r="I60" s="241"/>
      <c r="J60" s="241">
        <f>IF(Table6[[#This Row],[Material Qty]]=0,0,Table6[[#This Row],[Material Qty]]-Table6[[#This Row],[Cumulative]])</f>
        <v>0</v>
      </c>
      <c r="K60" s="229">
        <f>Table6[[#This Row],[Material Balance Qty]]*Table6[[#This Row],[Material @ Site Rate]]</f>
        <v>0</v>
      </c>
      <c r="M60" s="276">
        <f>Table6[[#This Row],[Cumulative]]-Table6[[#This Row],[Previous Qty]]</f>
        <v>0</v>
      </c>
      <c r="O60" s="1">
        <f>(Table6[[#This Row],[Supply Rate]]+Table6[[#This Row],[Install Rate]])*Table6[[#This Row],[Previous Qty]]</f>
        <v>0</v>
      </c>
      <c r="P60" s="1">
        <f>Table6[[#This Row],[Cumulative Amount]]-Table6[[#This Row],[Previous Amount]]</f>
        <v>0</v>
      </c>
      <c r="Q60" s="1">
        <f>(Table6[[#This Row],[Supply Rate]]+Table6[[#This Row],[Install Rate]])*Table6[[#This Row],[Cumulative]]</f>
        <v>0</v>
      </c>
    </row>
    <row r="61" spans="1:17" x14ac:dyDescent="0.35">
      <c r="A61" t="s">
        <v>729</v>
      </c>
      <c r="B61" s="3" t="s">
        <v>753</v>
      </c>
      <c r="C61" s="197">
        <v>70.33</v>
      </c>
      <c r="D61" s="2" t="s">
        <v>17</v>
      </c>
      <c r="F61" s="1">
        <v>148</v>
      </c>
      <c r="G61" s="1">
        <f>(Table6[[#This Row],[Install Rate]]+Table6[[#This Row],[Supply Rate]])*Table6[[#This Row],[Qty]]</f>
        <v>10408.84</v>
      </c>
      <c r="H61" s="229">
        <f>Table6[[#This Row],[Supply Rate]]*80%</f>
        <v>0</v>
      </c>
      <c r="I61" s="241"/>
      <c r="J61" s="241">
        <f>IF(Table6[[#This Row],[Material Qty]]=0,0,Table6[[#This Row],[Material Qty]]-Table6[[#This Row],[Cumulative]])</f>
        <v>0</v>
      </c>
      <c r="K61" s="229">
        <f>Table6[[#This Row],[Material Balance Qty]]*Table6[[#This Row],[Material @ Site Rate]]</f>
        <v>0</v>
      </c>
      <c r="M61" s="276">
        <f>Table6[[#This Row],[Cumulative]]-Table6[[#This Row],[Previous Qty]]</f>
        <v>0</v>
      </c>
      <c r="O61" s="1">
        <f>(Table6[[#This Row],[Supply Rate]]+Table6[[#This Row],[Install Rate]])*Table6[[#This Row],[Previous Qty]]</f>
        <v>0</v>
      </c>
      <c r="P61" s="1">
        <f>Table6[[#This Row],[Cumulative Amount]]-Table6[[#This Row],[Previous Amount]]</f>
        <v>0</v>
      </c>
      <c r="Q61" s="1">
        <f>(Table6[[#This Row],[Supply Rate]]+Table6[[#This Row],[Install Rate]])*Table6[[#This Row],[Cumulative]]</f>
        <v>0</v>
      </c>
    </row>
    <row r="62" spans="1:17" x14ac:dyDescent="0.35">
      <c r="A62" t="s">
        <v>729</v>
      </c>
      <c r="B62" s="3" t="s">
        <v>754</v>
      </c>
      <c r="C62" s="197">
        <v>50</v>
      </c>
      <c r="D62" s="2" t="s">
        <v>17</v>
      </c>
      <c r="E62" s="1">
        <v>169</v>
      </c>
      <c r="F62" s="1">
        <v>106</v>
      </c>
      <c r="G62" s="1">
        <f>(Table6[[#This Row],[Install Rate]]+Table6[[#This Row],[Supply Rate]])*Table6[[#This Row],[Qty]]</f>
        <v>13750</v>
      </c>
      <c r="H62" s="229">
        <f>Table6[[#This Row],[Supply Rate]]*80%</f>
        <v>135.20000000000002</v>
      </c>
      <c r="I62" s="241"/>
      <c r="J62" s="241">
        <f>IF(Table6[[#This Row],[Material Qty]]=0,0,Table6[[#This Row],[Material Qty]]-Table6[[#This Row],[Cumulative]])</f>
        <v>0</v>
      </c>
      <c r="K62" s="229">
        <f>Table6[[#This Row],[Material Balance Qty]]*Table6[[#This Row],[Material @ Site Rate]]</f>
        <v>0</v>
      </c>
      <c r="L62" s="197">
        <v>50</v>
      </c>
      <c r="M62" s="197">
        <f>Table6[[#This Row],[Cumulative]]-Table6[[#This Row],[Previous Qty]]</f>
        <v>0</v>
      </c>
      <c r="N62" s="197">
        <v>50</v>
      </c>
      <c r="O62" s="1">
        <f>(Table6[[#This Row],[Supply Rate]]+Table6[[#This Row],[Install Rate]])*Table6[[#This Row],[Previous Qty]]</f>
        <v>13750</v>
      </c>
      <c r="P62" s="1">
        <f>Table6[[#This Row],[Cumulative Amount]]-Table6[[#This Row],[Previous Amount]]</f>
        <v>0</v>
      </c>
      <c r="Q62" s="1">
        <f>(Table6[[#This Row],[Supply Rate]]+Table6[[#This Row],[Install Rate]])*Table6[[#This Row],[Cumulative]]</f>
        <v>13750</v>
      </c>
    </row>
    <row r="63" spans="1:17" ht="29" x14ac:dyDescent="0.35">
      <c r="A63" t="s">
        <v>729</v>
      </c>
      <c r="B63" s="3" t="s">
        <v>755</v>
      </c>
      <c r="C63" s="197">
        <v>15.33</v>
      </c>
      <c r="D63" s="2" t="s">
        <v>17</v>
      </c>
      <c r="F63" s="1">
        <v>148</v>
      </c>
      <c r="G63" s="1">
        <f>(Table6[[#This Row],[Install Rate]]+Table6[[#This Row],[Supply Rate]])*Table6[[#This Row],[Qty]]</f>
        <v>2268.84</v>
      </c>
      <c r="H63" s="229">
        <f>Table6[[#This Row],[Supply Rate]]*80%</f>
        <v>0</v>
      </c>
      <c r="I63" s="241"/>
      <c r="J63" s="241">
        <f>IF(Table6[[#This Row],[Material Qty]]=0,0,Table6[[#This Row],[Material Qty]]-Table6[[#This Row],[Cumulative]])</f>
        <v>0</v>
      </c>
      <c r="K63" s="229">
        <f>Table6[[#This Row],[Material Balance Qty]]*Table6[[#This Row],[Material @ Site Rate]]</f>
        <v>0</v>
      </c>
      <c r="M63" s="276">
        <f>Table6[[#This Row],[Cumulative]]-Table6[[#This Row],[Previous Qty]]</f>
        <v>0</v>
      </c>
      <c r="O63" s="1">
        <f>(Table6[[#This Row],[Supply Rate]]+Table6[[#This Row],[Install Rate]])*Table6[[#This Row],[Previous Qty]]</f>
        <v>0</v>
      </c>
      <c r="P63" s="1">
        <f>Table6[[#This Row],[Cumulative Amount]]-Table6[[#This Row],[Previous Amount]]</f>
        <v>0</v>
      </c>
      <c r="Q63" s="1">
        <f>(Table6[[#This Row],[Supply Rate]]+Table6[[#This Row],[Install Rate]])*Table6[[#This Row],[Cumulative]]</f>
        <v>0</v>
      </c>
    </row>
    <row r="64" spans="1:17" x14ac:dyDescent="0.35">
      <c r="A64" t="s">
        <v>729</v>
      </c>
      <c r="B64" s="3" t="s">
        <v>751</v>
      </c>
      <c r="C64" s="197">
        <v>91</v>
      </c>
      <c r="D64" s="2" t="s">
        <v>10</v>
      </c>
      <c r="E64" s="1">
        <v>33</v>
      </c>
      <c r="F64" s="1">
        <v>12</v>
      </c>
      <c r="G64" s="1">
        <f>(Table6[[#This Row],[Install Rate]]+Table6[[#This Row],[Supply Rate]])*Table6[[#This Row],[Qty]]</f>
        <v>4095</v>
      </c>
      <c r="H64" s="229">
        <f>Table6[[#This Row],[Supply Rate]]*80%</f>
        <v>26.400000000000002</v>
      </c>
      <c r="I64" s="241"/>
      <c r="J64" s="241">
        <f>IF(Table6[[#This Row],[Material Qty]]=0,0,Table6[[#This Row],[Material Qty]]-Table6[[#This Row],[Cumulative]])</f>
        <v>0</v>
      </c>
      <c r="K64" s="229">
        <f>Table6[[#This Row],[Material Balance Qty]]*Table6[[#This Row],[Material @ Site Rate]]</f>
        <v>0</v>
      </c>
      <c r="M64" s="197">
        <f>Table6[[#This Row],[Cumulative]]-Table6[[#This Row],[Previous Qty]]</f>
        <v>0</v>
      </c>
      <c r="O64" s="1">
        <f>(Table6[[#This Row],[Supply Rate]]+Table6[[#This Row],[Install Rate]])*Table6[[#This Row],[Previous Qty]]</f>
        <v>0</v>
      </c>
      <c r="P64" s="1">
        <f>Table6[[#This Row],[Cumulative Amount]]-Table6[[#This Row],[Previous Amount]]</f>
        <v>0</v>
      </c>
      <c r="Q64" s="1">
        <f>(Table6[[#This Row],[Supply Rate]]+Table6[[#This Row],[Install Rate]])*Table6[[#This Row],[Cumulative]]</f>
        <v>0</v>
      </c>
    </row>
    <row r="65" spans="1:17" x14ac:dyDescent="0.35">
      <c r="A65" t="s">
        <v>729</v>
      </c>
      <c r="B65" s="3" t="s">
        <v>738</v>
      </c>
      <c r="C65" s="197">
        <v>33.85</v>
      </c>
      <c r="D65" s="2" t="s">
        <v>10</v>
      </c>
      <c r="E65" s="1">
        <v>19</v>
      </c>
      <c r="F65" s="1">
        <v>7</v>
      </c>
      <c r="G65" s="1">
        <f>(Table6[[#This Row],[Install Rate]]+Table6[[#This Row],[Supply Rate]])*Table6[[#This Row],[Qty]]</f>
        <v>880.1</v>
      </c>
      <c r="H65" s="229">
        <f>Table6[[#This Row],[Supply Rate]]*80%</f>
        <v>15.200000000000001</v>
      </c>
      <c r="I65" s="241"/>
      <c r="J65" s="241">
        <f>IF(Table6[[#This Row],[Material Qty]]=0,0,Table6[[#This Row],[Material Qty]]-Table6[[#This Row],[Cumulative]])</f>
        <v>0</v>
      </c>
      <c r="K65" s="229">
        <f>Table6[[#This Row],[Material Balance Qty]]*Table6[[#This Row],[Material @ Site Rate]]</f>
        <v>0</v>
      </c>
      <c r="M65" s="197">
        <f>Table6[[#This Row],[Cumulative]]-Table6[[#This Row],[Previous Qty]]</f>
        <v>0</v>
      </c>
      <c r="O65" s="1">
        <f>(Table6[[#This Row],[Supply Rate]]+Table6[[#This Row],[Install Rate]])*Table6[[#This Row],[Previous Qty]]</f>
        <v>0</v>
      </c>
      <c r="P65" s="1">
        <f>Table6[[#This Row],[Cumulative Amount]]-Table6[[#This Row],[Previous Amount]]</f>
        <v>0</v>
      </c>
      <c r="Q65" s="1">
        <f>(Table6[[#This Row],[Supply Rate]]+Table6[[#This Row],[Install Rate]])*Table6[[#This Row],[Cumulative]]</f>
        <v>0</v>
      </c>
    </row>
    <row r="66" spans="1:17" x14ac:dyDescent="0.35">
      <c r="A66" t="s">
        <v>729</v>
      </c>
      <c r="B66" s="3" t="s">
        <v>756</v>
      </c>
      <c r="C66" s="197">
        <v>67.599999999999994</v>
      </c>
      <c r="D66" s="2" t="s">
        <v>10</v>
      </c>
      <c r="F66" s="1">
        <v>88</v>
      </c>
      <c r="G66" s="1">
        <f>(Table6[[#This Row],[Install Rate]]+Table6[[#This Row],[Supply Rate]])*Table6[[#This Row],[Qty]]</f>
        <v>5948.7999999999993</v>
      </c>
      <c r="H66" s="229">
        <f>Table6[[#This Row],[Supply Rate]]*80%</f>
        <v>0</v>
      </c>
      <c r="I66" s="241"/>
      <c r="J66" s="241">
        <f>IF(Table6[[#This Row],[Material Qty]]=0,0,Table6[[#This Row],[Material Qty]]-Table6[[#This Row],[Cumulative]])</f>
        <v>0</v>
      </c>
      <c r="K66" s="229">
        <f>Table6[[#This Row],[Material Balance Qty]]*Table6[[#This Row],[Material @ Site Rate]]</f>
        <v>0</v>
      </c>
      <c r="M66" s="276">
        <f>Table6[[#This Row],[Cumulative]]-Table6[[#This Row],[Previous Qty]]</f>
        <v>0</v>
      </c>
      <c r="O66" s="1">
        <f>(Table6[[#This Row],[Supply Rate]]+Table6[[#This Row],[Install Rate]])*Table6[[#This Row],[Previous Qty]]</f>
        <v>0</v>
      </c>
      <c r="P66" s="1">
        <f>Table6[[#This Row],[Cumulative Amount]]-Table6[[#This Row],[Previous Amount]]</f>
        <v>0</v>
      </c>
      <c r="Q66" s="1">
        <f>(Table6[[#This Row],[Supply Rate]]+Table6[[#This Row],[Install Rate]])*Table6[[#This Row],[Cumulative]]</f>
        <v>0</v>
      </c>
    </row>
    <row r="67" spans="1:17" x14ac:dyDescent="0.35">
      <c r="A67" t="s">
        <v>729</v>
      </c>
      <c r="B67" s="3" t="s">
        <v>757</v>
      </c>
      <c r="C67" s="197">
        <v>52.24</v>
      </c>
      <c r="D67" s="2" t="s">
        <v>17</v>
      </c>
      <c r="F67" s="1">
        <v>148</v>
      </c>
      <c r="G67" s="1">
        <f>(Table6[[#This Row],[Install Rate]]+Table6[[#This Row],[Supply Rate]])*Table6[[#This Row],[Qty]]</f>
        <v>7731.52</v>
      </c>
      <c r="H67" s="229">
        <f>Table6[[#This Row],[Supply Rate]]*80%</f>
        <v>0</v>
      </c>
      <c r="I67" s="241"/>
      <c r="J67" s="241">
        <f>IF(Table6[[#This Row],[Material Qty]]=0,0,Table6[[#This Row],[Material Qty]]-Table6[[#This Row],[Cumulative]])</f>
        <v>0</v>
      </c>
      <c r="K67" s="229">
        <f>Table6[[#This Row],[Material Balance Qty]]*Table6[[#This Row],[Material @ Site Rate]]</f>
        <v>0</v>
      </c>
      <c r="M67" s="276">
        <f>Table6[[#This Row],[Cumulative]]-Table6[[#This Row],[Previous Qty]]</f>
        <v>0</v>
      </c>
      <c r="O67" s="1">
        <f>(Table6[[#This Row],[Supply Rate]]+Table6[[#This Row],[Install Rate]])*Table6[[#This Row],[Previous Qty]]</f>
        <v>0</v>
      </c>
      <c r="P67" s="1">
        <f>Table6[[#This Row],[Cumulative Amount]]-Table6[[#This Row],[Previous Amount]]</f>
        <v>0</v>
      </c>
      <c r="Q67" s="1">
        <f>(Table6[[#This Row],[Supply Rate]]+Table6[[#This Row],[Install Rate]])*Table6[[#This Row],[Cumulative]]</f>
        <v>0</v>
      </c>
    </row>
    <row r="68" spans="1:17" x14ac:dyDescent="0.35">
      <c r="A68" t="s">
        <v>729</v>
      </c>
      <c r="B68" s="3" t="s">
        <v>758</v>
      </c>
      <c r="C68" s="197">
        <v>81</v>
      </c>
      <c r="D68" s="2" t="s">
        <v>17</v>
      </c>
      <c r="E68" s="1">
        <v>169</v>
      </c>
      <c r="F68" s="1">
        <v>106</v>
      </c>
      <c r="G68" s="1">
        <f>(Table6[[#This Row],[Install Rate]]+Table6[[#This Row],[Supply Rate]])*Table6[[#This Row],[Qty]]</f>
        <v>22275</v>
      </c>
      <c r="H68" s="229">
        <f>Table6[[#This Row],[Supply Rate]]*80%</f>
        <v>135.20000000000002</v>
      </c>
      <c r="I68" s="241"/>
      <c r="J68" s="241">
        <f>IF(Table6[[#This Row],[Material Qty]]=0,0,Table6[[#This Row],[Material Qty]]-Table6[[#This Row],[Cumulative]])</f>
        <v>0</v>
      </c>
      <c r="K68" s="229">
        <f>Table6[[#This Row],[Material Balance Qty]]*Table6[[#This Row],[Material @ Site Rate]]</f>
        <v>0</v>
      </c>
      <c r="L68" s="197">
        <v>81</v>
      </c>
      <c r="M68" s="197">
        <f>Table6[[#This Row],[Cumulative]]-Table6[[#This Row],[Previous Qty]]</f>
        <v>0</v>
      </c>
      <c r="N68" s="197">
        <v>81</v>
      </c>
      <c r="O68" s="1">
        <f>(Table6[[#This Row],[Supply Rate]]+Table6[[#This Row],[Install Rate]])*Table6[[#This Row],[Previous Qty]]</f>
        <v>22275</v>
      </c>
      <c r="P68" s="1">
        <f>Table6[[#This Row],[Cumulative Amount]]-Table6[[#This Row],[Previous Amount]]</f>
        <v>0</v>
      </c>
      <c r="Q68" s="1">
        <f>(Table6[[#This Row],[Supply Rate]]+Table6[[#This Row],[Install Rate]])*Table6[[#This Row],[Cumulative]]</f>
        <v>22275</v>
      </c>
    </row>
    <row r="69" spans="1:17" x14ac:dyDescent="0.35">
      <c r="A69" t="s">
        <v>729</v>
      </c>
      <c r="B69" s="3" t="s">
        <v>751</v>
      </c>
      <c r="C69" s="197">
        <v>116.5</v>
      </c>
      <c r="D69" s="2" t="s">
        <v>10</v>
      </c>
      <c r="E69" s="1">
        <v>33</v>
      </c>
      <c r="F69" s="1">
        <v>12</v>
      </c>
      <c r="G69" s="1">
        <f>(Table6[[#This Row],[Install Rate]]+Table6[[#This Row],[Supply Rate]])*Table6[[#This Row],[Qty]]</f>
        <v>5242.5</v>
      </c>
      <c r="H69" s="229">
        <f>Table6[[#This Row],[Supply Rate]]*80%</f>
        <v>26.400000000000002</v>
      </c>
      <c r="I69" s="241"/>
      <c r="J69" s="241">
        <f>IF(Table6[[#This Row],[Material Qty]]=0,0,Table6[[#This Row],[Material Qty]]-Table6[[#This Row],[Cumulative]])</f>
        <v>0</v>
      </c>
      <c r="K69" s="229">
        <f>Table6[[#This Row],[Material Balance Qty]]*Table6[[#This Row],[Material @ Site Rate]]</f>
        <v>0</v>
      </c>
      <c r="M69" s="197">
        <f>Table6[[#This Row],[Cumulative]]-Table6[[#This Row],[Previous Qty]]</f>
        <v>0</v>
      </c>
      <c r="O69" s="1">
        <f>(Table6[[#This Row],[Supply Rate]]+Table6[[#This Row],[Install Rate]])*Table6[[#This Row],[Previous Qty]]</f>
        <v>0</v>
      </c>
      <c r="P69" s="1">
        <f>Table6[[#This Row],[Cumulative Amount]]-Table6[[#This Row],[Previous Amount]]</f>
        <v>0</v>
      </c>
      <c r="Q69" s="1">
        <f>(Table6[[#This Row],[Supply Rate]]+Table6[[#This Row],[Install Rate]])*Table6[[#This Row],[Cumulative]]</f>
        <v>0</v>
      </c>
    </row>
    <row r="70" spans="1:17" x14ac:dyDescent="0.35">
      <c r="A70" t="s">
        <v>729</v>
      </c>
      <c r="B70" s="3" t="s">
        <v>738</v>
      </c>
      <c r="C70" s="197">
        <v>16.600000000000001</v>
      </c>
      <c r="D70" s="2" t="s">
        <v>10</v>
      </c>
      <c r="E70" s="1">
        <v>19</v>
      </c>
      <c r="F70" s="1">
        <v>7</v>
      </c>
      <c r="G70" s="1">
        <f>(Table6[[#This Row],[Install Rate]]+Table6[[#This Row],[Supply Rate]])*Table6[[#This Row],[Qty]]</f>
        <v>431.6</v>
      </c>
      <c r="H70" s="229">
        <f>Table6[[#This Row],[Supply Rate]]*80%</f>
        <v>15.200000000000001</v>
      </c>
      <c r="I70" s="241"/>
      <c r="J70" s="241">
        <f>IF(Table6[[#This Row],[Material Qty]]=0,0,Table6[[#This Row],[Material Qty]]-Table6[[#This Row],[Cumulative]])</f>
        <v>0</v>
      </c>
      <c r="K70" s="229">
        <f>Table6[[#This Row],[Material Balance Qty]]*Table6[[#This Row],[Material @ Site Rate]]</f>
        <v>0</v>
      </c>
      <c r="M70" s="197">
        <f>Table6[[#This Row],[Cumulative]]-Table6[[#This Row],[Previous Qty]]</f>
        <v>0</v>
      </c>
      <c r="O70" s="1">
        <f>(Table6[[#This Row],[Supply Rate]]+Table6[[#This Row],[Install Rate]])*Table6[[#This Row],[Previous Qty]]</f>
        <v>0</v>
      </c>
      <c r="P70" s="1">
        <f>Table6[[#This Row],[Cumulative Amount]]-Table6[[#This Row],[Previous Amount]]</f>
        <v>0</v>
      </c>
      <c r="Q70" s="1">
        <f>(Table6[[#This Row],[Supply Rate]]+Table6[[#This Row],[Install Rate]])*Table6[[#This Row],[Cumulative]]</f>
        <v>0</v>
      </c>
    </row>
    <row r="71" spans="1:17" ht="43.5" x14ac:dyDescent="0.35">
      <c r="A71" t="s">
        <v>180</v>
      </c>
      <c r="B71" s="3" t="s">
        <v>759</v>
      </c>
      <c r="C71" s="197">
        <v>19.68</v>
      </c>
      <c r="D71" s="2" t="s">
        <v>17</v>
      </c>
      <c r="E71" s="1">
        <v>1540</v>
      </c>
      <c r="F71" s="1">
        <v>236</v>
      </c>
      <c r="G71" s="1">
        <f>(Table6[[#This Row],[Install Rate]]+Table6[[#This Row],[Supply Rate]])*Table6[[#This Row],[Qty]]</f>
        <v>34951.68</v>
      </c>
      <c r="H71" s="229">
        <f>Table6[[#This Row],[Supply Rate]]*80%</f>
        <v>1232</v>
      </c>
      <c r="I71" s="241"/>
      <c r="J71" s="241">
        <f>IF(Table6[[#This Row],[Material Qty]]=0,0,Table6[[#This Row],[Material Qty]]-Table6[[#This Row],[Cumulative]])</f>
        <v>0</v>
      </c>
      <c r="K71" s="229">
        <f>Table6[[#This Row],[Material Balance Qty]]*Table6[[#This Row],[Material @ Site Rate]]</f>
        <v>0</v>
      </c>
      <c r="M71" s="197">
        <f>Table6[[#This Row],[Cumulative]]-Table6[[#This Row],[Previous Qty]]</f>
        <v>0</v>
      </c>
      <c r="O71" s="1">
        <f>(Table6[[#This Row],[Supply Rate]]+Table6[[#This Row],[Install Rate]])*Table6[[#This Row],[Previous Qty]]</f>
        <v>0</v>
      </c>
      <c r="P71" s="1">
        <f>Table6[[#This Row],[Cumulative Amount]]-Table6[[#This Row],[Previous Amount]]</f>
        <v>0</v>
      </c>
      <c r="Q71" s="1">
        <f>(Table6[[#This Row],[Supply Rate]]+Table6[[#This Row],[Install Rate]])*Table6[[#This Row],[Cumulative]]</f>
        <v>0</v>
      </c>
    </row>
    <row r="72" spans="1:17" s="199" customFormat="1" ht="29.5" customHeight="1" x14ac:dyDescent="0.35">
      <c r="A72" s="235"/>
      <c r="B72" s="236"/>
      <c r="C72" s="237"/>
      <c r="D72" s="235"/>
      <c r="E72" s="238"/>
      <c r="F72" s="238"/>
      <c r="G72" s="238">
        <f>SUBTOTAL(109,Table6[Amount])</f>
        <v>592375.00108999992</v>
      </c>
      <c r="H72" s="239"/>
      <c r="I72" s="240"/>
      <c r="J72" s="240"/>
      <c r="K72" s="242">
        <f>SUBTOTAL(109,Table6[Material @ Site Amount])</f>
        <v>33667.199999999997</v>
      </c>
      <c r="L72" s="237"/>
      <c r="M72" s="237"/>
      <c r="N72" s="237"/>
      <c r="O72" s="238">
        <f>SUBTOTAL(109,Table6[Previous Amount])</f>
        <v>245003.65740000003</v>
      </c>
      <c r="P72" s="238">
        <f>SUBTOTAL(109,Table6[Current Amount])</f>
        <v>4884.4399999999951</v>
      </c>
      <c r="Q72" s="238">
        <f>SUBTOTAL(109,Table6[Cumulative Amount])</f>
        <v>249888.09740000003</v>
      </c>
    </row>
  </sheetData>
  <pageMargins left="0.7" right="0.7" top="0.75" bottom="0.75" header="0.3" footer="0.3"/>
  <pageSetup paperSize="9" scale="31" orientation="portrait" verticalDpi="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1FA4-210D-4003-8E92-069BC41BDDDD}">
  <dimension ref="A1:R589"/>
  <sheetViews>
    <sheetView view="pageBreakPreview" zoomScale="85" zoomScaleNormal="100" zoomScaleSheetLayoutView="85" workbookViewId="0">
      <selection activeCell="R151" sqref="R151:R588"/>
    </sheetView>
  </sheetViews>
  <sheetFormatPr defaultRowHeight="14.5" x14ac:dyDescent="0.35"/>
  <cols>
    <col min="1" max="1" width="8.7265625" style="2"/>
    <col min="2" max="2" width="43.54296875" style="3" customWidth="1"/>
    <col min="3" max="4" width="8.7265625" style="2"/>
    <col min="5" max="5" width="13.54296875" style="1" customWidth="1"/>
    <col min="6" max="6" width="13.1796875" style="1" customWidth="1"/>
    <col min="7" max="7" width="13.26953125" style="1" bestFit="1" customWidth="1"/>
    <col min="8" max="8" width="13.26953125" style="229" customWidth="1"/>
    <col min="9" max="10" width="13.26953125" style="230" customWidth="1"/>
    <col min="11" max="11" width="13.26953125" style="229" customWidth="1"/>
    <col min="12" max="12" width="13.453125" style="1" customWidth="1"/>
    <col min="13" max="13" width="12.7265625" style="1" customWidth="1"/>
    <col min="14" max="14" width="12.26953125" style="1" customWidth="1"/>
    <col min="15" max="15" width="18.26953125" style="1" customWidth="1"/>
    <col min="16" max="16" width="17.453125" style="1" customWidth="1"/>
    <col min="17" max="17" width="20.453125" style="1" customWidth="1"/>
  </cols>
  <sheetData>
    <row r="1" spans="1:17" ht="36" customHeight="1" x14ac:dyDescent="0.35">
      <c r="A1" s="210" t="s">
        <v>0</v>
      </c>
      <c r="B1" s="210" t="s">
        <v>1</v>
      </c>
      <c r="C1" s="211" t="s">
        <v>2</v>
      </c>
      <c r="D1" s="210" t="s">
        <v>3</v>
      </c>
      <c r="E1" s="212" t="s">
        <v>4</v>
      </c>
      <c r="F1" s="212" t="s">
        <v>5</v>
      </c>
      <c r="G1" s="212" t="s">
        <v>6</v>
      </c>
      <c r="H1" s="219" t="s">
        <v>928</v>
      </c>
      <c r="I1" s="220" t="s">
        <v>929</v>
      </c>
      <c r="J1" s="220" t="s">
        <v>930</v>
      </c>
      <c r="K1" s="219" t="s">
        <v>931</v>
      </c>
      <c r="L1" s="212" t="s">
        <v>173</v>
      </c>
      <c r="M1" s="212" t="s">
        <v>174</v>
      </c>
      <c r="N1" s="212" t="s">
        <v>175</v>
      </c>
      <c r="O1" s="212" t="s">
        <v>176</v>
      </c>
      <c r="P1" s="212" t="s">
        <v>177</v>
      </c>
      <c r="Q1" s="212" t="s">
        <v>178</v>
      </c>
    </row>
    <row r="2" spans="1:17" ht="19.5" customHeight="1" x14ac:dyDescent="0.35">
      <c r="A2" s="206" t="s">
        <v>927</v>
      </c>
      <c r="B2" s="207"/>
      <c r="C2" s="208"/>
      <c r="D2" s="207"/>
      <c r="E2" s="209"/>
      <c r="F2" s="209"/>
      <c r="G2" s="209"/>
      <c r="H2" s="221"/>
      <c r="I2" s="222"/>
      <c r="J2" s="222"/>
      <c r="K2" s="221"/>
      <c r="L2" s="209"/>
      <c r="M2" s="209">
        <f>Table5[[#This Row],[Cumulative]]-Table5[[#This Row],[Previous Qty]]</f>
        <v>0</v>
      </c>
      <c r="N2" s="209"/>
      <c r="O2" s="209">
        <f>(Table5[[#This Row],[Supply Rate]]+Table5[[#This Row],[Install Rate]])*Table5[[#This Row],[Previous Qty]]</f>
        <v>0</v>
      </c>
      <c r="P2" s="209">
        <f>Table5[[#This Row],[Cumulative Amount]]-Table5[[#This Row],[Previous Amount]]</f>
        <v>0</v>
      </c>
      <c r="Q2" s="209">
        <f>(Table5[[#This Row],[Supply Rate]]+Table5[[#This Row],[Install Rate]])*Table5[[#This Row],[Cumulative]]</f>
        <v>0</v>
      </c>
    </row>
    <row r="3" spans="1:17" s="198" customFormat="1" x14ac:dyDescent="0.35">
      <c r="A3" s="201" t="s">
        <v>287</v>
      </c>
      <c r="B3" s="202"/>
      <c r="C3" s="203"/>
      <c r="D3" s="203"/>
      <c r="E3" s="204"/>
      <c r="F3" s="204"/>
      <c r="G3" s="204"/>
      <c r="H3" s="223"/>
      <c r="I3" s="224"/>
      <c r="J3" s="224"/>
      <c r="K3" s="223"/>
      <c r="L3" s="204"/>
      <c r="M3" s="204"/>
      <c r="N3" s="204"/>
      <c r="O3" s="204"/>
      <c r="P3" s="204"/>
      <c r="Q3" s="204"/>
    </row>
    <row r="4" spans="1:17" x14ac:dyDescent="0.35">
      <c r="A4" s="6"/>
      <c r="B4" s="7" t="s">
        <v>288</v>
      </c>
      <c r="C4" s="6"/>
      <c r="D4" s="6"/>
      <c r="E4" s="9"/>
      <c r="F4" s="9"/>
      <c r="G4" s="9"/>
      <c r="H4" s="223"/>
      <c r="I4" s="224"/>
      <c r="J4" s="224"/>
      <c r="K4" s="223"/>
      <c r="L4" s="9"/>
      <c r="M4" s="9"/>
      <c r="N4" s="9"/>
      <c r="O4" s="9"/>
      <c r="P4" s="9"/>
      <c r="Q4" s="9"/>
    </row>
    <row r="5" spans="1:17" x14ac:dyDescent="0.35">
      <c r="A5" s="6"/>
      <c r="B5" s="11" t="s">
        <v>289</v>
      </c>
      <c r="C5" s="6"/>
      <c r="D5" s="6"/>
      <c r="E5" s="9"/>
      <c r="F5" s="9"/>
      <c r="G5" s="9"/>
      <c r="H5" s="223"/>
      <c r="I5" s="224"/>
      <c r="J5" s="224"/>
      <c r="K5" s="223"/>
      <c r="L5" s="9"/>
      <c r="M5" s="9"/>
      <c r="N5" s="9"/>
      <c r="O5" s="9"/>
      <c r="P5" s="9"/>
      <c r="Q5" s="9"/>
    </row>
    <row r="6" spans="1:17" ht="72.5" x14ac:dyDescent="0.35">
      <c r="A6" s="6"/>
      <c r="B6" s="11" t="s">
        <v>290</v>
      </c>
      <c r="C6" s="6"/>
      <c r="D6" s="6"/>
      <c r="E6" s="9"/>
      <c r="F6" s="9"/>
      <c r="G6" s="9"/>
      <c r="H6" s="223"/>
      <c r="I6" s="224"/>
      <c r="J6" s="224"/>
      <c r="K6" s="223"/>
      <c r="L6" s="9"/>
      <c r="M6" s="9"/>
      <c r="N6" s="9"/>
      <c r="O6" s="9"/>
      <c r="P6" s="9"/>
      <c r="Q6" s="9"/>
    </row>
    <row r="7" spans="1:17" ht="29" x14ac:dyDescent="0.35">
      <c r="A7" s="6"/>
      <c r="B7" s="11" t="s">
        <v>291</v>
      </c>
      <c r="C7" s="6"/>
      <c r="D7" s="6"/>
      <c r="E7" s="9"/>
      <c r="F7" s="9"/>
      <c r="G7" s="9"/>
      <c r="H7" s="223"/>
      <c r="I7" s="224"/>
      <c r="J7" s="224"/>
      <c r="K7" s="223"/>
      <c r="L7" s="9"/>
      <c r="M7" s="9"/>
      <c r="N7" s="9"/>
      <c r="O7" s="9"/>
      <c r="P7" s="9"/>
      <c r="Q7" s="9"/>
    </row>
    <row r="8" spans="1:17" x14ac:dyDescent="0.35">
      <c r="A8" s="6" t="s">
        <v>292</v>
      </c>
      <c r="B8" s="11" t="s">
        <v>293</v>
      </c>
      <c r="C8" s="6">
        <v>9.23</v>
      </c>
      <c r="D8" s="6" t="s">
        <v>17</v>
      </c>
      <c r="E8" s="9">
        <v>450</v>
      </c>
      <c r="F8" s="9">
        <v>200</v>
      </c>
      <c r="G8" s="9">
        <f>(Table5[[#This Row],[Supply Rate]]+Table5[[#This Row],[Install Rate]])*Table5[[#This Row],[Qty]]</f>
        <v>5999.5</v>
      </c>
      <c r="H8" s="223">
        <f>Table5[[#This Row],[Supply Rate]]*80%</f>
        <v>360</v>
      </c>
      <c r="I8" s="224"/>
      <c r="J8" s="224">
        <f>IF(Table5[[#This Row],[Material Qty]]=0,0,Table5[[#This Row],[Material Qty]]-Table5[[#This Row],[Cumulative]])</f>
        <v>0</v>
      </c>
      <c r="K8" s="223">
        <f>Table5[[#This Row],[Material Balance Qty]]*Table5[[#This Row],[Material @ Site Rate]]</f>
        <v>0</v>
      </c>
      <c r="L8" s="9"/>
      <c r="M8" s="9">
        <f>Table5[[#This Row],[Cumulative]]-Table5[[#This Row],[Previous Qty]]</f>
        <v>0</v>
      </c>
      <c r="N8" s="9"/>
      <c r="O8" s="9">
        <f>(Table5[[#This Row],[Supply Rate]]+Table5[[#This Row],[Install Rate]])*Table5[[#This Row],[Previous Qty]]</f>
        <v>0</v>
      </c>
      <c r="P8" s="9">
        <f>Table5[[#This Row],[Cumulative Amount]]-Table5[[#This Row],[Previous Amount]]</f>
        <v>0</v>
      </c>
      <c r="Q8" s="9">
        <f>(Table5[[#This Row],[Supply Rate]]+Table5[[#This Row],[Install Rate]])*Table5[[#This Row],[Cumulative]]</f>
        <v>0</v>
      </c>
    </row>
    <row r="9" spans="1:17" x14ac:dyDescent="0.35">
      <c r="A9" s="6" t="s">
        <v>294</v>
      </c>
      <c r="B9" s="11" t="s">
        <v>295</v>
      </c>
      <c r="C9" s="6">
        <v>0.27</v>
      </c>
      <c r="D9" s="6" t="s">
        <v>17</v>
      </c>
      <c r="E9" s="9">
        <v>450</v>
      </c>
      <c r="F9" s="9">
        <v>200</v>
      </c>
      <c r="G9" s="9">
        <f>(Table5[[#This Row],[Supply Rate]]+Table5[[#This Row],[Install Rate]])*Table5[[#This Row],[Qty]]</f>
        <v>175.5</v>
      </c>
      <c r="H9" s="223">
        <f>Table5[[#This Row],[Supply Rate]]*80%</f>
        <v>360</v>
      </c>
      <c r="I9" s="224"/>
      <c r="J9" s="224">
        <f>IF(Table5[[#This Row],[Material Qty]]=0,0,Table5[[#This Row],[Material Qty]]-Table5[[#This Row],[Cumulative]])</f>
        <v>0</v>
      </c>
      <c r="K9" s="223">
        <f>Table5[[#This Row],[Material Balance Qty]]*Table5[[#This Row],[Material @ Site Rate]]</f>
        <v>0</v>
      </c>
      <c r="L9" s="9"/>
      <c r="M9" s="9">
        <f>Table5[[#This Row],[Cumulative]]-Table5[[#This Row],[Previous Qty]]</f>
        <v>0</v>
      </c>
      <c r="N9" s="9"/>
      <c r="O9" s="9">
        <f>(Table5[[#This Row],[Supply Rate]]+Table5[[#This Row],[Install Rate]])*Table5[[#This Row],[Previous Qty]]</f>
        <v>0</v>
      </c>
      <c r="P9" s="9">
        <f>Table5[[#This Row],[Cumulative Amount]]-Table5[[#This Row],[Previous Amount]]</f>
        <v>0</v>
      </c>
      <c r="Q9" s="9">
        <f>(Table5[[#This Row],[Supply Rate]]+Table5[[#This Row],[Install Rate]])*Table5[[#This Row],[Cumulative]]</f>
        <v>0</v>
      </c>
    </row>
    <row r="10" spans="1:17" ht="29" x14ac:dyDescent="0.35">
      <c r="A10" s="6"/>
      <c r="B10" s="11" t="s">
        <v>296</v>
      </c>
      <c r="C10" s="6"/>
      <c r="D10" s="6"/>
      <c r="E10" s="9"/>
      <c r="F10" s="9"/>
      <c r="G10" s="9"/>
      <c r="H10" s="223"/>
      <c r="I10" s="224"/>
      <c r="J10" s="224"/>
      <c r="K10" s="223"/>
      <c r="L10" s="9"/>
      <c r="M10" s="9"/>
      <c r="N10" s="9"/>
      <c r="O10" s="9"/>
      <c r="P10" s="9"/>
      <c r="Q10" s="9"/>
    </row>
    <row r="11" spans="1:17" x14ac:dyDescent="0.35">
      <c r="A11" s="6" t="s">
        <v>297</v>
      </c>
      <c r="B11" s="11" t="s">
        <v>298</v>
      </c>
      <c r="C11" s="6">
        <v>7.6550000000000002</v>
      </c>
      <c r="D11" s="6" t="s">
        <v>17</v>
      </c>
      <c r="E11" s="9">
        <v>357</v>
      </c>
      <c r="F11" s="9">
        <v>216</v>
      </c>
      <c r="G11" s="9">
        <f>(Table5[[#This Row],[Supply Rate]]+Table5[[#This Row],[Install Rate]])*Table5[[#This Row],[Qty]]</f>
        <v>4386.3150000000005</v>
      </c>
      <c r="H11" s="223">
        <f>Table5[[#This Row],[Supply Rate]]*80%</f>
        <v>285.60000000000002</v>
      </c>
      <c r="I11" s="224"/>
      <c r="J11" s="224">
        <f>IF(Table5[[#This Row],[Material Qty]]=0,0,Table5[[#This Row],[Material Qty]]-Table5[[#This Row],[Cumulative]])</f>
        <v>0</v>
      </c>
      <c r="K11" s="223">
        <f>Table5[[#This Row],[Material Balance Qty]]*Table5[[#This Row],[Material @ Site Rate]]</f>
        <v>0</v>
      </c>
      <c r="L11" s="9"/>
      <c r="M11" s="9">
        <f>Table5[[#This Row],[Cumulative]]-Table5[[#This Row],[Previous Qty]]</f>
        <v>0</v>
      </c>
      <c r="N11" s="9"/>
      <c r="O11" s="9">
        <f>(Table5[[#This Row],[Supply Rate]]+Table5[[#This Row],[Install Rate]])*Table5[[#This Row],[Previous Qty]]</f>
        <v>0</v>
      </c>
      <c r="P11" s="9">
        <f>Table5[[#This Row],[Cumulative Amount]]-Table5[[#This Row],[Previous Amount]]</f>
        <v>0</v>
      </c>
      <c r="Q11" s="9">
        <f>(Table5[[#This Row],[Supply Rate]]+Table5[[#This Row],[Install Rate]])*Table5[[#This Row],[Cumulative]]</f>
        <v>0</v>
      </c>
    </row>
    <row r="12" spans="1:17" ht="43.5" x14ac:dyDescent="0.35">
      <c r="A12" s="6"/>
      <c r="B12" s="11" t="s">
        <v>299</v>
      </c>
      <c r="C12" s="6"/>
      <c r="D12" s="6"/>
      <c r="E12" s="9"/>
      <c r="F12" s="9"/>
      <c r="G12" s="9"/>
      <c r="H12" s="223"/>
      <c r="I12" s="224"/>
      <c r="J12" s="224"/>
      <c r="K12" s="223"/>
      <c r="L12" s="9"/>
      <c r="M12" s="9"/>
      <c r="N12" s="9"/>
      <c r="O12" s="9"/>
      <c r="P12" s="9"/>
      <c r="Q12" s="9"/>
    </row>
    <row r="13" spans="1:17" x14ac:dyDescent="0.35">
      <c r="A13" s="6" t="s">
        <v>300</v>
      </c>
      <c r="B13" s="11" t="s">
        <v>301</v>
      </c>
      <c r="C13" s="6">
        <v>9.8699999999999992</v>
      </c>
      <c r="D13" s="6" t="s">
        <v>17</v>
      </c>
      <c r="E13" s="9">
        <v>851</v>
      </c>
      <c r="F13" s="9">
        <v>219</v>
      </c>
      <c r="G13" s="9">
        <f>(Table5[[#This Row],[Supply Rate]]+Table5[[#This Row],[Install Rate]])*Table5[[#This Row],[Qty]]</f>
        <v>10560.9</v>
      </c>
      <c r="H13" s="223">
        <f>Table5[[#This Row],[Supply Rate]]*80%</f>
        <v>680.80000000000007</v>
      </c>
      <c r="I13" s="224"/>
      <c r="J13" s="224">
        <f>IF(Table5[[#This Row],[Material Qty]]=0,0,Table5[[#This Row],[Material Qty]]-Table5[[#This Row],[Cumulative]])</f>
        <v>0</v>
      </c>
      <c r="K13" s="223">
        <f>Table5[[#This Row],[Material Balance Qty]]*Table5[[#This Row],[Material @ Site Rate]]</f>
        <v>0</v>
      </c>
      <c r="L13" s="9"/>
      <c r="M13" s="9">
        <f>Table5[[#This Row],[Cumulative]]-Table5[[#This Row],[Previous Qty]]</f>
        <v>0</v>
      </c>
      <c r="N13" s="9"/>
      <c r="O13" s="9">
        <f>(Table5[[#This Row],[Supply Rate]]+Table5[[#This Row],[Install Rate]])*Table5[[#This Row],[Previous Qty]]</f>
        <v>0</v>
      </c>
      <c r="P13" s="9">
        <f>Table5[[#This Row],[Cumulative Amount]]-Table5[[#This Row],[Previous Amount]]</f>
        <v>0</v>
      </c>
      <c r="Q13" s="9">
        <f>(Table5[[#This Row],[Supply Rate]]+Table5[[#This Row],[Install Rate]])*Table5[[#This Row],[Cumulative]]</f>
        <v>0</v>
      </c>
    </row>
    <row r="14" spans="1:17" x14ac:dyDescent="0.35">
      <c r="A14" s="6"/>
      <c r="B14" s="11" t="s">
        <v>302</v>
      </c>
      <c r="C14" s="6"/>
      <c r="D14" s="6"/>
      <c r="E14" s="9"/>
      <c r="F14" s="9"/>
      <c r="G14" s="9"/>
      <c r="H14" s="223"/>
      <c r="I14" s="224"/>
      <c r="J14" s="224"/>
      <c r="K14" s="223"/>
      <c r="L14" s="9"/>
      <c r="M14" s="9"/>
      <c r="N14" s="9"/>
      <c r="O14" s="9"/>
      <c r="P14" s="9"/>
      <c r="Q14" s="9"/>
    </row>
    <row r="15" spans="1:17" ht="58" x14ac:dyDescent="0.35">
      <c r="A15" s="6" t="s">
        <v>303</v>
      </c>
      <c r="B15" s="11" t="s">
        <v>304</v>
      </c>
      <c r="C15" s="6"/>
      <c r="D15" s="6"/>
      <c r="E15" s="9"/>
      <c r="F15" s="9"/>
      <c r="G15" s="9"/>
      <c r="H15" s="223"/>
      <c r="I15" s="224"/>
      <c r="J15" s="224"/>
      <c r="K15" s="223"/>
      <c r="L15" s="9"/>
      <c r="M15" s="9"/>
      <c r="N15" s="9"/>
      <c r="O15" s="9"/>
      <c r="P15" s="9"/>
      <c r="Q15" s="9"/>
    </row>
    <row r="16" spans="1:17" ht="29" x14ac:dyDescent="0.35">
      <c r="A16" s="6">
        <v>1</v>
      </c>
      <c r="B16" s="11" t="s">
        <v>305</v>
      </c>
      <c r="C16" s="6">
        <v>0.75</v>
      </c>
      <c r="D16" s="6" t="s">
        <v>10</v>
      </c>
      <c r="E16" s="9">
        <v>153</v>
      </c>
      <c r="F16" s="9">
        <v>45</v>
      </c>
      <c r="G16" s="9">
        <f>(Table5[[#This Row],[Supply Rate]]+Table5[[#This Row],[Install Rate]])*Table5[[#This Row],[Qty]]</f>
        <v>148.5</v>
      </c>
      <c r="H16" s="223">
        <f>Table5[[#This Row],[Supply Rate]]*80%</f>
        <v>122.4</v>
      </c>
      <c r="I16" s="224"/>
      <c r="J16" s="224">
        <f>IF(Table5[[#This Row],[Material Qty]]=0,0,Table5[[#This Row],[Material Qty]]-Table5[[#This Row],[Cumulative]])</f>
        <v>0</v>
      </c>
      <c r="K16" s="223">
        <f>Table5[[#This Row],[Material Balance Qty]]*Table5[[#This Row],[Material @ Site Rate]]</f>
        <v>0</v>
      </c>
      <c r="L16" s="9"/>
      <c r="M16" s="9">
        <f>Table5[[#This Row],[Cumulative]]-Table5[[#This Row],[Previous Qty]]</f>
        <v>0</v>
      </c>
      <c r="N16" s="9"/>
      <c r="O16" s="9">
        <f>(Table5[[#This Row],[Supply Rate]]+Table5[[#This Row],[Install Rate]])*Table5[[#This Row],[Previous Qty]]</f>
        <v>0</v>
      </c>
      <c r="P16" s="9">
        <f>Table5[[#This Row],[Cumulative Amount]]-Table5[[#This Row],[Previous Amount]]</f>
        <v>0</v>
      </c>
      <c r="Q16" s="9">
        <f>(Table5[[#This Row],[Supply Rate]]+Table5[[#This Row],[Install Rate]])*Table5[[#This Row],[Cumulative]]</f>
        <v>0</v>
      </c>
    </row>
    <row r="17" spans="1:17" ht="29" x14ac:dyDescent="0.35">
      <c r="A17" s="6">
        <v>2</v>
      </c>
      <c r="B17" s="11" t="s">
        <v>306</v>
      </c>
      <c r="C17" s="6">
        <v>0.81499999999999995</v>
      </c>
      <c r="D17" s="6" t="s">
        <v>10</v>
      </c>
      <c r="E17" s="9">
        <v>157</v>
      </c>
      <c r="F17" s="9">
        <v>45</v>
      </c>
      <c r="G17" s="9">
        <f>(Table5[[#This Row],[Supply Rate]]+Table5[[#This Row],[Install Rate]])*Table5[[#This Row],[Qty]]</f>
        <v>164.63</v>
      </c>
      <c r="H17" s="223">
        <f>Table5[[#This Row],[Supply Rate]]*80%</f>
        <v>125.60000000000001</v>
      </c>
      <c r="I17" s="224"/>
      <c r="J17" s="224">
        <f>IF(Table5[[#This Row],[Material Qty]]=0,0,Table5[[#This Row],[Material Qty]]-Table5[[#This Row],[Cumulative]])</f>
        <v>0</v>
      </c>
      <c r="K17" s="223">
        <f>Table5[[#This Row],[Material Balance Qty]]*Table5[[#This Row],[Material @ Site Rate]]</f>
        <v>0</v>
      </c>
      <c r="L17" s="9"/>
      <c r="M17" s="9">
        <f>Table5[[#This Row],[Cumulative]]-Table5[[#This Row],[Previous Qty]]</f>
        <v>0</v>
      </c>
      <c r="N17" s="9"/>
      <c r="O17" s="9">
        <f>(Table5[[#This Row],[Supply Rate]]+Table5[[#This Row],[Install Rate]])*Table5[[#This Row],[Previous Qty]]</f>
        <v>0</v>
      </c>
      <c r="P17" s="9">
        <f>Table5[[#This Row],[Cumulative Amount]]-Table5[[#This Row],[Previous Amount]]</f>
        <v>0</v>
      </c>
      <c r="Q17" s="9">
        <f>(Table5[[#This Row],[Supply Rate]]+Table5[[#This Row],[Install Rate]])*Table5[[#This Row],[Cumulative]]</f>
        <v>0</v>
      </c>
    </row>
    <row r="18" spans="1:17" ht="29" x14ac:dyDescent="0.35">
      <c r="A18" s="6">
        <v>3</v>
      </c>
      <c r="B18" s="11" t="s">
        <v>307</v>
      </c>
      <c r="C18" s="6">
        <v>0.9</v>
      </c>
      <c r="D18" s="6" t="s">
        <v>10</v>
      </c>
      <c r="E18" s="9">
        <v>173</v>
      </c>
      <c r="F18" s="9">
        <v>46</v>
      </c>
      <c r="G18" s="9">
        <f>(Table5[[#This Row],[Supply Rate]]+Table5[[#This Row],[Install Rate]])*Table5[[#This Row],[Qty]]</f>
        <v>197.1</v>
      </c>
      <c r="H18" s="223">
        <f>Table5[[#This Row],[Supply Rate]]*80%</f>
        <v>138.4</v>
      </c>
      <c r="I18" s="224"/>
      <c r="J18" s="224">
        <f>IF(Table5[[#This Row],[Material Qty]]=0,0,Table5[[#This Row],[Material Qty]]-Table5[[#This Row],[Cumulative]])</f>
        <v>0</v>
      </c>
      <c r="K18" s="223">
        <f>Table5[[#This Row],[Material Balance Qty]]*Table5[[#This Row],[Material @ Site Rate]]</f>
        <v>0</v>
      </c>
      <c r="L18" s="9"/>
      <c r="M18" s="9">
        <f>Table5[[#This Row],[Cumulative]]-Table5[[#This Row],[Previous Qty]]</f>
        <v>0</v>
      </c>
      <c r="N18" s="9"/>
      <c r="O18" s="9">
        <f>(Table5[[#This Row],[Supply Rate]]+Table5[[#This Row],[Install Rate]])*Table5[[#This Row],[Previous Qty]]</f>
        <v>0</v>
      </c>
      <c r="P18" s="9">
        <f>Table5[[#This Row],[Cumulative Amount]]-Table5[[#This Row],[Previous Amount]]</f>
        <v>0</v>
      </c>
      <c r="Q18" s="9">
        <f>(Table5[[#This Row],[Supply Rate]]+Table5[[#This Row],[Install Rate]])*Table5[[#This Row],[Cumulative]]</f>
        <v>0</v>
      </c>
    </row>
    <row r="19" spans="1:17" ht="29" x14ac:dyDescent="0.35">
      <c r="A19" s="6">
        <v>4</v>
      </c>
      <c r="B19" s="11" t="s">
        <v>308</v>
      </c>
      <c r="C19" s="6">
        <v>0.75</v>
      </c>
      <c r="D19" s="6" t="s">
        <v>10</v>
      </c>
      <c r="E19" s="9">
        <v>241</v>
      </c>
      <c r="F19" s="9">
        <v>57</v>
      </c>
      <c r="G19" s="9">
        <f>(Table5[[#This Row],[Supply Rate]]+Table5[[#This Row],[Install Rate]])*Table5[[#This Row],[Qty]]</f>
        <v>223.5</v>
      </c>
      <c r="H19" s="223">
        <f>Table5[[#This Row],[Supply Rate]]*80%</f>
        <v>192.8</v>
      </c>
      <c r="I19" s="224"/>
      <c r="J19" s="224">
        <f>IF(Table5[[#This Row],[Material Qty]]=0,0,Table5[[#This Row],[Material Qty]]-Table5[[#This Row],[Cumulative]])</f>
        <v>0</v>
      </c>
      <c r="K19" s="223">
        <f>Table5[[#This Row],[Material Balance Qty]]*Table5[[#This Row],[Material @ Site Rate]]</f>
        <v>0</v>
      </c>
      <c r="L19" s="9"/>
      <c r="M19" s="9">
        <f>Table5[[#This Row],[Cumulative]]-Table5[[#This Row],[Previous Qty]]</f>
        <v>0</v>
      </c>
      <c r="N19" s="9"/>
      <c r="O19" s="9">
        <f>(Table5[[#This Row],[Supply Rate]]+Table5[[#This Row],[Install Rate]])*Table5[[#This Row],[Previous Qty]]</f>
        <v>0</v>
      </c>
      <c r="P19" s="9">
        <f>Table5[[#This Row],[Cumulative Amount]]-Table5[[#This Row],[Previous Amount]]</f>
        <v>0</v>
      </c>
      <c r="Q19" s="9">
        <f>(Table5[[#This Row],[Supply Rate]]+Table5[[#This Row],[Install Rate]])*Table5[[#This Row],[Cumulative]]</f>
        <v>0</v>
      </c>
    </row>
    <row r="20" spans="1:17" x14ac:dyDescent="0.35">
      <c r="A20" s="6"/>
      <c r="B20" s="11" t="s">
        <v>309</v>
      </c>
      <c r="C20" s="6"/>
      <c r="D20" s="6"/>
      <c r="E20" s="9"/>
      <c r="F20" s="9"/>
      <c r="G20" s="9"/>
      <c r="H20" s="223"/>
      <c r="I20" s="224"/>
      <c r="J20" s="224"/>
      <c r="K20" s="223"/>
      <c r="L20" s="9"/>
      <c r="M20" s="9"/>
      <c r="N20" s="9"/>
      <c r="O20" s="9"/>
      <c r="P20" s="9"/>
      <c r="Q20" s="9"/>
    </row>
    <row r="21" spans="1:17" x14ac:dyDescent="0.35">
      <c r="A21" s="6"/>
      <c r="B21" s="11" t="s">
        <v>310</v>
      </c>
      <c r="C21" s="6"/>
      <c r="D21" s="6"/>
      <c r="E21" s="9"/>
      <c r="F21" s="9"/>
      <c r="G21" s="9"/>
      <c r="H21" s="223"/>
      <c r="I21" s="224"/>
      <c r="J21" s="224"/>
      <c r="K21" s="223"/>
      <c r="L21" s="9"/>
      <c r="M21" s="9"/>
      <c r="N21" s="9"/>
      <c r="O21" s="9"/>
      <c r="P21" s="9"/>
      <c r="Q21" s="9"/>
    </row>
    <row r="22" spans="1:17" ht="72.5" x14ac:dyDescent="0.35">
      <c r="A22" s="6"/>
      <c r="B22" s="11" t="s">
        <v>311</v>
      </c>
      <c r="C22" s="6"/>
      <c r="D22" s="6"/>
      <c r="E22" s="9"/>
      <c r="F22" s="9"/>
      <c r="G22" s="9"/>
      <c r="H22" s="223"/>
      <c r="I22" s="224"/>
      <c r="J22" s="224"/>
      <c r="K22" s="223"/>
      <c r="L22" s="9"/>
      <c r="M22" s="9"/>
      <c r="N22" s="9"/>
      <c r="O22" s="9"/>
      <c r="P22" s="9"/>
      <c r="Q22" s="9"/>
    </row>
    <row r="23" spans="1:17" x14ac:dyDescent="0.35">
      <c r="A23" s="6" t="s">
        <v>294</v>
      </c>
      <c r="B23" s="11" t="s">
        <v>312</v>
      </c>
      <c r="C23" s="6">
        <v>46.134999999999998</v>
      </c>
      <c r="D23" s="6" t="s">
        <v>10</v>
      </c>
      <c r="E23" s="9">
        <v>208</v>
      </c>
      <c r="F23" s="9">
        <v>21</v>
      </c>
      <c r="G23" s="9">
        <f>(Table5[[#This Row],[Supply Rate]]+Table5[[#This Row],[Install Rate]])*Table5[[#This Row],[Qty]]</f>
        <v>10564.914999999999</v>
      </c>
      <c r="H23" s="223">
        <f>Table5[[#This Row],[Supply Rate]]*80%</f>
        <v>166.4</v>
      </c>
      <c r="I23" s="224"/>
      <c r="J23" s="224">
        <f>IF(Table5[[#This Row],[Material Qty]]=0,0,Table5[[#This Row],[Material Qty]]-Table5[[#This Row],[Cumulative]])</f>
        <v>0</v>
      </c>
      <c r="K23" s="223">
        <f>Table5[[#This Row],[Material Balance Qty]]*Table5[[#This Row],[Material @ Site Rate]]</f>
        <v>0</v>
      </c>
      <c r="L23" s="9"/>
      <c r="M23" s="9">
        <f>Table5[[#This Row],[Cumulative]]-Table5[[#This Row],[Previous Qty]]</f>
        <v>0</v>
      </c>
      <c r="N23" s="9"/>
      <c r="O23" s="9">
        <f>(Table5[[#This Row],[Supply Rate]]+Table5[[#This Row],[Install Rate]])*Table5[[#This Row],[Previous Qty]]</f>
        <v>0</v>
      </c>
      <c r="P23" s="9">
        <f>Table5[[#This Row],[Cumulative Amount]]-Table5[[#This Row],[Previous Amount]]</f>
        <v>0</v>
      </c>
      <c r="Q23" s="9">
        <f>(Table5[[#This Row],[Supply Rate]]+Table5[[#This Row],[Install Rate]])*Table5[[#This Row],[Cumulative]]</f>
        <v>0</v>
      </c>
    </row>
    <row r="24" spans="1:17" x14ac:dyDescent="0.35">
      <c r="A24" s="6"/>
      <c r="B24" s="7" t="s">
        <v>313</v>
      </c>
      <c r="C24" s="6"/>
      <c r="D24" s="6"/>
      <c r="E24" s="9"/>
      <c r="F24" s="9"/>
      <c r="G24" s="9"/>
      <c r="H24" s="223"/>
      <c r="I24" s="224"/>
      <c r="J24" s="224"/>
      <c r="K24" s="223"/>
      <c r="L24" s="9"/>
      <c r="M24" s="9"/>
      <c r="N24" s="9"/>
      <c r="O24" s="9"/>
      <c r="P24" s="9"/>
      <c r="Q24" s="9"/>
    </row>
    <row r="25" spans="1:17" x14ac:dyDescent="0.35">
      <c r="A25" s="6"/>
      <c r="B25" s="11" t="s">
        <v>289</v>
      </c>
      <c r="C25" s="6"/>
      <c r="D25" s="6"/>
      <c r="E25" s="9"/>
      <c r="F25" s="9"/>
      <c r="G25" s="9"/>
      <c r="H25" s="223"/>
      <c r="I25" s="224"/>
      <c r="J25" s="224"/>
      <c r="K25" s="223"/>
      <c r="L25" s="9"/>
      <c r="M25" s="9"/>
      <c r="N25" s="9"/>
      <c r="O25" s="9"/>
      <c r="P25" s="9"/>
      <c r="Q25" s="9"/>
    </row>
    <row r="26" spans="1:17" ht="72.5" x14ac:dyDescent="0.35">
      <c r="A26" s="6"/>
      <c r="B26" s="11" t="s">
        <v>290</v>
      </c>
      <c r="C26" s="6"/>
      <c r="D26" s="6"/>
      <c r="E26" s="9"/>
      <c r="F26" s="9"/>
      <c r="G26" s="9"/>
      <c r="H26" s="223"/>
      <c r="I26" s="224"/>
      <c r="J26" s="224"/>
      <c r="K26" s="223"/>
      <c r="L26" s="9"/>
      <c r="M26" s="9"/>
      <c r="N26" s="9"/>
      <c r="O26" s="9"/>
      <c r="P26" s="9"/>
      <c r="Q26" s="9"/>
    </row>
    <row r="27" spans="1:17" ht="29" x14ac:dyDescent="0.35">
      <c r="A27" s="6"/>
      <c r="B27" s="11" t="s">
        <v>314</v>
      </c>
      <c r="C27" s="6"/>
      <c r="D27" s="6"/>
      <c r="E27" s="9"/>
      <c r="F27" s="9"/>
      <c r="G27" s="9"/>
      <c r="H27" s="223"/>
      <c r="I27" s="224"/>
      <c r="J27" s="224"/>
      <c r="K27" s="223"/>
      <c r="L27" s="9"/>
      <c r="M27" s="9"/>
      <c r="N27" s="9"/>
      <c r="O27" s="9"/>
      <c r="P27" s="9"/>
      <c r="Q27" s="9"/>
    </row>
    <row r="28" spans="1:17" x14ac:dyDescent="0.35">
      <c r="A28" s="6" t="s">
        <v>292</v>
      </c>
      <c r="B28" s="11" t="s">
        <v>315</v>
      </c>
      <c r="C28" s="6">
        <v>3.42</v>
      </c>
      <c r="D28" s="6" t="s">
        <v>17</v>
      </c>
      <c r="E28" s="9">
        <v>450</v>
      </c>
      <c r="F28" s="9">
        <v>200</v>
      </c>
      <c r="G28" s="9">
        <f>(Table5[[#This Row],[Supply Rate]]+Table5[[#This Row],[Install Rate]])*Table5[[#This Row],[Qty]]</f>
        <v>2223</v>
      </c>
      <c r="H28" s="223">
        <f>Table5[[#This Row],[Supply Rate]]*80%</f>
        <v>360</v>
      </c>
      <c r="I28" s="224"/>
      <c r="J28" s="224">
        <f>IF(Table5[[#This Row],[Material Qty]]=0,0,Table5[[#This Row],[Material Qty]]-Table5[[#This Row],[Cumulative]])</f>
        <v>0</v>
      </c>
      <c r="K28" s="223">
        <f>Table5[[#This Row],[Material Balance Qty]]*Table5[[#This Row],[Material @ Site Rate]]</f>
        <v>0</v>
      </c>
      <c r="L28" s="9"/>
      <c r="M28" s="9">
        <f>Table5[[#This Row],[Cumulative]]-Table5[[#This Row],[Previous Qty]]</f>
        <v>0</v>
      </c>
      <c r="N28" s="9"/>
      <c r="O28" s="9">
        <f>(Table5[[#This Row],[Supply Rate]]+Table5[[#This Row],[Install Rate]])*Table5[[#This Row],[Previous Qty]]</f>
        <v>0</v>
      </c>
      <c r="P28" s="9">
        <f>Table5[[#This Row],[Cumulative Amount]]-Table5[[#This Row],[Previous Amount]]</f>
        <v>0</v>
      </c>
      <c r="Q28" s="9">
        <f>(Table5[[#This Row],[Supply Rate]]+Table5[[#This Row],[Install Rate]])*Table5[[#This Row],[Cumulative]]</f>
        <v>0</v>
      </c>
    </row>
    <row r="29" spans="1:17" ht="29" x14ac:dyDescent="0.35">
      <c r="A29" s="6"/>
      <c r="B29" s="11" t="s">
        <v>316</v>
      </c>
      <c r="C29" s="6"/>
      <c r="D29" s="6"/>
      <c r="E29" s="9"/>
      <c r="F29" s="9"/>
      <c r="G29" s="9"/>
      <c r="H29" s="223"/>
      <c r="I29" s="224"/>
      <c r="J29" s="224"/>
      <c r="K29" s="223"/>
      <c r="L29" s="9"/>
      <c r="M29" s="9"/>
      <c r="N29" s="9"/>
      <c r="O29" s="9"/>
      <c r="P29" s="9"/>
      <c r="Q29" s="9"/>
    </row>
    <row r="30" spans="1:17" x14ac:dyDescent="0.35">
      <c r="A30" s="6" t="s">
        <v>294</v>
      </c>
      <c r="B30" s="11" t="s">
        <v>317</v>
      </c>
      <c r="C30" s="6">
        <v>6</v>
      </c>
      <c r="D30" s="6" t="s">
        <v>10</v>
      </c>
      <c r="E30" s="9">
        <v>29</v>
      </c>
      <c r="F30" s="9">
        <v>29</v>
      </c>
      <c r="G30" s="9">
        <f>(Table5[[#This Row],[Supply Rate]]+Table5[[#This Row],[Install Rate]])*Table5[[#This Row],[Qty]]</f>
        <v>348</v>
      </c>
      <c r="H30" s="223">
        <f>Table5[[#This Row],[Supply Rate]]*80%</f>
        <v>23.200000000000003</v>
      </c>
      <c r="I30" s="224"/>
      <c r="J30" s="224">
        <f>IF(Table5[[#This Row],[Material Qty]]=0,0,Table5[[#This Row],[Material Qty]]-Table5[[#This Row],[Cumulative]])</f>
        <v>0</v>
      </c>
      <c r="K30" s="223">
        <f>Table5[[#This Row],[Material Balance Qty]]*Table5[[#This Row],[Material @ Site Rate]]</f>
        <v>0</v>
      </c>
      <c r="L30" s="9"/>
      <c r="M30" s="9">
        <f>Table5[[#This Row],[Cumulative]]-Table5[[#This Row],[Previous Qty]]</f>
        <v>0</v>
      </c>
      <c r="N30" s="9"/>
      <c r="O30" s="9">
        <f>(Table5[[#This Row],[Supply Rate]]+Table5[[#This Row],[Install Rate]])*Table5[[#This Row],[Previous Qty]]</f>
        <v>0</v>
      </c>
      <c r="P30" s="9">
        <f>Table5[[#This Row],[Cumulative Amount]]-Table5[[#This Row],[Previous Amount]]</f>
        <v>0</v>
      </c>
      <c r="Q30" s="9">
        <f>(Table5[[#This Row],[Supply Rate]]+Table5[[#This Row],[Install Rate]])*Table5[[#This Row],[Cumulative]]</f>
        <v>0</v>
      </c>
    </row>
    <row r="31" spans="1:17" ht="43.5" x14ac:dyDescent="0.35">
      <c r="A31" s="6"/>
      <c r="B31" s="11" t="s">
        <v>318</v>
      </c>
      <c r="C31" s="6"/>
      <c r="D31" s="6"/>
      <c r="E31" s="9"/>
      <c r="F31" s="9"/>
      <c r="G31" s="9"/>
      <c r="H31" s="223"/>
      <c r="I31" s="224"/>
      <c r="J31" s="224"/>
      <c r="K31" s="223"/>
      <c r="L31" s="9"/>
      <c r="M31" s="9"/>
      <c r="N31" s="9"/>
      <c r="O31" s="9"/>
      <c r="P31" s="9"/>
      <c r="Q31" s="9"/>
    </row>
    <row r="32" spans="1:17" x14ac:dyDescent="0.35">
      <c r="A32" s="6" t="s">
        <v>297</v>
      </c>
      <c r="B32" s="11" t="s">
        <v>319</v>
      </c>
      <c r="C32" s="6">
        <v>13.79</v>
      </c>
      <c r="D32" s="6" t="s">
        <v>17</v>
      </c>
      <c r="E32" s="9">
        <v>1448</v>
      </c>
      <c r="F32" s="9">
        <v>278</v>
      </c>
      <c r="G32" s="9">
        <f>(Table5[[#This Row],[Supply Rate]]+Table5[[#This Row],[Install Rate]])*Table5[[#This Row],[Qty]]</f>
        <v>23801.539999999997</v>
      </c>
      <c r="H32" s="223">
        <f>Table5[[#This Row],[Supply Rate]]*80%</f>
        <v>1158.4000000000001</v>
      </c>
      <c r="I32" s="224"/>
      <c r="J32" s="224">
        <f>IF(Table5[[#This Row],[Material Qty]]=0,0,Table5[[#This Row],[Material Qty]]-Table5[[#This Row],[Cumulative]])</f>
        <v>0</v>
      </c>
      <c r="K32" s="223">
        <f>Table5[[#This Row],[Material Balance Qty]]*Table5[[#This Row],[Material @ Site Rate]]</f>
        <v>0</v>
      </c>
      <c r="L32" s="9"/>
      <c r="M32" s="9">
        <f>Table5[[#This Row],[Cumulative]]-Table5[[#This Row],[Previous Qty]]</f>
        <v>0</v>
      </c>
      <c r="N32" s="9"/>
      <c r="O32" s="9">
        <f>(Table5[[#This Row],[Supply Rate]]+Table5[[#This Row],[Install Rate]])*Table5[[#This Row],[Previous Qty]]</f>
        <v>0</v>
      </c>
      <c r="P32" s="9">
        <f>Table5[[#This Row],[Cumulative Amount]]-Table5[[#This Row],[Previous Amount]]</f>
        <v>0</v>
      </c>
      <c r="Q32" s="9">
        <f>(Table5[[#This Row],[Supply Rate]]+Table5[[#This Row],[Install Rate]])*Table5[[#This Row],[Cumulative]]</f>
        <v>0</v>
      </c>
    </row>
    <row r="33" spans="1:17" ht="29" x14ac:dyDescent="0.35">
      <c r="A33" s="6"/>
      <c r="B33" s="11" t="s">
        <v>320</v>
      </c>
      <c r="C33" s="6"/>
      <c r="D33" s="6"/>
      <c r="E33" s="9"/>
      <c r="F33" s="9"/>
      <c r="G33" s="9"/>
      <c r="H33" s="223"/>
      <c r="I33" s="224"/>
      <c r="J33" s="224"/>
      <c r="K33" s="223"/>
      <c r="L33" s="9"/>
      <c r="M33" s="9"/>
      <c r="N33" s="9"/>
      <c r="O33" s="9"/>
      <c r="P33" s="9"/>
      <c r="Q33" s="9"/>
    </row>
    <row r="34" spans="1:17" ht="29" x14ac:dyDescent="0.35">
      <c r="A34" s="6" t="s">
        <v>300</v>
      </c>
      <c r="B34" s="11" t="s">
        <v>321</v>
      </c>
      <c r="C34" s="6">
        <v>21.25</v>
      </c>
      <c r="D34" s="6" t="s">
        <v>17</v>
      </c>
      <c r="E34" s="9">
        <v>1502</v>
      </c>
      <c r="F34" s="9">
        <v>268</v>
      </c>
      <c r="G34" s="9">
        <f>(Table5[[#This Row],[Supply Rate]]+Table5[[#This Row],[Install Rate]])*Table5[[#This Row],[Qty]]</f>
        <v>37612.5</v>
      </c>
      <c r="H34" s="223">
        <f>Table5[[#This Row],[Supply Rate]]*80%</f>
        <v>1201.6000000000001</v>
      </c>
      <c r="I34" s="224"/>
      <c r="J34" s="224">
        <f>IF(Table5[[#This Row],[Material Qty]]=0,0,Table5[[#This Row],[Material Qty]]-Table5[[#This Row],[Cumulative]])</f>
        <v>0</v>
      </c>
      <c r="K34" s="223">
        <f>Table5[[#This Row],[Material Balance Qty]]*Table5[[#This Row],[Material @ Site Rate]]</f>
        <v>0</v>
      </c>
      <c r="L34" s="9"/>
      <c r="M34" s="9">
        <f>Table5[[#This Row],[Cumulative]]-Table5[[#This Row],[Previous Qty]]</f>
        <v>0</v>
      </c>
      <c r="N34" s="9"/>
      <c r="O34" s="9">
        <f>(Table5[[#This Row],[Supply Rate]]+Table5[[#This Row],[Install Rate]])*Table5[[#This Row],[Previous Qty]]</f>
        <v>0</v>
      </c>
      <c r="P34" s="9">
        <f>Table5[[#This Row],[Cumulative Amount]]-Table5[[#This Row],[Previous Amount]]</f>
        <v>0</v>
      </c>
      <c r="Q34" s="9">
        <f>(Table5[[#This Row],[Supply Rate]]+Table5[[#This Row],[Install Rate]])*Table5[[#This Row],[Cumulative]]</f>
        <v>0</v>
      </c>
    </row>
    <row r="35" spans="1:17" ht="43.5" x14ac:dyDescent="0.35">
      <c r="A35" s="6"/>
      <c r="B35" s="11" t="s">
        <v>322</v>
      </c>
      <c r="C35" s="6"/>
      <c r="D35" s="6"/>
      <c r="E35" s="9"/>
      <c r="F35" s="9"/>
      <c r="G35" s="9"/>
      <c r="H35" s="223"/>
      <c r="I35" s="224"/>
      <c r="J35" s="224"/>
      <c r="K35" s="223"/>
      <c r="L35" s="9"/>
      <c r="M35" s="9"/>
      <c r="N35" s="9"/>
      <c r="O35" s="9"/>
      <c r="P35" s="9"/>
      <c r="Q35" s="9"/>
    </row>
    <row r="36" spans="1:17" x14ac:dyDescent="0.35">
      <c r="A36" s="6" t="s">
        <v>303</v>
      </c>
      <c r="B36" s="11" t="s">
        <v>323</v>
      </c>
      <c r="C36" s="6">
        <v>9.86</v>
      </c>
      <c r="D36" s="6" t="s">
        <v>17</v>
      </c>
      <c r="E36" s="9">
        <v>407</v>
      </c>
      <c r="F36" s="9">
        <v>212</v>
      </c>
      <c r="G36" s="9">
        <f>(Table5[[#This Row],[Supply Rate]]+Table5[[#This Row],[Install Rate]])*Table5[[#This Row],[Qty]]</f>
        <v>6103.3399999999992</v>
      </c>
      <c r="H36" s="223">
        <f>Table5[[#This Row],[Supply Rate]]*80%</f>
        <v>325.60000000000002</v>
      </c>
      <c r="I36" s="224"/>
      <c r="J36" s="224">
        <f>IF(Table5[[#This Row],[Material Qty]]=0,0,Table5[[#This Row],[Material Qty]]-Table5[[#This Row],[Cumulative]])</f>
        <v>0</v>
      </c>
      <c r="K36" s="223">
        <f>Table5[[#This Row],[Material Balance Qty]]*Table5[[#This Row],[Material @ Site Rate]]</f>
        <v>0</v>
      </c>
      <c r="L36" s="9"/>
      <c r="M36" s="9">
        <f>Table5[[#This Row],[Cumulative]]-Table5[[#This Row],[Previous Qty]]</f>
        <v>0</v>
      </c>
      <c r="N36" s="9"/>
      <c r="O36" s="9">
        <f>(Table5[[#This Row],[Supply Rate]]+Table5[[#This Row],[Install Rate]])*Table5[[#This Row],[Previous Qty]]</f>
        <v>0</v>
      </c>
      <c r="P36" s="9">
        <f>Table5[[#This Row],[Cumulative Amount]]-Table5[[#This Row],[Previous Amount]]</f>
        <v>0</v>
      </c>
      <c r="Q36" s="9">
        <f>(Table5[[#This Row],[Supply Rate]]+Table5[[#This Row],[Install Rate]])*Table5[[#This Row],[Cumulative]]</f>
        <v>0</v>
      </c>
    </row>
    <row r="37" spans="1:17" ht="43.5" x14ac:dyDescent="0.35">
      <c r="A37" s="6"/>
      <c r="B37" s="11" t="s">
        <v>324</v>
      </c>
      <c r="C37" s="6"/>
      <c r="D37" s="6"/>
      <c r="E37" s="9"/>
      <c r="F37" s="9"/>
      <c r="G37" s="9"/>
      <c r="H37" s="223"/>
      <c r="I37" s="224"/>
      <c r="J37" s="224"/>
      <c r="K37" s="223"/>
      <c r="L37" s="9"/>
      <c r="M37" s="9"/>
      <c r="N37" s="9"/>
      <c r="O37" s="9"/>
      <c r="P37" s="9"/>
      <c r="Q37" s="9"/>
    </row>
    <row r="38" spans="1:17" x14ac:dyDescent="0.35">
      <c r="A38" s="6" t="s">
        <v>325</v>
      </c>
      <c r="B38" s="11" t="s">
        <v>326</v>
      </c>
      <c r="C38" s="6">
        <v>6.1020000000000003</v>
      </c>
      <c r="D38" s="6" t="s">
        <v>17</v>
      </c>
      <c r="E38" s="9">
        <v>440</v>
      </c>
      <c r="F38" s="9">
        <v>219</v>
      </c>
      <c r="G38" s="9">
        <f>(Table5[[#This Row],[Supply Rate]]+Table5[[#This Row],[Install Rate]])*Table5[[#This Row],[Qty]]</f>
        <v>4021.2180000000003</v>
      </c>
      <c r="H38" s="223">
        <f>Table5[[#This Row],[Supply Rate]]*80%</f>
        <v>352</v>
      </c>
      <c r="I38" s="224"/>
      <c r="J38" s="224">
        <f>IF(Table5[[#This Row],[Material Qty]]=0,0,Table5[[#This Row],[Material Qty]]-Table5[[#This Row],[Cumulative]])</f>
        <v>0</v>
      </c>
      <c r="K38" s="223">
        <f>Table5[[#This Row],[Material Balance Qty]]*Table5[[#This Row],[Material @ Site Rate]]</f>
        <v>0</v>
      </c>
      <c r="L38" s="9"/>
      <c r="M38" s="9">
        <f>Table5[[#This Row],[Cumulative]]-Table5[[#This Row],[Previous Qty]]</f>
        <v>0</v>
      </c>
      <c r="N38" s="9"/>
      <c r="O38" s="9">
        <f>(Table5[[#This Row],[Supply Rate]]+Table5[[#This Row],[Install Rate]])*Table5[[#This Row],[Previous Qty]]</f>
        <v>0</v>
      </c>
      <c r="P38" s="9">
        <f>Table5[[#This Row],[Cumulative Amount]]-Table5[[#This Row],[Previous Amount]]</f>
        <v>0</v>
      </c>
      <c r="Q38" s="9">
        <f>(Table5[[#This Row],[Supply Rate]]+Table5[[#This Row],[Install Rate]])*Table5[[#This Row],[Cumulative]]</f>
        <v>0</v>
      </c>
    </row>
    <row r="39" spans="1:17" x14ac:dyDescent="0.35">
      <c r="A39" s="6" t="s">
        <v>327</v>
      </c>
      <c r="B39" s="11" t="s">
        <v>317</v>
      </c>
      <c r="C39" s="6">
        <v>1.59</v>
      </c>
      <c r="D39" s="6" t="s">
        <v>17</v>
      </c>
      <c r="E39" s="9">
        <v>440</v>
      </c>
      <c r="F39" s="9">
        <v>219</v>
      </c>
      <c r="G39" s="9">
        <f>(Table5[[#This Row],[Supply Rate]]+Table5[[#This Row],[Install Rate]])*Table5[[#This Row],[Qty]]</f>
        <v>1047.81</v>
      </c>
      <c r="H39" s="223">
        <f>Table5[[#This Row],[Supply Rate]]*80%</f>
        <v>352</v>
      </c>
      <c r="I39" s="224"/>
      <c r="J39" s="224">
        <f>IF(Table5[[#This Row],[Material Qty]]=0,0,Table5[[#This Row],[Material Qty]]-Table5[[#This Row],[Cumulative]])</f>
        <v>0</v>
      </c>
      <c r="K39" s="223">
        <f>Table5[[#This Row],[Material Balance Qty]]*Table5[[#This Row],[Material @ Site Rate]]</f>
        <v>0</v>
      </c>
      <c r="L39" s="9"/>
      <c r="M39" s="9">
        <f>Table5[[#This Row],[Cumulative]]-Table5[[#This Row],[Previous Qty]]</f>
        <v>0</v>
      </c>
      <c r="N39" s="9"/>
      <c r="O39" s="9">
        <f>(Table5[[#This Row],[Supply Rate]]+Table5[[#This Row],[Install Rate]])*Table5[[#This Row],[Previous Qty]]</f>
        <v>0</v>
      </c>
      <c r="P39" s="9">
        <f>Table5[[#This Row],[Cumulative Amount]]-Table5[[#This Row],[Previous Amount]]</f>
        <v>0</v>
      </c>
      <c r="Q39" s="9">
        <f>(Table5[[#This Row],[Supply Rate]]+Table5[[#This Row],[Install Rate]])*Table5[[#This Row],[Cumulative]]</f>
        <v>0</v>
      </c>
    </row>
    <row r="40" spans="1:17" ht="43.5" x14ac:dyDescent="0.35">
      <c r="A40" s="6"/>
      <c r="B40" s="11" t="s">
        <v>328</v>
      </c>
      <c r="C40" s="6"/>
      <c r="D40" s="6"/>
      <c r="E40" s="9"/>
      <c r="F40" s="9"/>
      <c r="G40" s="9"/>
      <c r="H40" s="223"/>
      <c r="I40" s="224"/>
      <c r="J40" s="224"/>
      <c r="K40" s="223"/>
      <c r="L40" s="9"/>
      <c r="M40" s="9"/>
      <c r="N40" s="9"/>
      <c r="O40" s="9"/>
      <c r="P40" s="9"/>
      <c r="Q40" s="9"/>
    </row>
    <row r="41" spans="1:17" x14ac:dyDescent="0.35">
      <c r="A41" s="6" t="s">
        <v>329</v>
      </c>
      <c r="B41" s="11" t="s">
        <v>330</v>
      </c>
      <c r="C41" s="6">
        <v>2.19</v>
      </c>
      <c r="D41" s="6" t="s">
        <v>17</v>
      </c>
      <c r="E41" s="9">
        <v>1057</v>
      </c>
      <c r="F41" s="9">
        <v>237</v>
      </c>
      <c r="G41" s="9">
        <f>(Table5[[#This Row],[Supply Rate]]+Table5[[#This Row],[Install Rate]])*Table5[[#This Row],[Qty]]</f>
        <v>2833.86</v>
      </c>
      <c r="H41" s="223">
        <f>Table5[[#This Row],[Supply Rate]]*80%</f>
        <v>845.6</v>
      </c>
      <c r="I41" s="224"/>
      <c r="J41" s="224">
        <f>IF(Table5[[#This Row],[Material Qty]]=0,0,Table5[[#This Row],[Material Qty]]-Table5[[#This Row],[Cumulative]])</f>
        <v>0</v>
      </c>
      <c r="K41" s="223">
        <f>Table5[[#This Row],[Material Balance Qty]]*Table5[[#This Row],[Material @ Site Rate]]</f>
        <v>0</v>
      </c>
      <c r="L41" s="9"/>
      <c r="M41" s="9">
        <f>Table5[[#This Row],[Cumulative]]-Table5[[#This Row],[Previous Qty]]</f>
        <v>0</v>
      </c>
      <c r="N41" s="9"/>
      <c r="O41" s="9">
        <f>(Table5[[#This Row],[Supply Rate]]+Table5[[#This Row],[Install Rate]])*Table5[[#This Row],[Previous Qty]]</f>
        <v>0</v>
      </c>
      <c r="P41" s="9">
        <f>Table5[[#This Row],[Cumulative Amount]]-Table5[[#This Row],[Previous Amount]]</f>
        <v>0</v>
      </c>
      <c r="Q41" s="9">
        <f>(Table5[[#This Row],[Supply Rate]]+Table5[[#This Row],[Install Rate]])*Table5[[#This Row],[Cumulative]]</f>
        <v>0</v>
      </c>
    </row>
    <row r="42" spans="1:17" x14ac:dyDescent="0.35">
      <c r="A42" s="6"/>
      <c r="B42" s="11" t="s">
        <v>302</v>
      </c>
      <c r="C42" s="6"/>
      <c r="D42" s="6"/>
      <c r="E42" s="9"/>
      <c r="F42" s="9"/>
      <c r="G42" s="9"/>
      <c r="H42" s="223"/>
      <c r="I42" s="224"/>
      <c r="J42" s="224"/>
      <c r="K42" s="223"/>
      <c r="L42" s="9"/>
      <c r="M42" s="9"/>
      <c r="N42" s="9"/>
      <c r="O42" s="9"/>
      <c r="P42" s="9"/>
      <c r="Q42" s="9"/>
    </row>
    <row r="43" spans="1:17" ht="58" x14ac:dyDescent="0.35">
      <c r="A43" s="6" t="s">
        <v>303</v>
      </c>
      <c r="B43" s="11" t="s">
        <v>304</v>
      </c>
      <c r="C43" s="6"/>
      <c r="D43" s="6"/>
      <c r="E43" s="9"/>
      <c r="F43" s="9"/>
      <c r="G43" s="9"/>
      <c r="H43" s="223"/>
      <c r="I43" s="224"/>
      <c r="J43" s="224"/>
      <c r="K43" s="223"/>
      <c r="L43" s="9"/>
      <c r="M43" s="9"/>
      <c r="N43" s="9"/>
      <c r="O43" s="9"/>
      <c r="P43" s="9"/>
      <c r="Q43" s="9"/>
    </row>
    <row r="44" spans="1:17" x14ac:dyDescent="0.35">
      <c r="A44" s="6">
        <v>1</v>
      </c>
      <c r="B44" s="11" t="s">
        <v>331</v>
      </c>
      <c r="C44" s="6">
        <v>0.9</v>
      </c>
      <c r="D44" s="6" t="s">
        <v>10</v>
      </c>
      <c r="E44" s="9">
        <v>76</v>
      </c>
      <c r="F44" s="9">
        <v>40</v>
      </c>
      <c r="G44" s="9">
        <f>(Table5[[#This Row],[Supply Rate]]+Table5[[#This Row],[Install Rate]])*Table5[[#This Row],[Qty]]</f>
        <v>104.4</v>
      </c>
      <c r="H44" s="223">
        <f>Table5[[#This Row],[Supply Rate]]*80%</f>
        <v>60.800000000000004</v>
      </c>
      <c r="I44" s="224"/>
      <c r="J44" s="224">
        <f>IF(Table5[[#This Row],[Material Qty]]=0,0,Table5[[#This Row],[Material Qty]]-Table5[[#This Row],[Cumulative]])</f>
        <v>0</v>
      </c>
      <c r="K44" s="223">
        <f>Table5[[#This Row],[Material Balance Qty]]*Table5[[#This Row],[Material @ Site Rate]]</f>
        <v>0</v>
      </c>
      <c r="L44" s="9"/>
      <c r="M44" s="9">
        <f>Table5[[#This Row],[Cumulative]]-Table5[[#This Row],[Previous Qty]]</f>
        <v>0</v>
      </c>
      <c r="N44" s="9"/>
      <c r="O44" s="9">
        <f>(Table5[[#This Row],[Supply Rate]]+Table5[[#This Row],[Install Rate]])*Table5[[#This Row],[Previous Qty]]</f>
        <v>0</v>
      </c>
      <c r="P44" s="9">
        <f>Table5[[#This Row],[Cumulative Amount]]-Table5[[#This Row],[Previous Amount]]</f>
        <v>0</v>
      </c>
      <c r="Q44" s="9">
        <f>(Table5[[#This Row],[Supply Rate]]+Table5[[#This Row],[Install Rate]])*Table5[[#This Row],[Cumulative]]</f>
        <v>0</v>
      </c>
    </row>
    <row r="45" spans="1:17" ht="29" x14ac:dyDescent="0.35">
      <c r="A45" s="6">
        <v>2</v>
      </c>
      <c r="B45" s="11" t="s">
        <v>332</v>
      </c>
      <c r="C45" s="6">
        <v>0.81</v>
      </c>
      <c r="D45" s="6" t="s">
        <v>10</v>
      </c>
      <c r="E45" s="9">
        <v>74</v>
      </c>
      <c r="F45" s="9">
        <v>40</v>
      </c>
      <c r="G45" s="9">
        <f>(Table5[[#This Row],[Supply Rate]]+Table5[[#This Row],[Install Rate]])*Table5[[#This Row],[Qty]]</f>
        <v>92.34</v>
      </c>
      <c r="H45" s="223">
        <f>Table5[[#This Row],[Supply Rate]]*80%</f>
        <v>59.2</v>
      </c>
      <c r="I45" s="224"/>
      <c r="J45" s="224">
        <f>IF(Table5[[#This Row],[Material Qty]]=0,0,Table5[[#This Row],[Material Qty]]-Table5[[#This Row],[Cumulative]])</f>
        <v>0</v>
      </c>
      <c r="K45" s="223">
        <f>Table5[[#This Row],[Material Balance Qty]]*Table5[[#This Row],[Material @ Site Rate]]</f>
        <v>0</v>
      </c>
      <c r="L45" s="9"/>
      <c r="M45" s="9">
        <f>Table5[[#This Row],[Cumulative]]-Table5[[#This Row],[Previous Qty]]</f>
        <v>0</v>
      </c>
      <c r="N45" s="9"/>
      <c r="O45" s="9">
        <f>(Table5[[#This Row],[Supply Rate]]+Table5[[#This Row],[Install Rate]])*Table5[[#This Row],[Previous Qty]]</f>
        <v>0</v>
      </c>
      <c r="P45" s="9">
        <f>Table5[[#This Row],[Cumulative Amount]]-Table5[[#This Row],[Previous Amount]]</f>
        <v>0</v>
      </c>
      <c r="Q45" s="9">
        <f>(Table5[[#This Row],[Supply Rate]]+Table5[[#This Row],[Install Rate]])*Table5[[#This Row],[Cumulative]]</f>
        <v>0</v>
      </c>
    </row>
    <row r="46" spans="1:17" x14ac:dyDescent="0.35">
      <c r="A46" s="6">
        <v>3</v>
      </c>
      <c r="B46" s="11" t="s">
        <v>333</v>
      </c>
      <c r="C46" s="6">
        <v>0.9</v>
      </c>
      <c r="D46" s="6" t="s">
        <v>10</v>
      </c>
      <c r="E46" s="9">
        <v>170</v>
      </c>
      <c r="F46" s="9">
        <v>42</v>
      </c>
      <c r="G46" s="9">
        <f>(Table5[[#This Row],[Supply Rate]]+Table5[[#This Row],[Install Rate]])*Table5[[#This Row],[Qty]]</f>
        <v>190.8</v>
      </c>
      <c r="H46" s="223">
        <f>Table5[[#This Row],[Supply Rate]]*80%</f>
        <v>136</v>
      </c>
      <c r="I46" s="224"/>
      <c r="J46" s="224">
        <f>IF(Table5[[#This Row],[Material Qty]]=0,0,Table5[[#This Row],[Material Qty]]-Table5[[#This Row],[Cumulative]])</f>
        <v>0</v>
      </c>
      <c r="K46" s="223">
        <f>Table5[[#This Row],[Material Balance Qty]]*Table5[[#This Row],[Material @ Site Rate]]</f>
        <v>0</v>
      </c>
      <c r="L46" s="9"/>
      <c r="M46" s="9">
        <f>Table5[[#This Row],[Cumulative]]-Table5[[#This Row],[Previous Qty]]</f>
        <v>0</v>
      </c>
      <c r="N46" s="9"/>
      <c r="O46" s="9">
        <f>(Table5[[#This Row],[Supply Rate]]+Table5[[#This Row],[Install Rate]])*Table5[[#This Row],[Previous Qty]]</f>
        <v>0</v>
      </c>
      <c r="P46" s="9">
        <f>Table5[[#This Row],[Cumulative Amount]]-Table5[[#This Row],[Previous Amount]]</f>
        <v>0</v>
      </c>
      <c r="Q46" s="9">
        <f>(Table5[[#This Row],[Supply Rate]]+Table5[[#This Row],[Install Rate]])*Table5[[#This Row],[Cumulative]]</f>
        <v>0</v>
      </c>
    </row>
    <row r="47" spans="1:17" x14ac:dyDescent="0.35">
      <c r="A47" s="6">
        <v>4</v>
      </c>
      <c r="B47" s="11" t="s">
        <v>334</v>
      </c>
      <c r="C47" s="6">
        <v>3.5609999999999999</v>
      </c>
      <c r="D47" s="6" t="s">
        <v>10</v>
      </c>
      <c r="E47" s="9">
        <v>241</v>
      </c>
      <c r="F47" s="9">
        <v>45</v>
      </c>
      <c r="G47" s="9">
        <f>(Table5[[#This Row],[Supply Rate]]+Table5[[#This Row],[Install Rate]])*Table5[[#This Row],[Qty]]</f>
        <v>1018.446</v>
      </c>
      <c r="H47" s="223">
        <f>Table5[[#This Row],[Supply Rate]]*80%</f>
        <v>192.8</v>
      </c>
      <c r="I47" s="224"/>
      <c r="J47" s="224">
        <f>IF(Table5[[#This Row],[Material Qty]]=0,0,Table5[[#This Row],[Material Qty]]-Table5[[#This Row],[Cumulative]])</f>
        <v>0</v>
      </c>
      <c r="K47" s="223">
        <f>Table5[[#This Row],[Material Balance Qty]]*Table5[[#This Row],[Material @ Site Rate]]</f>
        <v>0</v>
      </c>
      <c r="L47" s="9"/>
      <c r="M47" s="9">
        <f>Table5[[#This Row],[Cumulative]]-Table5[[#This Row],[Previous Qty]]</f>
        <v>0</v>
      </c>
      <c r="N47" s="9"/>
      <c r="O47" s="9">
        <f>(Table5[[#This Row],[Supply Rate]]+Table5[[#This Row],[Install Rate]])*Table5[[#This Row],[Previous Qty]]</f>
        <v>0</v>
      </c>
      <c r="P47" s="9">
        <f>Table5[[#This Row],[Cumulative Amount]]-Table5[[#This Row],[Previous Amount]]</f>
        <v>0</v>
      </c>
      <c r="Q47" s="9">
        <f>(Table5[[#This Row],[Supply Rate]]+Table5[[#This Row],[Install Rate]])*Table5[[#This Row],[Cumulative]]</f>
        <v>0</v>
      </c>
    </row>
    <row r="48" spans="1:17" x14ac:dyDescent="0.35">
      <c r="A48" s="6">
        <v>5</v>
      </c>
      <c r="B48" s="11" t="s">
        <v>335</v>
      </c>
      <c r="C48" s="6">
        <v>2.06</v>
      </c>
      <c r="D48" s="6" t="s">
        <v>10</v>
      </c>
      <c r="E48" s="9">
        <v>284</v>
      </c>
      <c r="F48" s="9">
        <v>47</v>
      </c>
      <c r="G48" s="9">
        <f>(Table5[[#This Row],[Supply Rate]]+Table5[[#This Row],[Install Rate]])*Table5[[#This Row],[Qty]]</f>
        <v>681.86</v>
      </c>
      <c r="H48" s="223">
        <f>Table5[[#This Row],[Supply Rate]]*80%</f>
        <v>227.20000000000002</v>
      </c>
      <c r="I48" s="224"/>
      <c r="J48" s="224">
        <f>IF(Table5[[#This Row],[Material Qty]]=0,0,Table5[[#This Row],[Material Qty]]-Table5[[#This Row],[Cumulative]])</f>
        <v>0</v>
      </c>
      <c r="K48" s="223">
        <f>Table5[[#This Row],[Material Balance Qty]]*Table5[[#This Row],[Material @ Site Rate]]</f>
        <v>0</v>
      </c>
      <c r="L48" s="9"/>
      <c r="M48" s="9">
        <f>Table5[[#This Row],[Cumulative]]-Table5[[#This Row],[Previous Qty]]</f>
        <v>0</v>
      </c>
      <c r="N48" s="9"/>
      <c r="O48" s="9">
        <f>(Table5[[#This Row],[Supply Rate]]+Table5[[#This Row],[Install Rate]])*Table5[[#This Row],[Previous Qty]]</f>
        <v>0</v>
      </c>
      <c r="P48" s="9">
        <f>Table5[[#This Row],[Cumulative Amount]]-Table5[[#This Row],[Previous Amount]]</f>
        <v>0</v>
      </c>
      <c r="Q48" s="9">
        <f>(Table5[[#This Row],[Supply Rate]]+Table5[[#This Row],[Install Rate]])*Table5[[#This Row],[Cumulative]]</f>
        <v>0</v>
      </c>
    </row>
    <row r="49" spans="1:17" x14ac:dyDescent="0.35">
      <c r="A49" s="6">
        <v>6</v>
      </c>
      <c r="B49" s="11" t="s">
        <v>336</v>
      </c>
      <c r="C49" s="6">
        <v>1.2050000000000001</v>
      </c>
      <c r="D49" s="6" t="s">
        <v>10</v>
      </c>
      <c r="E49" s="9">
        <v>326</v>
      </c>
      <c r="F49" s="9">
        <v>48</v>
      </c>
      <c r="G49" s="9">
        <f>(Table5[[#This Row],[Supply Rate]]+Table5[[#This Row],[Install Rate]])*Table5[[#This Row],[Qty]]</f>
        <v>450.67</v>
      </c>
      <c r="H49" s="223">
        <f>Table5[[#This Row],[Supply Rate]]*80%</f>
        <v>260.8</v>
      </c>
      <c r="I49" s="224"/>
      <c r="J49" s="224">
        <f>IF(Table5[[#This Row],[Material Qty]]=0,0,Table5[[#This Row],[Material Qty]]-Table5[[#This Row],[Cumulative]])</f>
        <v>0</v>
      </c>
      <c r="K49" s="223">
        <f>Table5[[#This Row],[Material Balance Qty]]*Table5[[#This Row],[Material @ Site Rate]]</f>
        <v>0</v>
      </c>
      <c r="L49" s="9"/>
      <c r="M49" s="9">
        <f>Table5[[#This Row],[Cumulative]]-Table5[[#This Row],[Previous Qty]]</f>
        <v>0</v>
      </c>
      <c r="N49" s="9"/>
      <c r="O49" s="9">
        <f>(Table5[[#This Row],[Supply Rate]]+Table5[[#This Row],[Install Rate]])*Table5[[#This Row],[Previous Qty]]</f>
        <v>0</v>
      </c>
      <c r="P49" s="9">
        <f>Table5[[#This Row],[Cumulative Amount]]-Table5[[#This Row],[Previous Amount]]</f>
        <v>0</v>
      </c>
      <c r="Q49" s="9">
        <f>(Table5[[#This Row],[Supply Rate]]+Table5[[#This Row],[Install Rate]])*Table5[[#This Row],[Cumulative]]</f>
        <v>0</v>
      </c>
    </row>
    <row r="50" spans="1:17" x14ac:dyDescent="0.35">
      <c r="A50" s="6">
        <v>7</v>
      </c>
      <c r="B50" s="11" t="s">
        <v>337</v>
      </c>
      <c r="C50" s="6">
        <v>0.9</v>
      </c>
      <c r="D50" s="6" t="s">
        <v>10</v>
      </c>
      <c r="E50" s="9">
        <v>340</v>
      </c>
      <c r="F50" s="9">
        <v>48</v>
      </c>
      <c r="G50" s="9">
        <f>(Table5[[#This Row],[Supply Rate]]+Table5[[#This Row],[Install Rate]])*Table5[[#This Row],[Qty]]</f>
        <v>349.2</v>
      </c>
      <c r="H50" s="223">
        <f>Table5[[#This Row],[Supply Rate]]*80%</f>
        <v>272</v>
      </c>
      <c r="I50" s="224"/>
      <c r="J50" s="224">
        <f>IF(Table5[[#This Row],[Material Qty]]=0,0,Table5[[#This Row],[Material Qty]]-Table5[[#This Row],[Cumulative]])</f>
        <v>0</v>
      </c>
      <c r="K50" s="223">
        <f>Table5[[#This Row],[Material Balance Qty]]*Table5[[#This Row],[Material @ Site Rate]]</f>
        <v>0</v>
      </c>
      <c r="L50" s="9"/>
      <c r="M50" s="9">
        <f>Table5[[#This Row],[Cumulative]]-Table5[[#This Row],[Previous Qty]]</f>
        <v>0</v>
      </c>
      <c r="N50" s="9"/>
      <c r="O50" s="9">
        <f>(Table5[[#This Row],[Supply Rate]]+Table5[[#This Row],[Install Rate]])*Table5[[#This Row],[Previous Qty]]</f>
        <v>0</v>
      </c>
      <c r="P50" s="9">
        <f>Table5[[#This Row],[Cumulative Amount]]-Table5[[#This Row],[Previous Amount]]</f>
        <v>0</v>
      </c>
      <c r="Q50" s="9">
        <f>(Table5[[#This Row],[Supply Rate]]+Table5[[#This Row],[Install Rate]])*Table5[[#This Row],[Cumulative]]</f>
        <v>0</v>
      </c>
    </row>
    <row r="51" spans="1:17" x14ac:dyDescent="0.35">
      <c r="A51" s="6">
        <v>8</v>
      </c>
      <c r="B51" s="11" t="s">
        <v>338</v>
      </c>
      <c r="C51" s="6">
        <v>1.25</v>
      </c>
      <c r="D51" s="6" t="s">
        <v>10</v>
      </c>
      <c r="E51" s="9">
        <v>348</v>
      </c>
      <c r="F51" s="9">
        <v>48</v>
      </c>
      <c r="G51" s="9">
        <f>(Table5[[#This Row],[Supply Rate]]+Table5[[#This Row],[Install Rate]])*Table5[[#This Row],[Qty]]</f>
        <v>495</v>
      </c>
      <c r="H51" s="223">
        <f>Table5[[#This Row],[Supply Rate]]*80%</f>
        <v>278.40000000000003</v>
      </c>
      <c r="I51" s="224"/>
      <c r="J51" s="224">
        <f>IF(Table5[[#This Row],[Material Qty]]=0,0,Table5[[#This Row],[Material Qty]]-Table5[[#This Row],[Cumulative]])</f>
        <v>0</v>
      </c>
      <c r="K51" s="223">
        <f>Table5[[#This Row],[Material Balance Qty]]*Table5[[#This Row],[Material @ Site Rate]]</f>
        <v>0</v>
      </c>
      <c r="L51" s="9"/>
      <c r="M51" s="9">
        <f>Table5[[#This Row],[Cumulative]]-Table5[[#This Row],[Previous Qty]]</f>
        <v>0</v>
      </c>
      <c r="N51" s="9"/>
      <c r="O51" s="9">
        <f>(Table5[[#This Row],[Supply Rate]]+Table5[[#This Row],[Install Rate]])*Table5[[#This Row],[Previous Qty]]</f>
        <v>0</v>
      </c>
      <c r="P51" s="9">
        <f>Table5[[#This Row],[Cumulative Amount]]-Table5[[#This Row],[Previous Amount]]</f>
        <v>0</v>
      </c>
      <c r="Q51" s="9">
        <f>(Table5[[#This Row],[Supply Rate]]+Table5[[#This Row],[Install Rate]])*Table5[[#This Row],[Cumulative]]</f>
        <v>0</v>
      </c>
    </row>
    <row r="52" spans="1:17" x14ac:dyDescent="0.35">
      <c r="A52" s="6">
        <v>9</v>
      </c>
      <c r="B52" s="11" t="s">
        <v>339</v>
      </c>
      <c r="C52" s="6">
        <v>1.25</v>
      </c>
      <c r="D52" s="6" t="s">
        <v>10</v>
      </c>
      <c r="E52" s="9">
        <v>355</v>
      </c>
      <c r="F52" s="9">
        <v>49</v>
      </c>
      <c r="G52" s="9">
        <f>(Table5[[#This Row],[Supply Rate]]+Table5[[#This Row],[Install Rate]])*Table5[[#This Row],[Qty]]</f>
        <v>505</v>
      </c>
      <c r="H52" s="223">
        <f>Table5[[#This Row],[Supply Rate]]*80%</f>
        <v>284</v>
      </c>
      <c r="I52" s="224"/>
      <c r="J52" s="224">
        <f>IF(Table5[[#This Row],[Material Qty]]=0,0,Table5[[#This Row],[Material Qty]]-Table5[[#This Row],[Cumulative]])</f>
        <v>0</v>
      </c>
      <c r="K52" s="223">
        <f>Table5[[#This Row],[Material Balance Qty]]*Table5[[#This Row],[Material @ Site Rate]]</f>
        <v>0</v>
      </c>
      <c r="L52" s="9"/>
      <c r="M52" s="9">
        <f>Table5[[#This Row],[Cumulative]]-Table5[[#This Row],[Previous Qty]]</f>
        <v>0</v>
      </c>
      <c r="N52" s="9"/>
      <c r="O52" s="9">
        <f>(Table5[[#This Row],[Supply Rate]]+Table5[[#This Row],[Install Rate]])*Table5[[#This Row],[Previous Qty]]</f>
        <v>0</v>
      </c>
      <c r="P52" s="9">
        <f>Table5[[#This Row],[Cumulative Amount]]-Table5[[#This Row],[Previous Amount]]</f>
        <v>0</v>
      </c>
      <c r="Q52" s="9">
        <f>(Table5[[#This Row],[Supply Rate]]+Table5[[#This Row],[Install Rate]])*Table5[[#This Row],[Cumulative]]</f>
        <v>0</v>
      </c>
    </row>
    <row r="53" spans="1:17" x14ac:dyDescent="0.35">
      <c r="A53" s="6">
        <v>10</v>
      </c>
      <c r="B53" s="11" t="s">
        <v>340</v>
      </c>
      <c r="C53" s="6">
        <v>0.9</v>
      </c>
      <c r="D53" s="6" t="s">
        <v>10</v>
      </c>
      <c r="E53" s="9">
        <v>372</v>
      </c>
      <c r="F53" s="9">
        <v>49</v>
      </c>
      <c r="G53" s="9">
        <f>(Table5[[#This Row],[Supply Rate]]+Table5[[#This Row],[Install Rate]])*Table5[[#This Row],[Qty]]</f>
        <v>378.90000000000003</v>
      </c>
      <c r="H53" s="223">
        <f>Table5[[#This Row],[Supply Rate]]*80%</f>
        <v>297.60000000000002</v>
      </c>
      <c r="I53" s="224"/>
      <c r="J53" s="224">
        <f>IF(Table5[[#This Row],[Material Qty]]=0,0,Table5[[#This Row],[Material Qty]]-Table5[[#This Row],[Cumulative]])</f>
        <v>0</v>
      </c>
      <c r="K53" s="223">
        <f>Table5[[#This Row],[Material Balance Qty]]*Table5[[#This Row],[Material @ Site Rate]]</f>
        <v>0</v>
      </c>
      <c r="L53" s="9"/>
      <c r="M53" s="9">
        <f>Table5[[#This Row],[Cumulative]]-Table5[[#This Row],[Previous Qty]]</f>
        <v>0</v>
      </c>
      <c r="N53" s="9"/>
      <c r="O53" s="9">
        <f>(Table5[[#This Row],[Supply Rate]]+Table5[[#This Row],[Install Rate]])*Table5[[#This Row],[Previous Qty]]</f>
        <v>0</v>
      </c>
      <c r="P53" s="9">
        <f>Table5[[#This Row],[Cumulative Amount]]-Table5[[#This Row],[Previous Amount]]</f>
        <v>0</v>
      </c>
      <c r="Q53" s="9">
        <f>(Table5[[#This Row],[Supply Rate]]+Table5[[#This Row],[Install Rate]])*Table5[[#This Row],[Cumulative]]</f>
        <v>0</v>
      </c>
    </row>
    <row r="54" spans="1:17" x14ac:dyDescent="0.35">
      <c r="A54" s="6">
        <v>11</v>
      </c>
      <c r="B54" s="11" t="s">
        <v>341</v>
      </c>
      <c r="C54" s="6">
        <v>0.9</v>
      </c>
      <c r="D54" s="6" t="s">
        <v>10</v>
      </c>
      <c r="E54" s="9">
        <v>400</v>
      </c>
      <c r="F54" s="9">
        <v>53</v>
      </c>
      <c r="G54" s="9">
        <f>(Table5[[#This Row],[Supply Rate]]+Table5[[#This Row],[Install Rate]])*Table5[[#This Row],[Qty]]</f>
        <v>407.7</v>
      </c>
      <c r="H54" s="223">
        <f>Table5[[#This Row],[Supply Rate]]*80%</f>
        <v>320</v>
      </c>
      <c r="I54" s="224"/>
      <c r="J54" s="224">
        <f>IF(Table5[[#This Row],[Material Qty]]=0,0,Table5[[#This Row],[Material Qty]]-Table5[[#This Row],[Cumulative]])</f>
        <v>0</v>
      </c>
      <c r="K54" s="223">
        <f>Table5[[#This Row],[Material Balance Qty]]*Table5[[#This Row],[Material @ Site Rate]]</f>
        <v>0</v>
      </c>
      <c r="L54" s="9"/>
      <c r="M54" s="9">
        <f>Table5[[#This Row],[Cumulative]]-Table5[[#This Row],[Previous Qty]]</f>
        <v>0</v>
      </c>
      <c r="N54" s="9"/>
      <c r="O54" s="9">
        <f>(Table5[[#This Row],[Supply Rate]]+Table5[[#This Row],[Install Rate]])*Table5[[#This Row],[Previous Qty]]</f>
        <v>0</v>
      </c>
      <c r="P54" s="9">
        <f>Table5[[#This Row],[Cumulative Amount]]-Table5[[#This Row],[Previous Amount]]</f>
        <v>0</v>
      </c>
      <c r="Q54" s="9">
        <f>(Table5[[#This Row],[Supply Rate]]+Table5[[#This Row],[Install Rate]])*Table5[[#This Row],[Cumulative]]</f>
        <v>0</v>
      </c>
    </row>
    <row r="55" spans="1:17" x14ac:dyDescent="0.35">
      <c r="A55" s="6">
        <v>12</v>
      </c>
      <c r="B55" s="11" t="s">
        <v>342</v>
      </c>
      <c r="C55" s="6">
        <v>1.29</v>
      </c>
      <c r="D55" s="6" t="s">
        <v>10</v>
      </c>
      <c r="E55" s="9">
        <v>637</v>
      </c>
      <c r="F55" s="9">
        <v>74</v>
      </c>
      <c r="G55" s="9">
        <f>(Table5[[#This Row],[Supply Rate]]+Table5[[#This Row],[Install Rate]])*Table5[[#This Row],[Qty]]</f>
        <v>917.19</v>
      </c>
      <c r="H55" s="223">
        <f>Table5[[#This Row],[Supply Rate]]*80%</f>
        <v>509.6</v>
      </c>
      <c r="I55" s="224"/>
      <c r="J55" s="224">
        <f>IF(Table5[[#This Row],[Material Qty]]=0,0,Table5[[#This Row],[Material Qty]]-Table5[[#This Row],[Cumulative]])</f>
        <v>0</v>
      </c>
      <c r="K55" s="223">
        <f>Table5[[#This Row],[Material Balance Qty]]*Table5[[#This Row],[Material @ Site Rate]]</f>
        <v>0</v>
      </c>
      <c r="L55" s="9"/>
      <c r="M55" s="9">
        <f>Table5[[#This Row],[Cumulative]]-Table5[[#This Row],[Previous Qty]]</f>
        <v>0</v>
      </c>
      <c r="N55" s="9"/>
      <c r="O55" s="9">
        <f>(Table5[[#This Row],[Supply Rate]]+Table5[[#This Row],[Install Rate]])*Table5[[#This Row],[Previous Qty]]</f>
        <v>0</v>
      </c>
      <c r="P55" s="9">
        <f>Table5[[#This Row],[Cumulative Amount]]-Table5[[#This Row],[Previous Amount]]</f>
        <v>0</v>
      </c>
      <c r="Q55" s="9">
        <f>(Table5[[#This Row],[Supply Rate]]+Table5[[#This Row],[Install Rate]])*Table5[[#This Row],[Cumulative]]</f>
        <v>0</v>
      </c>
    </row>
    <row r="56" spans="1:17" x14ac:dyDescent="0.35">
      <c r="A56" s="6"/>
      <c r="B56" s="11" t="s">
        <v>309</v>
      </c>
      <c r="C56" s="6"/>
      <c r="D56" s="6"/>
      <c r="E56" s="9"/>
      <c r="F56" s="9"/>
      <c r="G56" s="9"/>
      <c r="H56" s="223"/>
      <c r="I56" s="224"/>
      <c r="J56" s="224"/>
      <c r="K56" s="223"/>
      <c r="L56" s="9"/>
      <c r="M56" s="9"/>
      <c r="N56" s="9"/>
      <c r="O56" s="9"/>
      <c r="P56" s="9"/>
      <c r="Q56" s="9"/>
    </row>
    <row r="57" spans="1:17" x14ac:dyDescent="0.35">
      <c r="A57" s="6"/>
      <c r="B57" s="11" t="s">
        <v>310</v>
      </c>
      <c r="C57" s="6"/>
      <c r="D57" s="6"/>
      <c r="E57" s="9"/>
      <c r="F57" s="9"/>
      <c r="G57" s="9"/>
      <c r="H57" s="223"/>
      <c r="I57" s="224"/>
      <c r="J57" s="224"/>
      <c r="K57" s="223"/>
      <c r="L57" s="9"/>
      <c r="M57" s="9"/>
      <c r="N57" s="9"/>
      <c r="O57" s="9"/>
      <c r="P57" s="9"/>
      <c r="Q57" s="9"/>
    </row>
    <row r="58" spans="1:17" ht="72.5" x14ac:dyDescent="0.35">
      <c r="A58" s="6"/>
      <c r="B58" s="11" t="s">
        <v>311</v>
      </c>
      <c r="C58" s="6"/>
      <c r="D58" s="6"/>
      <c r="E58" s="9"/>
      <c r="F58" s="9"/>
      <c r="G58" s="9"/>
      <c r="H58" s="223"/>
      <c r="I58" s="224"/>
      <c r="J58" s="224"/>
      <c r="K58" s="223"/>
      <c r="L58" s="9"/>
      <c r="M58" s="9"/>
      <c r="N58" s="9"/>
      <c r="O58" s="9"/>
      <c r="P58" s="9"/>
      <c r="Q58" s="9"/>
    </row>
    <row r="59" spans="1:17" x14ac:dyDescent="0.35">
      <c r="A59" s="6" t="s">
        <v>292</v>
      </c>
      <c r="B59" s="11" t="s">
        <v>312</v>
      </c>
      <c r="C59" s="6">
        <v>110.06</v>
      </c>
      <c r="D59" s="6" t="s">
        <v>10</v>
      </c>
      <c r="E59" s="9">
        <v>208</v>
      </c>
      <c r="F59" s="9">
        <v>21</v>
      </c>
      <c r="G59" s="9">
        <f>(Table5[[#This Row],[Supply Rate]]+Table5[[#This Row],[Install Rate]])*Table5[[#This Row],[Qty]]</f>
        <v>25203.74</v>
      </c>
      <c r="H59" s="223">
        <f>Table5[[#This Row],[Supply Rate]]*80%</f>
        <v>166.4</v>
      </c>
      <c r="I59" s="224"/>
      <c r="J59" s="224">
        <f>IF(Table5[[#This Row],[Material Qty]]=0,0,Table5[[#This Row],[Material Qty]]-Table5[[#This Row],[Cumulative]])</f>
        <v>0</v>
      </c>
      <c r="K59" s="223">
        <f>Table5[[#This Row],[Material Balance Qty]]*Table5[[#This Row],[Material @ Site Rate]]</f>
        <v>0</v>
      </c>
      <c r="L59" s="9"/>
      <c r="M59" s="9">
        <f>Table5[[#This Row],[Cumulative]]-Table5[[#This Row],[Previous Qty]]</f>
        <v>0</v>
      </c>
      <c r="N59" s="9"/>
      <c r="O59" s="9">
        <f>(Table5[[#This Row],[Supply Rate]]+Table5[[#This Row],[Install Rate]])*Table5[[#This Row],[Previous Qty]]</f>
        <v>0</v>
      </c>
      <c r="P59" s="9">
        <f>Table5[[#This Row],[Cumulative Amount]]-Table5[[#This Row],[Previous Amount]]</f>
        <v>0</v>
      </c>
      <c r="Q59" s="9">
        <f>(Table5[[#This Row],[Supply Rate]]+Table5[[#This Row],[Install Rate]])*Table5[[#This Row],[Cumulative]]</f>
        <v>0</v>
      </c>
    </row>
    <row r="60" spans="1:17" x14ac:dyDescent="0.35">
      <c r="A60" s="6"/>
      <c r="B60" s="7" t="s">
        <v>343</v>
      </c>
      <c r="C60" s="6"/>
      <c r="D60" s="6"/>
      <c r="E60" s="9"/>
      <c r="F60" s="9"/>
      <c r="G60" s="9"/>
      <c r="H60" s="223"/>
      <c r="I60" s="224"/>
      <c r="J60" s="224"/>
      <c r="K60" s="223"/>
      <c r="L60" s="9"/>
      <c r="M60" s="9"/>
      <c r="N60" s="9"/>
      <c r="O60" s="9"/>
      <c r="P60" s="9"/>
      <c r="Q60" s="9"/>
    </row>
    <row r="61" spans="1:17" x14ac:dyDescent="0.35">
      <c r="A61" s="6"/>
      <c r="B61" s="11" t="s">
        <v>289</v>
      </c>
      <c r="C61" s="6"/>
      <c r="D61" s="6"/>
      <c r="E61" s="9"/>
      <c r="F61" s="9"/>
      <c r="G61" s="9"/>
      <c r="H61" s="223"/>
      <c r="I61" s="224"/>
      <c r="J61" s="224"/>
      <c r="K61" s="223"/>
      <c r="L61" s="9"/>
      <c r="M61" s="9"/>
      <c r="N61" s="9"/>
      <c r="O61" s="9"/>
      <c r="P61" s="9"/>
      <c r="Q61" s="9"/>
    </row>
    <row r="62" spans="1:17" ht="58" x14ac:dyDescent="0.35">
      <c r="A62" s="6"/>
      <c r="B62" s="11" t="s">
        <v>344</v>
      </c>
      <c r="C62" s="6"/>
      <c r="D62" s="6"/>
      <c r="E62" s="9"/>
      <c r="F62" s="9"/>
      <c r="G62" s="9"/>
      <c r="H62" s="223"/>
      <c r="I62" s="224"/>
      <c r="J62" s="224"/>
      <c r="K62" s="223"/>
      <c r="L62" s="9"/>
      <c r="M62" s="9"/>
      <c r="N62" s="9"/>
      <c r="O62" s="9"/>
      <c r="P62" s="9"/>
      <c r="Q62" s="9"/>
    </row>
    <row r="63" spans="1:17" ht="29" x14ac:dyDescent="0.35">
      <c r="A63" s="6"/>
      <c r="B63" s="11" t="s">
        <v>345</v>
      </c>
      <c r="C63" s="6"/>
      <c r="D63" s="6"/>
      <c r="E63" s="9"/>
      <c r="F63" s="9"/>
      <c r="G63" s="9"/>
      <c r="H63" s="223"/>
      <c r="I63" s="224"/>
      <c r="J63" s="224"/>
      <c r="K63" s="223"/>
      <c r="L63" s="9"/>
      <c r="M63" s="9"/>
      <c r="N63" s="9"/>
      <c r="O63" s="9"/>
      <c r="P63" s="9"/>
      <c r="Q63" s="9"/>
    </row>
    <row r="64" spans="1:17" x14ac:dyDescent="0.35">
      <c r="A64" s="6" t="s">
        <v>292</v>
      </c>
      <c r="B64" s="11" t="s">
        <v>293</v>
      </c>
      <c r="C64" s="6">
        <v>32.9</v>
      </c>
      <c r="D64" s="6" t="s">
        <v>17</v>
      </c>
      <c r="E64" s="9">
        <v>426</v>
      </c>
      <c r="F64" s="9">
        <v>191</v>
      </c>
      <c r="G64" s="9">
        <f>(Table5[[#This Row],[Supply Rate]]+Table5[[#This Row],[Install Rate]])*Table5[[#This Row],[Qty]]</f>
        <v>20299.3</v>
      </c>
      <c r="H64" s="223">
        <f>Table5[[#This Row],[Supply Rate]]*80%</f>
        <v>340.8</v>
      </c>
      <c r="I64" s="224"/>
      <c r="J64" s="224">
        <f>IF(Table5[[#This Row],[Material Qty]]=0,0,Table5[[#This Row],[Material Qty]]-Table5[[#This Row],[Cumulative]])</f>
        <v>0</v>
      </c>
      <c r="K64" s="223">
        <f>Table5[[#This Row],[Material Balance Qty]]*Table5[[#This Row],[Material @ Site Rate]]</f>
        <v>0</v>
      </c>
      <c r="L64" s="9"/>
      <c r="M64" s="9">
        <f>Table5[[#This Row],[Cumulative]]-Table5[[#This Row],[Previous Qty]]</f>
        <v>0</v>
      </c>
      <c r="N64" s="9"/>
      <c r="O64" s="9">
        <f>(Table5[[#This Row],[Supply Rate]]+Table5[[#This Row],[Install Rate]])*Table5[[#This Row],[Previous Qty]]</f>
        <v>0</v>
      </c>
      <c r="P64" s="9">
        <f>Table5[[#This Row],[Cumulative Amount]]-Table5[[#This Row],[Previous Amount]]</f>
        <v>0</v>
      </c>
      <c r="Q64" s="9">
        <f>(Table5[[#This Row],[Supply Rate]]+Table5[[#This Row],[Install Rate]])*Table5[[#This Row],[Cumulative]]</f>
        <v>0</v>
      </c>
    </row>
    <row r="65" spans="1:17" ht="29" x14ac:dyDescent="0.35">
      <c r="A65" s="6"/>
      <c r="B65" s="11" t="s">
        <v>346</v>
      </c>
      <c r="C65" s="6"/>
      <c r="D65" s="6"/>
      <c r="E65" s="9"/>
      <c r="F65" s="9"/>
      <c r="G65" s="9"/>
      <c r="H65" s="223"/>
      <c r="I65" s="224"/>
      <c r="J65" s="224"/>
      <c r="K65" s="223"/>
      <c r="L65" s="9"/>
      <c r="M65" s="9"/>
      <c r="N65" s="9"/>
      <c r="O65" s="9"/>
      <c r="P65" s="9"/>
      <c r="Q65" s="9"/>
    </row>
    <row r="66" spans="1:17" x14ac:dyDescent="0.35">
      <c r="A66" s="6" t="s">
        <v>294</v>
      </c>
      <c r="B66" s="11" t="s">
        <v>293</v>
      </c>
      <c r="C66" s="6">
        <v>12.05</v>
      </c>
      <c r="D66" s="6" t="s">
        <v>17</v>
      </c>
      <c r="E66" s="9">
        <v>462</v>
      </c>
      <c r="F66" s="9">
        <v>185</v>
      </c>
      <c r="G66" s="9">
        <f>(Table5[[#This Row],[Supply Rate]]+Table5[[#This Row],[Install Rate]])*Table5[[#This Row],[Qty]]</f>
        <v>7796.35</v>
      </c>
      <c r="H66" s="223">
        <f>Table5[[#This Row],[Supply Rate]]*80%</f>
        <v>369.6</v>
      </c>
      <c r="I66" s="224"/>
      <c r="J66" s="224">
        <f>IF(Table5[[#This Row],[Material Qty]]=0,0,Table5[[#This Row],[Material Qty]]-Table5[[#This Row],[Cumulative]])</f>
        <v>0</v>
      </c>
      <c r="K66" s="223">
        <f>Table5[[#This Row],[Material Balance Qty]]*Table5[[#This Row],[Material @ Site Rate]]</f>
        <v>0</v>
      </c>
      <c r="L66" s="9"/>
      <c r="M66" s="9">
        <f>Table5[[#This Row],[Cumulative]]-Table5[[#This Row],[Previous Qty]]</f>
        <v>0</v>
      </c>
      <c r="N66" s="9"/>
      <c r="O66" s="9">
        <f>(Table5[[#This Row],[Supply Rate]]+Table5[[#This Row],[Install Rate]])*Table5[[#This Row],[Previous Qty]]</f>
        <v>0</v>
      </c>
      <c r="P66" s="9">
        <f>Table5[[#This Row],[Cumulative Amount]]-Table5[[#This Row],[Previous Amount]]</f>
        <v>0</v>
      </c>
      <c r="Q66" s="9">
        <f>(Table5[[#This Row],[Supply Rate]]+Table5[[#This Row],[Install Rate]])*Table5[[#This Row],[Cumulative]]</f>
        <v>0</v>
      </c>
    </row>
    <row r="67" spans="1:17" x14ac:dyDescent="0.35">
      <c r="A67" s="6" t="s">
        <v>297</v>
      </c>
      <c r="B67" s="11" t="s">
        <v>347</v>
      </c>
      <c r="C67" s="6">
        <v>2.33</v>
      </c>
      <c r="D67" s="6" t="s">
        <v>17</v>
      </c>
      <c r="E67" s="9">
        <v>462</v>
      </c>
      <c r="F67" s="9">
        <v>185</v>
      </c>
      <c r="G67" s="9">
        <f>(Table5[[#This Row],[Supply Rate]]+Table5[[#This Row],[Install Rate]])*Table5[[#This Row],[Qty]]</f>
        <v>1507.51</v>
      </c>
      <c r="H67" s="223">
        <f>Table5[[#This Row],[Supply Rate]]*80%</f>
        <v>369.6</v>
      </c>
      <c r="I67" s="224"/>
      <c r="J67" s="224">
        <f>IF(Table5[[#This Row],[Material Qty]]=0,0,Table5[[#This Row],[Material Qty]]-Table5[[#This Row],[Cumulative]])</f>
        <v>0</v>
      </c>
      <c r="K67" s="223">
        <f>Table5[[#This Row],[Material Balance Qty]]*Table5[[#This Row],[Material @ Site Rate]]</f>
        <v>0</v>
      </c>
      <c r="L67" s="9"/>
      <c r="M67" s="9">
        <f>Table5[[#This Row],[Cumulative]]-Table5[[#This Row],[Previous Qty]]</f>
        <v>0</v>
      </c>
      <c r="N67" s="9"/>
      <c r="O67" s="9">
        <f>(Table5[[#This Row],[Supply Rate]]+Table5[[#This Row],[Install Rate]])*Table5[[#This Row],[Previous Qty]]</f>
        <v>0</v>
      </c>
      <c r="P67" s="9">
        <f>Table5[[#This Row],[Cumulative Amount]]-Table5[[#This Row],[Previous Amount]]</f>
        <v>0</v>
      </c>
      <c r="Q67" s="9">
        <f>(Table5[[#This Row],[Supply Rate]]+Table5[[#This Row],[Install Rate]])*Table5[[#This Row],[Cumulative]]</f>
        <v>0</v>
      </c>
    </row>
    <row r="68" spans="1:17" ht="58" x14ac:dyDescent="0.35">
      <c r="A68" s="6"/>
      <c r="B68" s="11" t="s">
        <v>348</v>
      </c>
      <c r="C68" s="6"/>
      <c r="D68" s="6"/>
      <c r="E68" s="9"/>
      <c r="F68" s="9"/>
      <c r="G68" s="9"/>
      <c r="H68" s="223"/>
      <c r="I68" s="224"/>
      <c r="J68" s="224"/>
      <c r="K68" s="223"/>
      <c r="L68" s="9"/>
      <c r="M68" s="9"/>
      <c r="N68" s="9"/>
      <c r="O68" s="9"/>
      <c r="P68" s="9"/>
      <c r="Q68" s="9"/>
    </row>
    <row r="69" spans="1:17" ht="29" x14ac:dyDescent="0.35">
      <c r="A69" s="6" t="s">
        <v>303</v>
      </c>
      <c r="B69" s="11" t="s">
        <v>349</v>
      </c>
      <c r="C69" s="6"/>
      <c r="D69" s="6" t="s">
        <v>17</v>
      </c>
      <c r="E69" s="9"/>
      <c r="F69" s="9"/>
      <c r="G69" s="9"/>
      <c r="H69" s="223"/>
      <c r="I69" s="224"/>
      <c r="J69" s="224"/>
      <c r="K69" s="223"/>
      <c r="L69" s="9"/>
      <c r="M69" s="9"/>
      <c r="N69" s="9"/>
      <c r="O69" s="9"/>
      <c r="P69" s="9"/>
      <c r="Q69" s="9"/>
    </row>
    <row r="70" spans="1:17" ht="29" x14ac:dyDescent="0.35">
      <c r="A70" s="6" t="s">
        <v>325</v>
      </c>
      <c r="B70" s="11" t="s">
        <v>350</v>
      </c>
      <c r="C70" s="6"/>
      <c r="D70" s="6" t="s">
        <v>17</v>
      </c>
      <c r="E70" s="9"/>
      <c r="F70" s="9"/>
      <c r="G70" s="9"/>
      <c r="H70" s="223"/>
      <c r="I70" s="224"/>
      <c r="J70" s="224"/>
      <c r="K70" s="223"/>
      <c r="L70" s="9"/>
      <c r="M70" s="9"/>
      <c r="N70" s="9"/>
      <c r="O70" s="9"/>
      <c r="P70" s="9"/>
      <c r="Q70" s="9"/>
    </row>
    <row r="71" spans="1:17" ht="29" x14ac:dyDescent="0.35">
      <c r="A71" s="6" t="s">
        <v>327</v>
      </c>
      <c r="B71" s="11" t="s">
        <v>898</v>
      </c>
      <c r="C71" s="6"/>
      <c r="D71" s="6" t="s">
        <v>17</v>
      </c>
      <c r="E71" s="9"/>
      <c r="F71" s="9"/>
      <c r="G71" s="9"/>
      <c r="H71" s="223"/>
      <c r="I71" s="224"/>
      <c r="J71" s="224"/>
      <c r="K71" s="223"/>
      <c r="L71" s="9"/>
      <c r="M71" s="9"/>
      <c r="N71" s="9"/>
      <c r="O71" s="9"/>
      <c r="P71" s="9"/>
      <c r="Q71" s="9"/>
    </row>
    <row r="72" spans="1:17" ht="29" x14ac:dyDescent="0.35">
      <c r="A72" s="6"/>
      <c r="B72" s="11" t="s">
        <v>899</v>
      </c>
      <c r="C72" s="6"/>
      <c r="D72" s="6" t="s">
        <v>17</v>
      </c>
      <c r="E72" s="9"/>
      <c r="F72" s="9"/>
      <c r="G72" s="9"/>
      <c r="H72" s="223"/>
      <c r="I72" s="224"/>
      <c r="J72" s="224"/>
      <c r="K72" s="223"/>
      <c r="L72" s="9"/>
      <c r="M72" s="9"/>
      <c r="N72" s="9"/>
      <c r="O72" s="9"/>
      <c r="P72" s="9"/>
      <c r="Q72" s="9"/>
    </row>
    <row r="73" spans="1:17" x14ac:dyDescent="0.35">
      <c r="A73" s="6"/>
      <c r="B73" s="11" t="s">
        <v>351</v>
      </c>
      <c r="C73" s="6"/>
      <c r="D73" s="6"/>
      <c r="E73" s="9"/>
      <c r="F73" s="9"/>
      <c r="G73" s="9"/>
      <c r="H73" s="223"/>
      <c r="I73" s="224"/>
      <c r="J73" s="224"/>
      <c r="K73" s="223"/>
      <c r="L73" s="9"/>
      <c r="M73" s="9"/>
      <c r="N73" s="9"/>
      <c r="O73" s="9"/>
      <c r="P73" s="9"/>
      <c r="Q73" s="9"/>
    </row>
    <row r="74" spans="1:17" ht="87" x14ac:dyDescent="0.35">
      <c r="A74" s="6"/>
      <c r="B74" s="11" t="s">
        <v>352</v>
      </c>
      <c r="C74" s="6"/>
      <c r="D74" s="6"/>
      <c r="E74" s="9"/>
      <c r="F74" s="9"/>
      <c r="G74" s="9"/>
      <c r="H74" s="223"/>
      <c r="I74" s="224"/>
      <c r="J74" s="224"/>
      <c r="K74" s="223"/>
      <c r="L74" s="9"/>
      <c r="M74" s="9"/>
      <c r="N74" s="9"/>
      <c r="O74" s="9"/>
      <c r="P74" s="9"/>
      <c r="Q74" s="9"/>
    </row>
    <row r="75" spans="1:17" ht="29" x14ac:dyDescent="0.35">
      <c r="A75" s="6" t="s">
        <v>329</v>
      </c>
      <c r="B75" s="11" t="s">
        <v>353</v>
      </c>
      <c r="C75" s="6">
        <v>27.55</v>
      </c>
      <c r="D75" s="6" t="s">
        <v>10</v>
      </c>
      <c r="E75" s="9">
        <v>141</v>
      </c>
      <c r="F75" s="9">
        <v>26</v>
      </c>
      <c r="G75" s="9">
        <f>(Table5[[#This Row],[Supply Rate]]+Table5[[#This Row],[Install Rate]])*Table5[[#This Row],[Qty]]</f>
        <v>4600.8500000000004</v>
      </c>
      <c r="H75" s="223">
        <f>Table5[[#This Row],[Supply Rate]]*80%</f>
        <v>112.80000000000001</v>
      </c>
      <c r="I75" s="224"/>
      <c r="J75" s="224">
        <f>IF(Table5[[#This Row],[Material Qty]]=0,0,Table5[[#This Row],[Material Qty]]-Table5[[#This Row],[Cumulative]])</f>
        <v>0</v>
      </c>
      <c r="K75" s="223">
        <f>Table5[[#This Row],[Material Balance Qty]]*Table5[[#This Row],[Material @ Site Rate]]</f>
        <v>0</v>
      </c>
      <c r="L75" s="9"/>
      <c r="M75" s="9">
        <f>Table5[[#This Row],[Cumulative]]-Table5[[#This Row],[Previous Qty]]</f>
        <v>0</v>
      </c>
      <c r="N75" s="9"/>
      <c r="O75" s="9">
        <f>(Table5[[#This Row],[Supply Rate]]+Table5[[#This Row],[Install Rate]])*Table5[[#This Row],[Previous Qty]]</f>
        <v>0</v>
      </c>
      <c r="P75" s="9">
        <f>Table5[[#This Row],[Cumulative Amount]]-Table5[[#This Row],[Previous Amount]]</f>
        <v>0</v>
      </c>
      <c r="Q75" s="9">
        <f>(Table5[[#This Row],[Supply Rate]]+Table5[[#This Row],[Install Rate]])*Table5[[#This Row],[Cumulative]]</f>
        <v>0</v>
      </c>
    </row>
    <row r="76" spans="1:17" x14ac:dyDescent="0.35">
      <c r="A76" s="6"/>
      <c r="B76" s="7" t="s">
        <v>354</v>
      </c>
      <c r="C76" s="6"/>
      <c r="D76" s="6"/>
      <c r="E76" s="9"/>
      <c r="F76" s="9"/>
      <c r="G76" s="9"/>
      <c r="H76" s="223"/>
      <c r="I76" s="224"/>
      <c r="J76" s="224"/>
      <c r="K76" s="223"/>
      <c r="L76" s="9"/>
      <c r="M76" s="9"/>
      <c r="N76" s="9"/>
      <c r="O76" s="9"/>
      <c r="P76" s="9"/>
      <c r="Q76" s="9"/>
    </row>
    <row r="77" spans="1:17" x14ac:dyDescent="0.35">
      <c r="A77" s="6"/>
      <c r="B77" s="11" t="s">
        <v>289</v>
      </c>
      <c r="C77" s="6"/>
      <c r="D77" s="6"/>
      <c r="E77" s="9"/>
      <c r="F77" s="9"/>
      <c r="G77" s="9"/>
      <c r="H77" s="223"/>
      <c r="I77" s="224"/>
      <c r="J77" s="224"/>
      <c r="K77" s="223"/>
      <c r="L77" s="9"/>
      <c r="M77" s="9"/>
      <c r="N77" s="9"/>
      <c r="O77" s="9"/>
      <c r="P77" s="9"/>
      <c r="Q77" s="9"/>
    </row>
    <row r="78" spans="1:17" ht="58" x14ac:dyDescent="0.35">
      <c r="A78" s="6"/>
      <c r="B78" s="11" t="s">
        <v>344</v>
      </c>
      <c r="C78" s="6"/>
      <c r="D78" s="6"/>
      <c r="E78" s="9"/>
      <c r="F78" s="9"/>
      <c r="G78" s="9"/>
      <c r="H78" s="223"/>
      <c r="I78" s="224"/>
      <c r="J78" s="224"/>
      <c r="K78" s="223"/>
      <c r="L78" s="9"/>
      <c r="M78" s="9"/>
      <c r="N78" s="9"/>
      <c r="O78" s="9"/>
      <c r="P78" s="9"/>
      <c r="Q78" s="9"/>
    </row>
    <row r="79" spans="1:17" ht="29" x14ac:dyDescent="0.35">
      <c r="A79" s="6"/>
      <c r="B79" s="11" t="s">
        <v>355</v>
      </c>
      <c r="C79" s="6"/>
      <c r="D79" s="6"/>
      <c r="E79" s="9"/>
      <c r="F79" s="9"/>
      <c r="G79" s="9"/>
      <c r="H79" s="223"/>
      <c r="I79" s="224"/>
      <c r="J79" s="224"/>
      <c r="K79" s="223"/>
      <c r="L79" s="9"/>
      <c r="M79" s="9"/>
      <c r="N79" s="9"/>
      <c r="O79" s="9"/>
      <c r="P79" s="9"/>
      <c r="Q79" s="9"/>
    </row>
    <row r="80" spans="1:17" x14ac:dyDescent="0.35">
      <c r="A80" s="6" t="s">
        <v>292</v>
      </c>
      <c r="B80" s="11" t="s">
        <v>356</v>
      </c>
      <c r="C80" s="6">
        <v>12.18</v>
      </c>
      <c r="D80" s="6" t="s">
        <v>17</v>
      </c>
      <c r="E80" s="9">
        <v>462</v>
      </c>
      <c r="F80" s="9">
        <v>223</v>
      </c>
      <c r="G80" s="9">
        <f>(Table5[[#This Row],[Supply Rate]]+Table5[[#This Row],[Install Rate]])*Table5[[#This Row],[Qty]]</f>
        <v>8343.2999999999993</v>
      </c>
      <c r="H80" s="223">
        <f>Table5[[#This Row],[Supply Rate]]*80%</f>
        <v>369.6</v>
      </c>
      <c r="I80" s="224"/>
      <c r="J80" s="224">
        <f>IF(Table5[[#This Row],[Material Qty]]=0,0,Table5[[#This Row],[Material Qty]]-Table5[[#This Row],[Cumulative]])</f>
        <v>0</v>
      </c>
      <c r="K80" s="223">
        <f>Table5[[#This Row],[Material Balance Qty]]*Table5[[#This Row],[Material @ Site Rate]]</f>
        <v>0</v>
      </c>
      <c r="L80" s="9"/>
      <c r="M80" s="9">
        <f>Table5[[#This Row],[Cumulative]]-Table5[[#This Row],[Previous Qty]]</f>
        <v>0</v>
      </c>
      <c r="N80" s="9"/>
      <c r="O80" s="9">
        <f>(Table5[[#This Row],[Supply Rate]]+Table5[[#This Row],[Install Rate]])*Table5[[#This Row],[Previous Qty]]</f>
        <v>0</v>
      </c>
      <c r="P80" s="9">
        <f>Table5[[#This Row],[Cumulative Amount]]-Table5[[#This Row],[Previous Amount]]</f>
        <v>0</v>
      </c>
      <c r="Q80" s="9">
        <f>(Table5[[#This Row],[Supply Rate]]+Table5[[#This Row],[Install Rate]])*Table5[[#This Row],[Cumulative]]</f>
        <v>0</v>
      </c>
    </row>
    <row r="81" spans="1:17" ht="29" x14ac:dyDescent="0.35">
      <c r="A81" s="6"/>
      <c r="B81" s="11" t="s">
        <v>357</v>
      </c>
      <c r="C81" s="6"/>
      <c r="D81" s="6"/>
      <c r="E81" s="9"/>
      <c r="F81" s="9"/>
      <c r="G81" s="9"/>
      <c r="H81" s="223"/>
      <c r="I81" s="224"/>
      <c r="J81" s="224"/>
      <c r="K81" s="223"/>
      <c r="L81" s="9"/>
      <c r="M81" s="9"/>
      <c r="N81" s="9"/>
      <c r="O81" s="9"/>
      <c r="P81" s="9"/>
      <c r="Q81" s="9"/>
    </row>
    <row r="82" spans="1:17" x14ac:dyDescent="0.35">
      <c r="A82" s="6" t="s">
        <v>294</v>
      </c>
      <c r="B82" s="11" t="s">
        <v>317</v>
      </c>
      <c r="C82" s="6">
        <v>10.23</v>
      </c>
      <c r="D82" s="6" t="s">
        <v>17</v>
      </c>
      <c r="E82" s="9">
        <v>365</v>
      </c>
      <c r="F82" s="9">
        <v>182</v>
      </c>
      <c r="G82" s="9">
        <f>(Table5[[#This Row],[Supply Rate]]+Table5[[#This Row],[Install Rate]])*Table5[[#This Row],[Qty]]</f>
        <v>5595.81</v>
      </c>
      <c r="H82" s="223">
        <f>Table5[[#This Row],[Supply Rate]]*80%</f>
        <v>292</v>
      </c>
      <c r="I82" s="224"/>
      <c r="J82" s="224">
        <f>IF(Table5[[#This Row],[Material Qty]]=0,0,Table5[[#This Row],[Material Qty]]-Table5[[#This Row],[Cumulative]])</f>
        <v>0</v>
      </c>
      <c r="K82" s="223">
        <f>Table5[[#This Row],[Material Balance Qty]]*Table5[[#This Row],[Material @ Site Rate]]</f>
        <v>0</v>
      </c>
      <c r="L82" s="9"/>
      <c r="M82" s="9">
        <f>Table5[[#This Row],[Cumulative]]-Table5[[#This Row],[Previous Qty]]</f>
        <v>0</v>
      </c>
      <c r="N82" s="9"/>
      <c r="O82" s="9">
        <f>(Table5[[#This Row],[Supply Rate]]+Table5[[#This Row],[Install Rate]])*Table5[[#This Row],[Previous Qty]]</f>
        <v>0</v>
      </c>
      <c r="P82" s="9">
        <f>Table5[[#This Row],[Cumulative Amount]]-Table5[[#This Row],[Previous Amount]]</f>
        <v>0</v>
      </c>
      <c r="Q82" s="9">
        <f>(Table5[[#This Row],[Supply Rate]]+Table5[[#This Row],[Install Rate]])*Table5[[#This Row],[Cumulative]]</f>
        <v>0</v>
      </c>
    </row>
    <row r="83" spans="1:17" ht="29" x14ac:dyDescent="0.35">
      <c r="A83" s="6"/>
      <c r="B83" s="11" t="s">
        <v>358</v>
      </c>
      <c r="C83" s="6"/>
      <c r="D83" s="6"/>
      <c r="E83" s="9"/>
      <c r="F83" s="9"/>
      <c r="G83" s="9"/>
      <c r="H83" s="223"/>
      <c r="I83" s="224"/>
      <c r="J83" s="224"/>
      <c r="K83" s="223"/>
      <c r="L83" s="9"/>
      <c r="M83" s="9"/>
      <c r="N83" s="9"/>
      <c r="O83" s="9"/>
      <c r="P83" s="9"/>
      <c r="Q83" s="9"/>
    </row>
    <row r="84" spans="1:17" x14ac:dyDescent="0.35">
      <c r="A84" s="6" t="s">
        <v>297</v>
      </c>
      <c r="B84" s="11" t="s">
        <v>326</v>
      </c>
      <c r="C84" s="6">
        <v>26.73</v>
      </c>
      <c r="D84" s="6" t="s">
        <v>17</v>
      </c>
      <c r="E84" s="9">
        <v>1582</v>
      </c>
      <c r="F84" s="9">
        <v>219</v>
      </c>
      <c r="G84" s="9">
        <f>(Table5[[#This Row],[Supply Rate]]+Table5[[#This Row],[Install Rate]])*Table5[[#This Row],[Qty]]</f>
        <v>48140.73</v>
      </c>
      <c r="H84" s="223">
        <f>Table5[[#This Row],[Supply Rate]]*80%</f>
        <v>1265.6000000000001</v>
      </c>
      <c r="I84" s="224"/>
      <c r="J84" s="224">
        <f>IF(Table5[[#This Row],[Material Qty]]=0,0,Table5[[#This Row],[Material Qty]]-Table5[[#This Row],[Cumulative]])</f>
        <v>0</v>
      </c>
      <c r="K84" s="223">
        <f>Table5[[#This Row],[Material Balance Qty]]*Table5[[#This Row],[Material @ Site Rate]]</f>
        <v>0</v>
      </c>
      <c r="L84" s="9"/>
      <c r="M84" s="9">
        <f>Table5[[#This Row],[Cumulative]]-Table5[[#This Row],[Previous Qty]]</f>
        <v>0</v>
      </c>
      <c r="N84" s="9"/>
      <c r="O84" s="9">
        <f>(Table5[[#This Row],[Supply Rate]]+Table5[[#This Row],[Install Rate]])*Table5[[#This Row],[Previous Qty]]</f>
        <v>0</v>
      </c>
      <c r="P84" s="9">
        <f>Table5[[#This Row],[Cumulative Amount]]-Table5[[#This Row],[Previous Amount]]</f>
        <v>0</v>
      </c>
      <c r="Q84" s="9">
        <f>(Table5[[#This Row],[Supply Rate]]+Table5[[#This Row],[Install Rate]])*Table5[[#This Row],[Cumulative]]</f>
        <v>0</v>
      </c>
    </row>
    <row r="85" spans="1:17" ht="29" x14ac:dyDescent="0.35">
      <c r="A85" s="6"/>
      <c r="B85" s="11" t="s">
        <v>359</v>
      </c>
      <c r="C85" s="6"/>
      <c r="D85" s="6"/>
      <c r="E85" s="9"/>
      <c r="F85" s="9"/>
      <c r="G85" s="9"/>
      <c r="H85" s="223"/>
      <c r="I85" s="224"/>
      <c r="J85" s="224"/>
      <c r="K85" s="223"/>
      <c r="L85" s="9"/>
      <c r="M85" s="9"/>
      <c r="N85" s="9"/>
      <c r="O85" s="9"/>
      <c r="P85" s="9"/>
      <c r="Q85" s="9"/>
    </row>
    <row r="86" spans="1:17" x14ac:dyDescent="0.35">
      <c r="A86" s="6" t="s">
        <v>300</v>
      </c>
      <c r="B86" s="11" t="s">
        <v>323</v>
      </c>
      <c r="C86" s="6">
        <v>14.75</v>
      </c>
      <c r="D86" s="6" t="s">
        <v>17</v>
      </c>
      <c r="E86" s="9">
        <v>420</v>
      </c>
      <c r="F86" s="9">
        <v>230</v>
      </c>
      <c r="G86" s="9">
        <f>(Table5[[#This Row],[Supply Rate]]+Table5[[#This Row],[Install Rate]])*Table5[[#This Row],[Qty]]</f>
        <v>9587.5</v>
      </c>
      <c r="H86" s="223">
        <f>Table5[[#This Row],[Supply Rate]]*80%</f>
        <v>336</v>
      </c>
      <c r="I86" s="224"/>
      <c r="J86" s="224">
        <f>IF(Table5[[#This Row],[Material Qty]]=0,0,Table5[[#This Row],[Material Qty]]-Table5[[#This Row],[Cumulative]])</f>
        <v>0</v>
      </c>
      <c r="K86" s="223">
        <f>Table5[[#This Row],[Material Balance Qty]]*Table5[[#This Row],[Material @ Site Rate]]</f>
        <v>0</v>
      </c>
      <c r="L86" s="9"/>
      <c r="M86" s="9">
        <f>Table5[[#This Row],[Cumulative]]-Table5[[#This Row],[Previous Qty]]</f>
        <v>0</v>
      </c>
      <c r="N86" s="9"/>
      <c r="O86" s="9">
        <f>(Table5[[#This Row],[Supply Rate]]+Table5[[#This Row],[Install Rate]])*Table5[[#This Row],[Previous Qty]]</f>
        <v>0</v>
      </c>
      <c r="P86" s="9">
        <f>Table5[[#This Row],[Cumulative Amount]]-Table5[[#This Row],[Previous Amount]]</f>
        <v>0</v>
      </c>
      <c r="Q86" s="9">
        <f>(Table5[[#This Row],[Supply Rate]]+Table5[[#This Row],[Install Rate]])*Table5[[#This Row],[Cumulative]]</f>
        <v>0</v>
      </c>
    </row>
    <row r="87" spans="1:17" ht="29" x14ac:dyDescent="0.35">
      <c r="A87" s="6"/>
      <c r="B87" s="11" t="s">
        <v>360</v>
      </c>
      <c r="C87" s="6"/>
      <c r="D87" s="6"/>
      <c r="E87" s="9"/>
      <c r="F87" s="9"/>
      <c r="G87" s="9"/>
      <c r="H87" s="223"/>
      <c r="I87" s="224"/>
      <c r="J87" s="224"/>
      <c r="K87" s="223"/>
      <c r="L87" s="9"/>
      <c r="M87" s="9"/>
      <c r="N87" s="9"/>
      <c r="O87" s="9"/>
      <c r="P87" s="9"/>
      <c r="Q87" s="9"/>
    </row>
    <row r="88" spans="1:17" x14ac:dyDescent="0.35">
      <c r="A88" s="6" t="s">
        <v>303</v>
      </c>
      <c r="B88" s="11" t="s">
        <v>361</v>
      </c>
      <c r="C88" s="6">
        <v>1.53</v>
      </c>
      <c r="D88" s="6" t="s">
        <v>17</v>
      </c>
      <c r="E88" s="9">
        <v>462</v>
      </c>
      <c r="F88" s="9">
        <v>223</v>
      </c>
      <c r="G88" s="9">
        <f>(Table5[[#This Row],[Supply Rate]]+Table5[[#This Row],[Install Rate]])*Table5[[#This Row],[Qty]]</f>
        <v>1048.05</v>
      </c>
      <c r="H88" s="223">
        <f>Table5[[#This Row],[Supply Rate]]*80%</f>
        <v>369.6</v>
      </c>
      <c r="I88" s="224"/>
      <c r="J88" s="224">
        <f>IF(Table5[[#This Row],[Material Qty]]=0,0,Table5[[#This Row],[Material Qty]]-Table5[[#This Row],[Cumulative]])</f>
        <v>0</v>
      </c>
      <c r="K88" s="223">
        <f>Table5[[#This Row],[Material Balance Qty]]*Table5[[#This Row],[Material @ Site Rate]]</f>
        <v>0</v>
      </c>
      <c r="L88" s="9"/>
      <c r="M88" s="9">
        <f>Table5[[#This Row],[Cumulative]]-Table5[[#This Row],[Previous Qty]]</f>
        <v>0</v>
      </c>
      <c r="N88" s="9"/>
      <c r="O88" s="9">
        <f>(Table5[[#This Row],[Supply Rate]]+Table5[[#This Row],[Install Rate]])*Table5[[#This Row],[Previous Qty]]</f>
        <v>0</v>
      </c>
      <c r="P88" s="9">
        <f>Table5[[#This Row],[Cumulative Amount]]-Table5[[#This Row],[Previous Amount]]</f>
        <v>0</v>
      </c>
      <c r="Q88" s="9">
        <f>(Table5[[#This Row],[Supply Rate]]+Table5[[#This Row],[Install Rate]])*Table5[[#This Row],[Cumulative]]</f>
        <v>0</v>
      </c>
    </row>
    <row r="89" spans="1:17" x14ac:dyDescent="0.35">
      <c r="A89" s="6" t="s">
        <v>325</v>
      </c>
      <c r="B89" s="11" t="s">
        <v>326</v>
      </c>
      <c r="C89" s="6">
        <v>4.4000000000000004</v>
      </c>
      <c r="D89" s="6" t="s">
        <v>17</v>
      </c>
      <c r="E89" s="9">
        <v>462</v>
      </c>
      <c r="F89" s="9">
        <v>223</v>
      </c>
      <c r="G89" s="9">
        <f>(Table5[[#This Row],[Supply Rate]]+Table5[[#This Row],[Install Rate]])*Table5[[#This Row],[Qty]]</f>
        <v>3014.0000000000005</v>
      </c>
      <c r="H89" s="223">
        <f>Table5[[#This Row],[Supply Rate]]*80%</f>
        <v>369.6</v>
      </c>
      <c r="I89" s="224"/>
      <c r="J89" s="224">
        <f>IF(Table5[[#This Row],[Material Qty]]=0,0,Table5[[#This Row],[Material Qty]]-Table5[[#This Row],[Cumulative]])</f>
        <v>0</v>
      </c>
      <c r="K89" s="223">
        <f>Table5[[#This Row],[Material Balance Qty]]*Table5[[#This Row],[Material @ Site Rate]]</f>
        <v>0</v>
      </c>
      <c r="L89" s="9"/>
      <c r="M89" s="9">
        <f>Table5[[#This Row],[Cumulative]]-Table5[[#This Row],[Previous Qty]]</f>
        <v>0</v>
      </c>
      <c r="N89" s="9"/>
      <c r="O89" s="9">
        <f>(Table5[[#This Row],[Supply Rate]]+Table5[[#This Row],[Install Rate]])*Table5[[#This Row],[Previous Qty]]</f>
        <v>0</v>
      </c>
      <c r="P89" s="9">
        <f>Table5[[#This Row],[Cumulative Amount]]-Table5[[#This Row],[Previous Amount]]</f>
        <v>0</v>
      </c>
      <c r="Q89" s="9">
        <f>(Table5[[#This Row],[Supply Rate]]+Table5[[#This Row],[Install Rate]])*Table5[[#This Row],[Cumulative]]</f>
        <v>0</v>
      </c>
    </row>
    <row r="90" spans="1:17" ht="29" x14ac:dyDescent="0.35">
      <c r="A90" s="6" t="s">
        <v>327</v>
      </c>
      <c r="B90" s="11" t="s">
        <v>362</v>
      </c>
      <c r="C90" s="6"/>
      <c r="D90" s="6"/>
      <c r="E90" s="9"/>
      <c r="F90" s="9"/>
      <c r="G90" s="9"/>
      <c r="H90" s="223"/>
      <c r="I90" s="224"/>
      <c r="J90" s="224"/>
      <c r="K90" s="223"/>
      <c r="L90" s="9"/>
      <c r="M90" s="9"/>
      <c r="N90" s="9"/>
      <c r="O90" s="9"/>
      <c r="P90" s="9"/>
      <c r="Q90" s="9"/>
    </row>
    <row r="91" spans="1:17" x14ac:dyDescent="0.35">
      <c r="A91" s="6">
        <v>1</v>
      </c>
      <c r="B91" s="11" t="s">
        <v>363</v>
      </c>
      <c r="C91" s="6"/>
      <c r="D91" s="6" t="s">
        <v>364</v>
      </c>
      <c r="E91" s="9"/>
      <c r="F91" s="9"/>
      <c r="G91" s="9"/>
      <c r="H91" s="223"/>
      <c r="I91" s="224"/>
      <c r="J91" s="224"/>
      <c r="K91" s="223"/>
      <c r="L91" s="9"/>
      <c r="M91" s="9"/>
      <c r="N91" s="9"/>
      <c r="O91" s="9"/>
      <c r="P91" s="9"/>
      <c r="Q91" s="9"/>
    </row>
    <row r="92" spans="1:17" ht="29" x14ac:dyDescent="0.35">
      <c r="A92" s="6">
        <v>2</v>
      </c>
      <c r="B92" s="11" t="s">
        <v>900</v>
      </c>
      <c r="C92" s="6">
        <v>1</v>
      </c>
      <c r="D92" s="6" t="s">
        <v>364</v>
      </c>
      <c r="E92" s="9">
        <v>270</v>
      </c>
      <c r="F92" s="9">
        <v>131</v>
      </c>
      <c r="G92" s="9">
        <f>(Table5[[#This Row],[Supply Rate]]+Table5[[#This Row],[Install Rate]])*Table5[[#This Row],[Qty]]</f>
        <v>401</v>
      </c>
      <c r="H92" s="223">
        <f>Table5[[#This Row],[Supply Rate]]*80%</f>
        <v>216</v>
      </c>
      <c r="I92" s="224"/>
      <c r="J92" s="224">
        <f>IF(Table5[[#This Row],[Material Qty]]=0,0,Table5[[#This Row],[Material Qty]]-Table5[[#This Row],[Cumulative]])</f>
        <v>0</v>
      </c>
      <c r="K92" s="223">
        <f>Table5[[#This Row],[Material Balance Qty]]*Table5[[#This Row],[Material @ Site Rate]]</f>
        <v>0</v>
      </c>
      <c r="L92" s="9"/>
      <c r="M92" s="9">
        <f>Table5[[#This Row],[Cumulative]]-Table5[[#This Row],[Previous Qty]]</f>
        <v>0</v>
      </c>
      <c r="N92" s="9"/>
      <c r="O92" s="9">
        <f>(Table5[[#This Row],[Supply Rate]]+Table5[[#This Row],[Install Rate]])*Table5[[#This Row],[Previous Qty]]</f>
        <v>0</v>
      </c>
      <c r="P92" s="9">
        <f>Table5[[#This Row],[Cumulative Amount]]-Table5[[#This Row],[Previous Amount]]</f>
        <v>0</v>
      </c>
      <c r="Q92" s="9">
        <f>(Table5[[#This Row],[Supply Rate]]+Table5[[#This Row],[Install Rate]])*Table5[[#This Row],[Cumulative]]</f>
        <v>0</v>
      </c>
    </row>
    <row r="93" spans="1:17" x14ac:dyDescent="0.35">
      <c r="A93" s="6">
        <v>3</v>
      </c>
      <c r="B93" s="11" t="s">
        <v>365</v>
      </c>
      <c r="C93" s="6"/>
      <c r="D93" s="6" t="s">
        <v>364</v>
      </c>
      <c r="E93" s="9"/>
      <c r="F93" s="9"/>
      <c r="G93" s="9"/>
      <c r="H93" s="223"/>
      <c r="I93" s="224"/>
      <c r="J93" s="224"/>
      <c r="K93" s="223"/>
      <c r="L93" s="9"/>
      <c r="M93" s="9"/>
      <c r="N93" s="9"/>
      <c r="O93" s="9"/>
      <c r="P93" s="9"/>
      <c r="Q93" s="9"/>
    </row>
    <row r="94" spans="1:17" ht="29" x14ac:dyDescent="0.35">
      <c r="A94" s="6">
        <v>4</v>
      </c>
      <c r="B94" s="11" t="s">
        <v>901</v>
      </c>
      <c r="C94" s="6">
        <v>2</v>
      </c>
      <c r="D94" s="6" t="s">
        <v>364</v>
      </c>
      <c r="E94" s="9">
        <v>435</v>
      </c>
      <c r="F94" s="9">
        <v>237</v>
      </c>
      <c r="G94" s="9">
        <f>(Table5[[#This Row],[Supply Rate]]+Table5[[#This Row],[Install Rate]])*Table5[[#This Row],[Qty]]</f>
        <v>1344</v>
      </c>
      <c r="H94" s="223">
        <f>Table5[[#This Row],[Supply Rate]]*80%</f>
        <v>348</v>
      </c>
      <c r="I94" s="224"/>
      <c r="J94" s="224">
        <f>IF(Table5[[#This Row],[Material Qty]]=0,0,Table5[[#This Row],[Material Qty]]-Table5[[#This Row],[Cumulative]])</f>
        <v>0</v>
      </c>
      <c r="K94" s="223">
        <f>Table5[[#This Row],[Material Balance Qty]]*Table5[[#This Row],[Material @ Site Rate]]</f>
        <v>0</v>
      </c>
      <c r="L94" s="9"/>
      <c r="M94" s="9">
        <f>Table5[[#This Row],[Cumulative]]-Table5[[#This Row],[Previous Qty]]</f>
        <v>0</v>
      </c>
      <c r="N94" s="9"/>
      <c r="O94" s="9">
        <f>(Table5[[#This Row],[Supply Rate]]+Table5[[#This Row],[Install Rate]])*Table5[[#This Row],[Previous Qty]]</f>
        <v>0</v>
      </c>
      <c r="P94" s="9">
        <f>Table5[[#This Row],[Cumulative Amount]]-Table5[[#This Row],[Previous Amount]]</f>
        <v>0</v>
      </c>
      <c r="Q94" s="9">
        <f>(Table5[[#This Row],[Supply Rate]]+Table5[[#This Row],[Install Rate]])*Table5[[#This Row],[Cumulative]]</f>
        <v>0</v>
      </c>
    </row>
    <row r="95" spans="1:17" ht="29" x14ac:dyDescent="0.35">
      <c r="A95" s="6">
        <v>5</v>
      </c>
      <c r="B95" s="11" t="s">
        <v>902</v>
      </c>
      <c r="C95" s="6">
        <v>4</v>
      </c>
      <c r="D95" s="6" t="s">
        <v>364</v>
      </c>
      <c r="E95" s="9">
        <v>612</v>
      </c>
      <c r="F95" s="9">
        <v>301</v>
      </c>
      <c r="G95" s="9">
        <f>(Table5[[#This Row],[Supply Rate]]+Table5[[#This Row],[Install Rate]])*Table5[[#This Row],[Qty]]</f>
        <v>3652</v>
      </c>
      <c r="H95" s="223">
        <f>Table5[[#This Row],[Supply Rate]]*80%</f>
        <v>489.6</v>
      </c>
      <c r="I95" s="224"/>
      <c r="J95" s="224">
        <f>IF(Table5[[#This Row],[Material Qty]]=0,0,Table5[[#This Row],[Material Qty]]-Table5[[#This Row],[Cumulative]])</f>
        <v>0</v>
      </c>
      <c r="K95" s="223">
        <f>Table5[[#This Row],[Material Balance Qty]]*Table5[[#This Row],[Material @ Site Rate]]</f>
        <v>0</v>
      </c>
      <c r="L95" s="9"/>
      <c r="M95" s="9">
        <f>Table5[[#This Row],[Cumulative]]-Table5[[#This Row],[Previous Qty]]</f>
        <v>0</v>
      </c>
      <c r="N95" s="9"/>
      <c r="O95" s="9">
        <f>(Table5[[#This Row],[Supply Rate]]+Table5[[#This Row],[Install Rate]])*Table5[[#This Row],[Previous Qty]]</f>
        <v>0</v>
      </c>
      <c r="P95" s="9">
        <f>Table5[[#This Row],[Cumulative Amount]]-Table5[[#This Row],[Previous Amount]]</f>
        <v>0</v>
      </c>
      <c r="Q95" s="9">
        <f>(Table5[[#This Row],[Supply Rate]]+Table5[[#This Row],[Install Rate]])*Table5[[#This Row],[Cumulative]]</f>
        <v>0</v>
      </c>
    </row>
    <row r="96" spans="1:17" x14ac:dyDescent="0.35">
      <c r="A96" s="6">
        <v>6</v>
      </c>
      <c r="B96" s="11" t="s">
        <v>366</v>
      </c>
      <c r="C96" s="6"/>
      <c r="D96" s="6" t="s">
        <v>364</v>
      </c>
      <c r="E96" s="9"/>
      <c r="F96" s="9"/>
      <c r="G96" s="9"/>
      <c r="H96" s="223"/>
      <c r="I96" s="224"/>
      <c r="J96" s="224"/>
      <c r="K96" s="223"/>
      <c r="L96" s="9"/>
      <c r="M96" s="9"/>
      <c r="N96" s="9"/>
      <c r="O96" s="9"/>
      <c r="P96" s="9"/>
      <c r="Q96" s="9"/>
    </row>
    <row r="97" spans="1:17" ht="29" x14ac:dyDescent="0.35">
      <c r="A97" s="6">
        <v>7</v>
      </c>
      <c r="B97" s="11" t="s">
        <v>903</v>
      </c>
      <c r="C97" s="6">
        <v>5</v>
      </c>
      <c r="D97" s="6" t="s">
        <v>364</v>
      </c>
      <c r="E97" s="9">
        <v>1043</v>
      </c>
      <c r="F97" s="9">
        <v>567</v>
      </c>
      <c r="G97" s="9">
        <f>(Table5[[#This Row],[Supply Rate]]+Table5[[#This Row],[Install Rate]])*Table5[[#This Row],[Qty]]</f>
        <v>8050</v>
      </c>
      <c r="H97" s="223">
        <f>Table5[[#This Row],[Supply Rate]]*80%</f>
        <v>834.40000000000009</v>
      </c>
      <c r="I97" s="224"/>
      <c r="J97" s="224">
        <f>IF(Table5[[#This Row],[Material Qty]]=0,0,Table5[[#This Row],[Material Qty]]-Table5[[#This Row],[Cumulative]])</f>
        <v>0</v>
      </c>
      <c r="K97" s="223">
        <f>Table5[[#This Row],[Material Balance Qty]]*Table5[[#This Row],[Material @ Site Rate]]</f>
        <v>0</v>
      </c>
      <c r="L97" s="9"/>
      <c r="M97" s="9">
        <f>Table5[[#This Row],[Cumulative]]-Table5[[#This Row],[Previous Qty]]</f>
        <v>0</v>
      </c>
      <c r="N97" s="9"/>
      <c r="O97" s="9">
        <f>(Table5[[#This Row],[Supply Rate]]+Table5[[#This Row],[Install Rate]])*Table5[[#This Row],[Previous Qty]]</f>
        <v>0</v>
      </c>
      <c r="P97" s="9">
        <f>Table5[[#This Row],[Cumulative Amount]]-Table5[[#This Row],[Previous Amount]]</f>
        <v>0</v>
      </c>
      <c r="Q97" s="9">
        <f>(Table5[[#This Row],[Supply Rate]]+Table5[[#This Row],[Install Rate]])*Table5[[#This Row],[Cumulative]]</f>
        <v>0</v>
      </c>
    </row>
    <row r="98" spans="1:17" x14ac:dyDescent="0.35">
      <c r="A98" s="6">
        <v>8</v>
      </c>
      <c r="B98" s="11" t="s">
        <v>367</v>
      </c>
      <c r="C98" s="6"/>
      <c r="D98" s="6" t="s">
        <v>364</v>
      </c>
      <c r="E98" s="9"/>
      <c r="F98" s="9"/>
      <c r="G98" s="9"/>
      <c r="H98" s="223"/>
      <c r="I98" s="224"/>
      <c r="J98" s="224"/>
      <c r="K98" s="223"/>
      <c r="L98" s="9"/>
      <c r="M98" s="9"/>
      <c r="N98" s="9"/>
      <c r="O98" s="9"/>
      <c r="P98" s="9"/>
      <c r="Q98" s="9"/>
    </row>
    <row r="99" spans="1:17" ht="29" x14ac:dyDescent="0.35">
      <c r="A99" s="6">
        <v>9</v>
      </c>
      <c r="B99" s="11" t="s">
        <v>904</v>
      </c>
      <c r="C99" s="6">
        <v>2</v>
      </c>
      <c r="D99" s="6" t="s">
        <v>364</v>
      </c>
      <c r="E99" s="9">
        <v>1466</v>
      </c>
      <c r="F99" s="9">
        <v>836</v>
      </c>
      <c r="G99" s="9">
        <f>(Table5[[#This Row],[Supply Rate]]+Table5[[#This Row],[Install Rate]])*Table5[[#This Row],[Qty]]</f>
        <v>4604</v>
      </c>
      <c r="H99" s="223">
        <f>Table5[[#This Row],[Supply Rate]]*80%</f>
        <v>1172.8</v>
      </c>
      <c r="I99" s="224"/>
      <c r="J99" s="224">
        <f>IF(Table5[[#This Row],[Material Qty]]=0,0,Table5[[#This Row],[Material Qty]]-Table5[[#This Row],[Cumulative]])</f>
        <v>0</v>
      </c>
      <c r="K99" s="223">
        <f>Table5[[#This Row],[Material Balance Qty]]*Table5[[#This Row],[Material @ Site Rate]]</f>
        <v>0</v>
      </c>
      <c r="L99" s="9"/>
      <c r="M99" s="9">
        <f>Table5[[#This Row],[Cumulative]]-Table5[[#This Row],[Previous Qty]]</f>
        <v>0</v>
      </c>
      <c r="N99" s="9"/>
      <c r="O99" s="9">
        <f>(Table5[[#This Row],[Supply Rate]]+Table5[[#This Row],[Install Rate]])*Table5[[#This Row],[Previous Qty]]</f>
        <v>0</v>
      </c>
      <c r="P99" s="9">
        <f>Table5[[#This Row],[Cumulative Amount]]-Table5[[#This Row],[Previous Amount]]</f>
        <v>0</v>
      </c>
      <c r="Q99" s="9">
        <f>(Table5[[#This Row],[Supply Rate]]+Table5[[#This Row],[Install Rate]])*Table5[[#This Row],[Cumulative]]</f>
        <v>0</v>
      </c>
    </row>
    <row r="100" spans="1:17" ht="29" x14ac:dyDescent="0.35">
      <c r="A100" s="6" t="s">
        <v>329</v>
      </c>
      <c r="B100" s="11" t="s">
        <v>368</v>
      </c>
      <c r="C100" s="6"/>
      <c r="D100" s="6" t="s">
        <v>364</v>
      </c>
      <c r="E100" s="9"/>
      <c r="F100" s="9"/>
      <c r="G100" s="9"/>
      <c r="H100" s="223"/>
      <c r="I100" s="224"/>
      <c r="J100" s="224"/>
      <c r="K100" s="223"/>
      <c r="L100" s="9"/>
      <c r="M100" s="9"/>
      <c r="N100" s="9"/>
      <c r="O100" s="9"/>
      <c r="P100" s="9"/>
      <c r="Q100" s="9"/>
    </row>
    <row r="101" spans="1:17" x14ac:dyDescent="0.35">
      <c r="A101" s="6">
        <v>1</v>
      </c>
      <c r="B101" s="11" t="s">
        <v>369</v>
      </c>
      <c r="C101" s="6"/>
      <c r="D101" s="6" t="s">
        <v>364</v>
      </c>
      <c r="E101" s="9"/>
      <c r="F101" s="9"/>
      <c r="G101" s="9"/>
      <c r="H101" s="223"/>
      <c r="I101" s="224"/>
      <c r="J101" s="224"/>
      <c r="K101" s="223"/>
      <c r="L101" s="9"/>
      <c r="M101" s="9"/>
      <c r="N101" s="9"/>
      <c r="O101" s="9"/>
      <c r="P101" s="9"/>
      <c r="Q101" s="9"/>
    </row>
    <row r="102" spans="1:17" x14ac:dyDescent="0.35">
      <c r="A102" s="6">
        <v>2</v>
      </c>
      <c r="B102" s="11" t="s">
        <v>370</v>
      </c>
      <c r="C102" s="6"/>
      <c r="D102" s="6" t="s">
        <v>364</v>
      </c>
      <c r="E102" s="9"/>
      <c r="F102" s="9"/>
      <c r="G102" s="9"/>
      <c r="H102" s="223"/>
      <c r="I102" s="224"/>
      <c r="J102" s="224"/>
      <c r="K102" s="223"/>
      <c r="L102" s="9"/>
      <c r="M102" s="9"/>
      <c r="N102" s="9"/>
      <c r="O102" s="9"/>
      <c r="P102" s="9"/>
      <c r="Q102" s="9"/>
    </row>
    <row r="103" spans="1:17" x14ac:dyDescent="0.35">
      <c r="A103" s="6">
        <v>3</v>
      </c>
      <c r="B103" s="11" t="s">
        <v>371</v>
      </c>
      <c r="C103" s="6"/>
      <c r="D103" s="6" t="s">
        <v>364</v>
      </c>
      <c r="E103" s="9"/>
      <c r="F103" s="9"/>
      <c r="G103" s="9"/>
      <c r="H103" s="223"/>
      <c r="I103" s="224"/>
      <c r="J103" s="224"/>
      <c r="K103" s="223"/>
      <c r="L103" s="9"/>
      <c r="M103" s="9"/>
      <c r="N103" s="9"/>
      <c r="O103" s="9"/>
      <c r="P103" s="9"/>
      <c r="Q103" s="9"/>
    </row>
    <row r="104" spans="1:17" ht="29" x14ac:dyDescent="0.35">
      <c r="A104" s="6">
        <v>4</v>
      </c>
      <c r="B104" s="11" t="s">
        <v>905</v>
      </c>
      <c r="C104" s="6">
        <v>2</v>
      </c>
      <c r="D104" s="6" t="s">
        <v>364</v>
      </c>
      <c r="E104" s="9">
        <v>411</v>
      </c>
      <c r="F104" s="9">
        <v>180</v>
      </c>
      <c r="G104" s="9">
        <f>(Table5[[#This Row],[Supply Rate]]+Table5[[#This Row],[Install Rate]])*Table5[[#This Row],[Qty]]</f>
        <v>1182</v>
      </c>
      <c r="H104" s="223">
        <f>Table5[[#This Row],[Supply Rate]]*80%</f>
        <v>328.8</v>
      </c>
      <c r="I104" s="224"/>
      <c r="J104" s="224">
        <f>IF(Table5[[#This Row],[Material Qty]]=0,0,Table5[[#This Row],[Material Qty]]-Table5[[#This Row],[Cumulative]])</f>
        <v>0</v>
      </c>
      <c r="K104" s="223">
        <f>Table5[[#This Row],[Material Balance Qty]]*Table5[[#This Row],[Material @ Site Rate]]</f>
        <v>0</v>
      </c>
      <c r="L104" s="9"/>
      <c r="M104" s="9">
        <f>Table5[[#This Row],[Cumulative]]-Table5[[#This Row],[Previous Qty]]</f>
        <v>0</v>
      </c>
      <c r="N104" s="9"/>
      <c r="O104" s="9">
        <f>(Table5[[#This Row],[Supply Rate]]+Table5[[#This Row],[Install Rate]])*Table5[[#This Row],[Previous Qty]]</f>
        <v>0</v>
      </c>
      <c r="P104" s="9">
        <f>Table5[[#This Row],[Cumulative Amount]]-Table5[[#This Row],[Previous Amount]]</f>
        <v>0</v>
      </c>
      <c r="Q104" s="9">
        <f>(Table5[[#This Row],[Supply Rate]]+Table5[[#This Row],[Install Rate]])*Table5[[#This Row],[Cumulative]]</f>
        <v>0</v>
      </c>
    </row>
    <row r="105" spans="1:17" x14ac:dyDescent="0.35">
      <c r="A105" s="6">
        <v>5</v>
      </c>
      <c r="B105" s="11" t="s">
        <v>372</v>
      </c>
      <c r="C105" s="6"/>
      <c r="D105" s="6" t="s">
        <v>364</v>
      </c>
      <c r="E105" s="9"/>
      <c r="F105" s="9"/>
      <c r="G105" s="9"/>
      <c r="H105" s="223"/>
      <c r="I105" s="224"/>
      <c r="J105" s="224"/>
      <c r="K105" s="223"/>
      <c r="L105" s="9"/>
      <c r="M105" s="9"/>
      <c r="N105" s="9"/>
      <c r="O105" s="9"/>
      <c r="P105" s="9"/>
      <c r="Q105" s="9"/>
    </row>
    <row r="106" spans="1:17" ht="58" x14ac:dyDescent="0.35">
      <c r="A106" s="6"/>
      <c r="B106" s="11" t="s">
        <v>348</v>
      </c>
      <c r="C106" s="6"/>
      <c r="D106" s="6" t="s">
        <v>364</v>
      </c>
      <c r="E106" s="9"/>
      <c r="F106" s="9"/>
      <c r="G106" s="9"/>
      <c r="H106" s="223"/>
      <c r="I106" s="224"/>
      <c r="J106" s="224"/>
      <c r="K106" s="223"/>
      <c r="L106" s="9"/>
      <c r="M106" s="9"/>
      <c r="N106" s="9"/>
      <c r="O106" s="9"/>
      <c r="P106" s="9"/>
      <c r="Q106" s="9"/>
    </row>
    <row r="107" spans="1:17" ht="29" x14ac:dyDescent="0.35">
      <c r="A107" s="6"/>
      <c r="B107" s="11" t="s">
        <v>350</v>
      </c>
      <c r="C107" s="6"/>
      <c r="D107" s="6" t="s">
        <v>364</v>
      </c>
      <c r="E107" s="9"/>
      <c r="F107" s="9"/>
      <c r="G107" s="9"/>
      <c r="H107" s="223"/>
      <c r="I107" s="224"/>
      <c r="J107" s="224"/>
      <c r="K107" s="223"/>
      <c r="L107" s="9"/>
      <c r="M107" s="9"/>
      <c r="N107" s="9"/>
      <c r="O107" s="9"/>
      <c r="P107" s="9"/>
      <c r="Q107" s="9"/>
    </row>
    <row r="108" spans="1:17" x14ac:dyDescent="0.35">
      <c r="A108" s="6" t="s">
        <v>297</v>
      </c>
      <c r="B108" s="11" t="s">
        <v>361</v>
      </c>
      <c r="C108" s="6"/>
      <c r="D108" s="6" t="s">
        <v>364</v>
      </c>
      <c r="E108" s="9"/>
      <c r="F108" s="9"/>
      <c r="G108" s="9"/>
      <c r="H108" s="223"/>
      <c r="I108" s="224"/>
      <c r="J108" s="224"/>
      <c r="K108" s="223"/>
      <c r="L108" s="9"/>
      <c r="M108" s="9"/>
      <c r="N108" s="9"/>
      <c r="O108" s="9"/>
      <c r="P108" s="9"/>
      <c r="Q108" s="9"/>
    </row>
    <row r="109" spans="1:17" ht="29" x14ac:dyDescent="0.35">
      <c r="A109" s="6"/>
      <c r="B109" s="11" t="s">
        <v>373</v>
      </c>
      <c r="C109" s="6"/>
      <c r="D109" s="6" t="s">
        <v>364</v>
      </c>
      <c r="E109" s="9"/>
      <c r="F109" s="9"/>
      <c r="G109" s="9"/>
      <c r="H109" s="223"/>
      <c r="I109" s="224"/>
      <c r="J109" s="224"/>
      <c r="K109" s="223"/>
      <c r="L109" s="9"/>
      <c r="M109" s="9"/>
      <c r="N109" s="9"/>
      <c r="O109" s="9"/>
      <c r="P109" s="9"/>
      <c r="Q109" s="9"/>
    </row>
    <row r="110" spans="1:17" x14ac:dyDescent="0.35">
      <c r="A110" s="6" t="s">
        <v>300</v>
      </c>
      <c r="B110" s="11" t="s">
        <v>906</v>
      </c>
      <c r="C110" s="6"/>
      <c r="D110" s="6" t="s">
        <v>364</v>
      </c>
      <c r="E110" s="9"/>
      <c r="F110" s="9"/>
      <c r="G110" s="9"/>
      <c r="H110" s="223"/>
      <c r="I110" s="224"/>
      <c r="J110" s="224"/>
      <c r="K110" s="223"/>
      <c r="L110" s="9"/>
      <c r="M110" s="9"/>
      <c r="N110" s="9"/>
      <c r="O110" s="9"/>
      <c r="P110" s="9"/>
      <c r="Q110" s="9"/>
    </row>
    <row r="111" spans="1:17" ht="29" x14ac:dyDescent="0.35">
      <c r="A111" s="6" t="s">
        <v>303</v>
      </c>
      <c r="B111" s="11" t="s">
        <v>374</v>
      </c>
      <c r="C111" s="6"/>
      <c r="D111" s="6" t="s">
        <v>364</v>
      </c>
      <c r="E111" s="9"/>
      <c r="F111" s="9"/>
      <c r="G111" s="9"/>
      <c r="H111" s="223"/>
      <c r="I111" s="224"/>
      <c r="J111" s="224"/>
      <c r="K111" s="223"/>
      <c r="L111" s="9"/>
      <c r="M111" s="9"/>
      <c r="N111" s="9"/>
      <c r="O111" s="9"/>
      <c r="P111" s="9"/>
      <c r="Q111" s="9"/>
    </row>
    <row r="112" spans="1:17" x14ac:dyDescent="0.35">
      <c r="A112" s="6">
        <v>1</v>
      </c>
      <c r="B112" s="11" t="s">
        <v>907</v>
      </c>
      <c r="C112" s="6"/>
      <c r="D112" s="6" t="s">
        <v>364</v>
      </c>
      <c r="E112" s="9"/>
      <c r="F112" s="9"/>
      <c r="G112" s="9"/>
      <c r="H112" s="223"/>
      <c r="I112" s="224"/>
      <c r="J112" s="224"/>
      <c r="K112" s="223"/>
      <c r="L112" s="9"/>
      <c r="M112" s="9"/>
      <c r="N112" s="9"/>
      <c r="O112" s="9"/>
      <c r="P112" s="9"/>
      <c r="Q112" s="9"/>
    </row>
    <row r="113" spans="1:17" x14ac:dyDescent="0.35">
      <c r="A113" s="6">
        <v>2</v>
      </c>
      <c r="B113" s="11" t="s">
        <v>908</v>
      </c>
      <c r="C113" s="6"/>
      <c r="D113" s="6" t="s">
        <v>364</v>
      </c>
      <c r="E113" s="9"/>
      <c r="F113" s="9"/>
      <c r="G113" s="9"/>
      <c r="H113" s="223"/>
      <c r="I113" s="224"/>
      <c r="J113" s="224"/>
      <c r="K113" s="223"/>
      <c r="L113" s="9"/>
      <c r="M113" s="9"/>
      <c r="N113" s="9"/>
      <c r="O113" s="9"/>
      <c r="P113" s="9"/>
      <c r="Q113" s="9"/>
    </row>
    <row r="114" spans="1:17" x14ac:dyDescent="0.35">
      <c r="A114" s="6">
        <v>3</v>
      </c>
      <c r="B114" s="11" t="s">
        <v>909</v>
      </c>
      <c r="C114" s="6"/>
      <c r="D114" s="6" t="s">
        <v>364</v>
      </c>
      <c r="E114" s="9"/>
      <c r="F114" s="9"/>
      <c r="G114" s="9"/>
      <c r="H114" s="223"/>
      <c r="I114" s="224"/>
      <c r="J114" s="224"/>
      <c r="K114" s="223"/>
      <c r="L114" s="9"/>
      <c r="M114" s="9"/>
      <c r="N114" s="9"/>
      <c r="O114" s="9"/>
      <c r="P114" s="9"/>
      <c r="Q114" s="9"/>
    </row>
    <row r="115" spans="1:17" ht="29" x14ac:dyDescent="0.35">
      <c r="A115" s="6"/>
      <c r="B115" s="11" t="s">
        <v>375</v>
      </c>
      <c r="C115" s="6"/>
      <c r="D115" s="6" t="s">
        <v>364</v>
      </c>
      <c r="E115" s="9"/>
      <c r="F115" s="9"/>
      <c r="G115" s="9"/>
      <c r="H115" s="223"/>
      <c r="I115" s="224"/>
      <c r="J115" s="224"/>
      <c r="K115" s="223"/>
      <c r="L115" s="9"/>
      <c r="M115" s="9"/>
      <c r="N115" s="9"/>
      <c r="O115" s="9"/>
      <c r="P115" s="9"/>
      <c r="Q115" s="9"/>
    </row>
    <row r="116" spans="1:17" x14ac:dyDescent="0.35">
      <c r="A116" s="6" t="s">
        <v>325</v>
      </c>
      <c r="B116" s="11" t="s">
        <v>356</v>
      </c>
      <c r="C116" s="6"/>
      <c r="D116" s="6" t="s">
        <v>364</v>
      </c>
      <c r="E116" s="9"/>
      <c r="F116" s="9"/>
      <c r="G116" s="9"/>
      <c r="H116" s="223"/>
      <c r="I116" s="224"/>
      <c r="J116" s="224"/>
      <c r="K116" s="223"/>
      <c r="L116" s="9"/>
      <c r="M116" s="9"/>
      <c r="N116" s="9"/>
      <c r="O116" s="9"/>
      <c r="P116" s="9"/>
      <c r="Q116" s="9"/>
    </row>
    <row r="117" spans="1:17" x14ac:dyDescent="0.35">
      <c r="A117" s="6"/>
      <c r="B117" s="11" t="s">
        <v>351</v>
      </c>
      <c r="C117" s="6"/>
      <c r="D117" s="6" t="s">
        <v>364</v>
      </c>
      <c r="E117" s="9"/>
      <c r="F117" s="9"/>
      <c r="G117" s="9"/>
      <c r="H117" s="223"/>
      <c r="I117" s="224"/>
      <c r="J117" s="224"/>
      <c r="K117" s="223"/>
      <c r="L117" s="9"/>
      <c r="M117" s="9"/>
      <c r="N117" s="9"/>
      <c r="O117" s="9"/>
      <c r="P117" s="9"/>
      <c r="Q117" s="9"/>
    </row>
    <row r="118" spans="1:17" ht="87" x14ac:dyDescent="0.35">
      <c r="A118" s="6" t="s">
        <v>297</v>
      </c>
      <c r="B118" s="11" t="s">
        <v>352</v>
      </c>
      <c r="C118" s="6"/>
      <c r="D118" s="6" t="s">
        <v>364</v>
      </c>
      <c r="E118" s="9"/>
      <c r="F118" s="9"/>
      <c r="G118" s="9"/>
      <c r="H118" s="223"/>
      <c r="I118" s="224"/>
      <c r="J118" s="224"/>
      <c r="K118" s="223"/>
      <c r="L118" s="9"/>
      <c r="M118" s="9"/>
      <c r="N118" s="9"/>
      <c r="O118" s="9"/>
      <c r="P118" s="9"/>
      <c r="Q118" s="9"/>
    </row>
    <row r="119" spans="1:17" ht="43.5" x14ac:dyDescent="0.35">
      <c r="A119" s="6">
        <v>1</v>
      </c>
      <c r="B119" s="11" t="s">
        <v>376</v>
      </c>
      <c r="C119" s="6">
        <v>6.21</v>
      </c>
      <c r="D119" s="6" t="s">
        <v>10</v>
      </c>
      <c r="E119" s="9">
        <v>46</v>
      </c>
      <c r="F119" s="9">
        <v>23</v>
      </c>
      <c r="G119" s="9">
        <f>(Table5[[#This Row],[Supply Rate]]+Table5[[#This Row],[Install Rate]])*Table5[[#This Row],[Qty]]</f>
        <v>428.49</v>
      </c>
      <c r="H119" s="223">
        <f>Table5[[#This Row],[Supply Rate]]*80%</f>
        <v>36.800000000000004</v>
      </c>
      <c r="I119" s="224"/>
      <c r="J119" s="224">
        <f>IF(Table5[[#This Row],[Material Qty]]=0,0,Table5[[#This Row],[Material Qty]]-Table5[[#This Row],[Cumulative]])</f>
        <v>0</v>
      </c>
      <c r="K119" s="223">
        <f>Table5[[#This Row],[Material Balance Qty]]*Table5[[#This Row],[Material @ Site Rate]]</f>
        <v>0</v>
      </c>
      <c r="L119" s="9"/>
      <c r="M119" s="9">
        <f>Table5[[#This Row],[Cumulative]]-Table5[[#This Row],[Previous Qty]]</f>
        <v>0</v>
      </c>
      <c r="N119" s="9"/>
      <c r="O119" s="9">
        <f>(Table5[[#This Row],[Supply Rate]]+Table5[[#This Row],[Install Rate]])*Table5[[#This Row],[Previous Qty]]</f>
        <v>0</v>
      </c>
      <c r="P119" s="9">
        <f>Table5[[#This Row],[Cumulative Amount]]-Table5[[#This Row],[Previous Amount]]</f>
        <v>0</v>
      </c>
      <c r="Q119" s="9">
        <f>(Table5[[#This Row],[Supply Rate]]+Table5[[#This Row],[Install Rate]])*Table5[[#This Row],[Cumulative]]</f>
        <v>0</v>
      </c>
    </row>
    <row r="120" spans="1:17" ht="29" x14ac:dyDescent="0.35">
      <c r="A120" s="6">
        <v>2</v>
      </c>
      <c r="B120" s="11" t="s">
        <v>377</v>
      </c>
      <c r="C120" s="6">
        <v>22.04</v>
      </c>
      <c r="D120" s="6" t="s">
        <v>10</v>
      </c>
      <c r="E120" s="9">
        <v>129</v>
      </c>
      <c r="F120" s="9">
        <v>25</v>
      </c>
      <c r="G120" s="9">
        <f>(Table5[[#This Row],[Supply Rate]]+Table5[[#This Row],[Install Rate]])*Table5[[#This Row],[Qty]]</f>
        <v>3394.16</v>
      </c>
      <c r="H120" s="223">
        <f>Table5[[#This Row],[Supply Rate]]*80%</f>
        <v>103.2</v>
      </c>
      <c r="I120" s="224"/>
      <c r="J120" s="224">
        <f>IF(Table5[[#This Row],[Material Qty]]=0,0,Table5[[#This Row],[Material Qty]]-Table5[[#This Row],[Cumulative]])</f>
        <v>0</v>
      </c>
      <c r="K120" s="223">
        <f>Table5[[#This Row],[Material Balance Qty]]*Table5[[#This Row],[Material @ Site Rate]]</f>
        <v>0</v>
      </c>
      <c r="L120" s="9"/>
      <c r="M120" s="9">
        <f>Table5[[#This Row],[Cumulative]]-Table5[[#This Row],[Previous Qty]]</f>
        <v>0</v>
      </c>
      <c r="N120" s="9"/>
      <c r="O120" s="9">
        <f>(Table5[[#This Row],[Supply Rate]]+Table5[[#This Row],[Install Rate]])*Table5[[#This Row],[Previous Qty]]</f>
        <v>0</v>
      </c>
      <c r="P120" s="9">
        <f>Table5[[#This Row],[Cumulative Amount]]-Table5[[#This Row],[Previous Amount]]</f>
        <v>0</v>
      </c>
      <c r="Q120" s="9">
        <f>(Table5[[#This Row],[Supply Rate]]+Table5[[#This Row],[Install Rate]])*Table5[[#This Row],[Cumulative]]</f>
        <v>0</v>
      </c>
    </row>
    <row r="121" spans="1:17" ht="43.5" x14ac:dyDescent="0.35">
      <c r="A121" s="6">
        <v>3</v>
      </c>
      <c r="B121" s="11" t="s">
        <v>378</v>
      </c>
      <c r="C121" s="6">
        <v>15.429</v>
      </c>
      <c r="D121" s="6" t="s">
        <v>10</v>
      </c>
      <c r="E121" s="9">
        <v>75</v>
      </c>
      <c r="F121" s="9">
        <v>25</v>
      </c>
      <c r="G121" s="9">
        <f>(Table5[[#This Row],[Supply Rate]]+Table5[[#This Row],[Install Rate]])*Table5[[#This Row],[Qty]]</f>
        <v>1542.9</v>
      </c>
      <c r="H121" s="223">
        <f>Table5[[#This Row],[Supply Rate]]*80%</f>
        <v>60</v>
      </c>
      <c r="I121" s="224"/>
      <c r="J121" s="224">
        <f>IF(Table5[[#This Row],[Material Qty]]=0,0,Table5[[#This Row],[Material Qty]]-Table5[[#This Row],[Cumulative]])</f>
        <v>0</v>
      </c>
      <c r="K121" s="223">
        <f>Table5[[#This Row],[Material Balance Qty]]*Table5[[#This Row],[Material @ Site Rate]]</f>
        <v>0</v>
      </c>
      <c r="L121" s="9"/>
      <c r="M121" s="9">
        <f>Table5[[#This Row],[Cumulative]]-Table5[[#This Row],[Previous Qty]]</f>
        <v>0</v>
      </c>
      <c r="N121" s="9"/>
      <c r="O121" s="9">
        <f>(Table5[[#This Row],[Supply Rate]]+Table5[[#This Row],[Install Rate]])*Table5[[#This Row],[Previous Qty]]</f>
        <v>0</v>
      </c>
      <c r="P121" s="9">
        <f>Table5[[#This Row],[Cumulative Amount]]-Table5[[#This Row],[Previous Amount]]</f>
        <v>0</v>
      </c>
      <c r="Q121" s="9">
        <f>(Table5[[#This Row],[Supply Rate]]+Table5[[#This Row],[Install Rate]])*Table5[[#This Row],[Cumulative]]</f>
        <v>0</v>
      </c>
    </row>
    <row r="122" spans="1:17" ht="29" x14ac:dyDescent="0.35">
      <c r="A122" s="6">
        <v>4</v>
      </c>
      <c r="B122" s="11" t="s">
        <v>379</v>
      </c>
      <c r="C122" s="6">
        <v>24.97</v>
      </c>
      <c r="D122" s="6" t="s">
        <v>10</v>
      </c>
      <c r="E122" s="9">
        <v>52</v>
      </c>
      <c r="F122" s="9">
        <v>23</v>
      </c>
      <c r="G122" s="9">
        <f>(Table5[[#This Row],[Supply Rate]]+Table5[[#This Row],[Install Rate]])*Table5[[#This Row],[Qty]]</f>
        <v>1872.75</v>
      </c>
      <c r="H122" s="223">
        <f>Table5[[#This Row],[Supply Rate]]*80%</f>
        <v>41.6</v>
      </c>
      <c r="I122" s="224"/>
      <c r="J122" s="224">
        <f>IF(Table5[[#This Row],[Material Qty]]=0,0,Table5[[#This Row],[Material Qty]]-Table5[[#This Row],[Cumulative]])</f>
        <v>0</v>
      </c>
      <c r="K122" s="223">
        <f>Table5[[#This Row],[Material Balance Qty]]*Table5[[#This Row],[Material @ Site Rate]]</f>
        <v>0</v>
      </c>
      <c r="L122" s="9"/>
      <c r="M122" s="9">
        <f>Table5[[#This Row],[Cumulative]]-Table5[[#This Row],[Previous Qty]]</f>
        <v>0</v>
      </c>
      <c r="N122" s="9"/>
      <c r="O122" s="9">
        <f>(Table5[[#This Row],[Supply Rate]]+Table5[[#This Row],[Install Rate]])*Table5[[#This Row],[Previous Qty]]</f>
        <v>0</v>
      </c>
      <c r="P122" s="9">
        <f>Table5[[#This Row],[Cumulative Amount]]-Table5[[#This Row],[Previous Amount]]</f>
        <v>0</v>
      </c>
      <c r="Q122" s="9">
        <f>(Table5[[#This Row],[Supply Rate]]+Table5[[#This Row],[Install Rate]])*Table5[[#This Row],[Cumulative]]</f>
        <v>0</v>
      </c>
    </row>
    <row r="123" spans="1:17" x14ac:dyDescent="0.35">
      <c r="A123" s="6"/>
      <c r="B123" s="11" t="s">
        <v>380</v>
      </c>
      <c r="C123" s="6"/>
      <c r="D123" s="6"/>
      <c r="E123" s="9"/>
      <c r="F123" s="9"/>
      <c r="G123" s="9"/>
      <c r="H123" s="223"/>
      <c r="I123" s="224"/>
      <c r="J123" s="224"/>
      <c r="K123" s="223"/>
      <c r="L123" s="9"/>
      <c r="M123" s="9"/>
      <c r="N123" s="9"/>
      <c r="O123" s="9"/>
      <c r="P123" s="9"/>
      <c r="Q123" s="9"/>
    </row>
    <row r="124" spans="1:17" ht="29" x14ac:dyDescent="0.35">
      <c r="A124" s="6">
        <v>1</v>
      </c>
      <c r="B124" s="11" t="s">
        <v>381</v>
      </c>
      <c r="C124" s="6"/>
      <c r="D124" s="6"/>
      <c r="E124" s="9"/>
      <c r="F124" s="9"/>
      <c r="G124" s="9"/>
      <c r="H124" s="223"/>
      <c r="I124" s="224"/>
      <c r="J124" s="224"/>
      <c r="K124" s="223"/>
      <c r="L124" s="9"/>
      <c r="M124" s="9"/>
      <c r="N124" s="9"/>
      <c r="O124" s="9"/>
      <c r="P124" s="9"/>
      <c r="Q124" s="9"/>
    </row>
    <row r="125" spans="1:17" x14ac:dyDescent="0.35">
      <c r="A125" s="6"/>
      <c r="B125" s="11" t="s">
        <v>382</v>
      </c>
      <c r="C125" s="6">
        <v>31.04</v>
      </c>
      <c r="D125" s="6" t="s">
        <v>17</v>
      </c>
      <c r="E125" s="9">
        <v>462</v>
      </c>
      <c r="F125" s="9">
        <v>223</v>
      </c>
      <c r="G125" s="9">
        <f>(Table5[[#This Row],[Supply Rate]]+Table5[[#This Row],[Install Rate]])*Table5[[#This Row],[Qty]]</f>
        <v>21262.399999999998</v>
      </c>
      <c r="H125" s="223">
        <f>Table5[[#This Row],[Supply Rate]]*80%</f>
        <v>369.6</v>
      </c>
      <c r="I125" s="224"/>
      <c r="J125" s="224">
        <f>IF(Table5[[#This Row],[Material Qty]]=0,0,Table5[[#This Row],[Material Qty]]-Table5[[#This Row],[Cumulative]])</f>
        <v>0</v>
      </c>
      <c r="K125" s="223">
        <f>Table5[[#This Row],[Material Balance Qty]]*Table5[[#This Row],[Material @ Site Rate]]</f>
        <v>0</v>
      </c>
      <c r="L125" s="9"/>
      <c r="M125" s="9">
        <f>Table5[[#This Row],[Cumulative]]-Table5[[#This Row],[Previous Qty]]</f>
        <v>0</v>
      </c>
      <c r="N125" s="9"/>
      <c r="O125" s="9">
        <f>(Table5[[#This Row],[Supply Rate]]+Table5[[#This Row],[Install Rate]])*Table5[[#This Row],[Previous Qty]]</f>
        <v>0</v>
      </c>
      <c r="P125" s="9">
        <f>Table5[[#This Row],[Cumulative Amount]]-Table5[[#This Row],[Previous Amount]]</f>
        <v>0</v>
      </c>
      <c r="Q125" s="9">
        <f>(Table5[[#This Row],[Supply Rate]]+Table5[[#This Row],[Install Rate]])*Table5[[#This Row],[Cumulative]]</f>
        <v>0</v>
      </c>
    </row>
    <row r="126" spans="1:17" x14ac:dyDescent="0.35">
      <c r="A126" s="6"/>
      <c r="B126" s="11" t="s">
        <v>383</v>
      </c>
      <c r="C126" s="6">
        <v>1.34</v>
      </c>
      <c r="D126" s="6" t="s">
        <v>17</v>
      </c>
      <c r="E126" s="9">
        <v>462</v>
      </c>
      <c r="F126" s="9">
        <v>223</v>
      </c>
      <c r="G126" s="9">
        <f>(Table5[[#This Row],[Supply Rate]]+Table5[[#This Row],[Install Rate]])*Table5[[#This Row],[Qty]]</f>
        <v>917.90000000000009</v>
      </c>
      <c r="H126" s="223">
        <f>Table5[[#This Row],[Supply Rate]]*80%</f>
        <v>369.6</v>
      </c>
      <c r="I126" s="224"/>
      <c r="J126" s="224">
        <f>IF(Table5[[#This Row],[Material Qty]]=0,0,Table5[[#This Row],[Material Qty]]-Table5[[#This Row],[Cumulative]])</f>
        <v>0</v>
      </c>
      <c r="K126" s="223">
        <f>Table5[[#This Row],[Material Balance Qty]]*Table5[[#This Row],[Material @ Site Rate]]</f>
        <v>0</v>
      </c>
      <c r="L126" s="9"/>
      <c r="M126" s="9">
        <f>Table5[[#This Row],[Cumulative]]-Table5[[#This Row],[Previous Qty]]</f>
        <v>0</v>
      </c>
      <c r="N126" s="9"/>
      <c r="O126" s="9">
        <f>(Table5[[#This Row],[Supply Rate]]+Table5[[#This Row],[Install Rate]])*Table5[[#This Row],[Previous Qty]]</f>
        <v>0</v>
      </c>
      <c r="P126" s="9">
        <f>Table5[[#This Row],[Cumulative Amount]]-Table5[[#This Row],[Previous Amount]]</f>
        <v>0</v>
      </c>
      <c r="Q126" s="9">
        <f>(Table5[[#This Row],[Supply Rate]]+Table5[[#This Row],[Install Rate]])*Table5[[#This Row],[Cumulative]]</f>
        <v>0</v>
      </c>
    </row>
    <row r="127" spans="1:17" x14ac:dyDescent="0.35">
      <c r="A127" s="6"/>
      <c r="B127" s="11" t="s">
        <v>384</v>
      </c>
      <c r="C127" s="6">
        <v>0.69</v>
      </c>
      <c r="D127" s="6" t="s">
        <v>17</v>
      </c>
      <c r="E127" s="9">
        <v>462</v>
      </c>
      <c r="F127" s="9">
        <v>223</v>
      </c>
      <c r="G127" s="9">
        <f>(Table5[[#This Row],[Supply Rate]]+Table5[[#This Row],[Install Rate]])*Table5[[#This Row],[Qty]]</f>
        <v>472.65</v>
      </c>
      <c r="H127" s="223">
        <f>Table5[[#This Row],[Supply Rate]]*80%</f>
        <v>369.6</v>
      </c>
      <c r="I127" s="224"/>
      <c r="J127" s="224">
        <f>IF(Table5[[#This Row],[Material Qty]]=0,0,Table5[[#This Row],[Material Qty]]-Table5[[#This Row],[Cumulative]])</f>
        <v>0</v>
      </c>
      <c r="K127" s="223">
        <f>Table5[[#This Row],[Material Balance Qty]]*Table5[[#This Row],[Material @ Site Rate]]</f>
        <v>0</v>
      </c>
      <c r="L127" s="9"/>
      <c r="M127" s="9">
        <f>Table5[[#This Row],[Cumulative]]-Table5[[#This Row],[Previous Qty]]</f>
        <v>0</v>
      </c>
      <c r="N127" s="9"/>
      <c r="O127" s="9">
        <f>(Table5[[#This Row],[Supply Rate]]+Table5[[#This Row],[Install Rate]])*Table5[[#This Row],[Previous Qty]]</f>
        <v>0</v>
      </c>
      <c r="P127" s="9">
        <f>Table5[[#This Row],[Cumulative Amount]]-Table5[[#This Row],[Previous Amount]]</f>
        <v>0</v>
      </c>
      <c r="Q127" s="9">
        <f>(Table5[[#This Row],[Supply Rate]]+Table5[[#This Row],[Install Rate]])*Table5[[#This Row],[Cumulative]]</f>
        <v>0</v>
      </c>
    </row>
    <row r="128" spans="1:17" ht="43.5" x14ac:dyDescent="0.35">
      <c r="A128" s="6">
        <v>2</v>
      </c>
      <c r="B128" s="11" t="s">
        <v>385</v>
      </c>
      <c r="C128" s="6">
        <v>1</v>
      </c>
      <c r="D128" s="6" t="s">
        <v>364</v>
      </c>
      <c r="E128" s="9">
        <v>1107</v>
      </c>
      <c r="F128" s="9">
        <v>578</v>
      </c>
      <c r="G128" s="9">
        <f>(Table5[[#This Row],[Supply Rate]]+Table5[[#This Row],[Install Rate]])*Table5[[#This Row],[Qty]]</f>
        <v>1685</v>
      </c>
      <c r="H128" s="223">
        <f>Table5[[#This Row],[Supply Rate]]*80%</f>
        <v>885.6</v>
      </c>
      <c r="I128" s="224"/>
      <c r="J128" s="224">
        <f>IF(Table5[[#This Row],[Material Qty]]=0,0,Table5[[#This Row],[Material Qty]]-Table5[[#This Row],[Cumulative]])</f>
        <v>0</v>
      </c>
      <c r="K128" s="223">
        <f>Table5[[#This Row],[Material Balance Qty]]*Table5[[#This Row],[Material @ Site Rate]]</f>
        <v>0</v>
      </c>
      <c r="L128" s="9"/>
      <c r="M128" s="9">
        <f>Table5[[#This Row],[Cumulative]]-Table5[[#This Row],[Previous Qty]]</f>
        <v>0</v>
      </c>
      <c r="N128" s="9"/>
      <c r="O128" s="9">
        <f>(Table5[[#This Row],[Supply Rate]]+Table5[[#This Row],[Install Rate]])*Table5[[#This Row],[Previous Qty]]</f>
        <v>0</v>
      </c>
      <c r="P128" s="9">
        <f>Table5[[#This Row],[Cumulative Amount]]-Table5[[#This Row],[Previous Amount]]</f>
        <v>0</v>
      </c>
      <c r="Q128" s="9">
        <f>(Table5[[#This Row],[Supply Rate]]+Table5[[#This Row],[Install Rate]])*Table5[[#This Row],[Cumulative]]</f>
        <v>0</v>
      </c>
    </row>
    <row r="129" spans="1:18" ht="29" x14ac:dyDescent="0.35">
      <c r="A129" s="6">
        <v>3</v>
      </c>
      <c r="B129" s="11" t="s">
        <v>386</v>
      </c>
      <c r="C129" s="6"/>
      <c r="D129" s="6"/>
      <c r="E129" s="9"/>
      <c r="F129" s="9"/>
      <c r="G129" s="9"/>
      <c r="H129" s="223"/>
      <c r="I129" s="224"/>
      <c r="J129" s="224"/>
      <c r="K129" s="223"/>
      <c r="L129" s="9"/>
      <c r="M129" s="9"/>
      <c r="N129" s="9"/>
      <c r="O129" s="9"/>
      <c r="P129" s="9"/>
      <c r="Q129" s="9"/>
    </row>
    <row r="130" spans="1:18" x14ac:dyDescent="0.35">
      <c r="A130" s="6"/>
      <c r="B130" s="11" t="s">
        <v>387</v>
      </c>
      <c r="C130" s="6">
        <v>4</v>
      </c>
      <c r="D130" s="6" t="s">
        <v>364</v>
      </c>
      <c r="E130" s="9">
        <v>596</v>
      </c>
      <c r="F130" s="9">
        <v>289</v>
      </c>
      <c r="G130" s="9">
        <f>(Table5[[#This Row],[Supply Rate]]+Table5[[#This Row],[Install Rate]])*Table5[[#This Row],[Qty]]</f>
        <v>3540</v>
      </c>
      <c r="H130" s="223">
        <f>Table5[[#This Row],[Supply Rate]]*80%</f>
        <v>476.8</v>
      </c>
      <c r="I130" s="224"/>
      <c r="J130" s="224">
        <f>IF(Table5[[#This Row],[Material Qty]]=0,0,Table5[[#This Row],[Material Qty]]-Table5[[#This Row],[Cumulative]])</f>
        <v>0</v>
      </c>
      <c r="K130" s="223">
        <f>Table5[[#This Row],[Material Balance Qty]]*Table5[[#This Row],[Material @ Site Rate]]</f>
        <v>0</v>
      </c>
      <c r="L130" s="9"/>
      <c r="M130" s="9">
        <f>Table5[[#This Row],[Cumulative]]-Table5[[#This Row],[Previous Qty]]</f>
        <v>0</v>
      </c>
      <c r="N130" s="9"/>
      <c r="O130" s="9">
        <f>(Table5[[#This Row],[Supply Rate]]+Table5[[#This Row],[Install Rate]])*Table5[[#This Row],[Previous Qty]]</f>
        <v>0</v>
      </c>
      <c r="P130" s="9">
        <f>Table5[[#This Row],[Cumulative Amount]]-Table5[[#This Row],[Previous Amount]]</f>
        <v>0</v>
      </c>
      <c r="Q130" s="9">
        <f>(Table5[[#This Row],[Supply Rate]]+Table5[[#This Row],[Install Rate]])*Table5[[#This Row],[Cumulative]]</f>
        <v>0</v>
      </c>
    </row>
    <row r="131" spans="1:18" ht="29" x14ac:dyDescent="0.35">
      <c r="A131" s="6"/>
      <c r="B131" s="11" t="s">
        <v>388</v>
      </c>
      <c r="C131" s="6">
        <v>6</v>
      </c>
      <c r="D131" s="6" t="s">
        <v>364</v>
      </c>
      <c r="E131" s="9">
        <v>279</v>
      </c>
      <c r="F131" s="9">
        <v>135</v>
      </c>
      <c r="G131" s="9">
        <f>(Table5[[#This Row],[Supply Rate]]+Table5[[#This Row],[Install Rate]])*Table5[[#This Row],[Qty]]</f>
        <v>2484</v>
      </c>
      <c r="H131" s="223">
        <f>Table5[[#This Row],[Supply Rate]]*80%</f>
        <v>223.20000000000002</v>
      </c>
      <c r="I131" s="224"/>
      <c r="J131" s="224">
        <f>IF(Table5[[#This Row],[Material Qty]]=0,0,Table5[[#This Row],[Material Qty]]-Table5[[#This Row],[Cumulative]])</f>
        <v>0</v>
      </c>
      <c r="K131" s="223">
        <f>Table5[[#This Row],[Material Balance Qty]]*Table5[[#This Row],[Material @ Site Rate]]</f>
        <v>0</v>
      </c>
      <c r="L131" s="9"/>
      <c r="M131" s="9">
        <f>Table5[[#This Row],[Cumulative]]-Table5[[#This Row],[Previous Qty]]</f>
        <v>0</v>
      </c>
      <c r="N131" s="9"/>
      <c r="O131" s="9">
        <f>(Table5[[#This Row],[Supply Rate]]+Table5[[#This Row],[Install Rate]])*Table5[[#This Row],[Previous Qty]]</f>
        <v>0</v>
      </c>
      <c r="P131" s="9">
        <f>Table5[[#This Row],[Cumulative Amount]]-Table5[[#This Row],[Previous Amount]]</f>
        <v>0</v>
      </c>
      <c r="Q131" s="9">
        <f>(Table5[[#This Row],[Supply Rate]]+Table5[[#This Row],[Install Rate]])*Table5[[#This Row],[Cumulative]]</f>
        <v>0</v>
      </c>
    </row>
    <row r="132" spans="1:18" x14ac:dyDescent="0.35">
      <c r="A132" s="6"/>
      <c r="B132" s="11" t="s">
        <v>389</v>
      </c>
      <c r="C132" s="6">
        <v>1</v>
      </c>
      <c r="D132" s="6" t="s">
        <v>364</v>
      </c>
      <c r="E132" s="9">
        <v>308</v>
      </c>
      <c r="F132" s="9">
        <v>149</v>
      </c>
      <c r="G132" s="9">
        <f>(Table5[[#This Row],[Supply Rate]]+Table5[[#This Row],[Install Rate]])*Table5[[#This Row],[Qty]]</f>
        <v>457</v>
      </c>
      <c r="H132" s="223">
        <f>Table5[[#This Row],[Supply Rate]]*80%</f>
        <v>246.4</v>
      </c>
      <c r="I132" s="224"/>
      <c r="J132" s="224">
        <f>IF(Table5[[#This Row],[Material Qty]]=0,0,Table5[[#This Row],[Material Qty]]-Table5[[#This Row],[Cumulative]])</f>
        <v>0</v>
      </c>
      <c r="K132" s="223">
        <f>Table5[[#This Row],[Material Balance Qty]]*Table5[[#This Row],[Material @ Site Rate]]</f>
        <v>0</v>
      </c>
      <c r="L132" s="9"/>
      <c r="M132" s="9">
        <f>Table5[[#This Row],[Cumulative]]-Table5[[#This Row],[Previous Qty]]</f>
        <v>0</v>
      </c>
      <c r="N132" s="9"/>
      <c r="O132" s="9">
        <f>(Table5[[#This Row],[Supply Rate]]+Table5[[#This Row],[Install Rate]])*Table5[[#This Row],[Previous Qty]]</f>
        <v>0</v>
      </c>
      <c r="P132" s="9">
        <f>Table5[[#This Row],[Cumulative Amount]]-Table5[[#This Row],[Previous Amount]]</f>
        <v>0</v>
      </c>
      <c r="Q132" s="9">
        <f>(Table5[[#This Row],[Supply Rate]]+Table5[[#This Row],[Install Rate]])*Table5[[#This Row],[Cumulative]]</f>
        <v>0</v>
      </c>
    </row>
    <row r="133" spans="1:18" x14ac:dyDescent="0.35">
      <c r="A133" s="6"/>
      <c r="B133" s="11" t="s">
        <v>390</v>
      </c>
      <c r="C133" s="6">
        <v>1</v>
      </c>
      <c r="D133" s="6" t="s">
        <v>364</v>
      </c>
      <c r="E133" s="9">
        <v>247</v>
      </c>
      <c r="F133" s="9">
        <v>120</v>
      </c>
      <c r="G133" s="9">
        <f>(Table5[[#This Row],[Supply Rate]]+Table5[[#This Row],[Install Rate]])*Table5[[#This Row],[Qty]]</f>
        <v>367</v>
      </c>
      <c r="H133" s="223">
        <f>Table5[[#This Row],[Supply Rate]]*80%</f>
        <v>197.60000000000002</v>
      </c>
      <c r="I133" s="224"/>
      <c r="J133" s="224">
        <f>IF(Table5[[#This Row],[Material Qty]]=0,0,Table5[[#This Row],[Material Qty]]-Table5[[#This Row],[Cumulative]])</f>
        <v>0</v>
      </c>
      <c r="K133" s="223">
        <f>Table5[[#This Row],[Material Balance Qty]]*Table5[[#This Row],[Material @ Site Rate]]</f>
        <v>0</v>
      </c>
      <c r="L133" s="9"/>
      <c r="M133" s="9">
        <f>Table5[[#This Row],[Cumulative]]-Table5[[#This Row],[Previous Qty]]</f>
        <v>0</v>
      </c>
      <c r="N133" s="9"/>
      <c r="O133" s="9">
        <f>(Table5[[#This Row],[Supply Rate]]+Table5[[#This Row],[Install Rate]])*Table5[[#This Row],[Previous Qty]]</f>
        <v>0</v>
      </c>
      <c r="P133" s="9">
        <f>Table5[[#This Row],[Cumulative Amount]]-Table5[[#This Row],[Previous Amount]]</f>
        <v>0</v>
      </c>
      <c r="Q133" s="9">
        <f>(Table5[[#This Row],[Supply Rate]]+Table5[[#This Row],[Install Rate]])*Table5[[#This Row],[Cumulative]]</f>
        <v>0</v>
      </c>
    </row>
    <row r="134" spans="1:18" ht="29" x14ac:dyDescent="0.35">
      <c r="A134" s="6">
        <v>4</v>
      </c>
      <c r="B134" s="11" t="s">
        <v>391</v>
      </c>
      <c r="C134" s="6"/>
      <c r="D134" s="6" t="s">
        <v>392</v>
      </c>
      <c r="E134" s="9"/>
      <c r="F134" s="9"/>
      <c r="G134" s="9">
        <v>73458.899999999994</v>
      </c>
      <c r="H134" s="223">
        <f>Table5[[#This Row],[Supply Rate]]*80%</f>
        <v>0</v>
      </c>
      <c r="I134" s="224"/>
      <c r="J134" s="224">
        <f>IF(Table5[[#This Row],[Material Qty]]=0,0,Table5[[#This Row],[Material Qty]]-Table5[[#This Row],[Cumulative]])</f>
        <v>0</v>
      </c>
      <c r="K134" s="223">
        <f>Table5[[#This Row],[Material Balance Qty]]*Table5[[#This Row],[Material @ Site Rate]]</f>
        <v>0</v>
      </c>
      <c r="L134" s="9"/>
      <c r="M134" s="9">
        <f>Table5[[#This Row],[Cumulative]]-Table5[[#This Row],[Previous Qty]]</f>
        <v>0</v>
      </c>
      <c r="N134" s="9"/>
      <c r="O134" s="9">
        <f>(Table5[[#This Row],[Supply Rate]]+Table5[[#This Row],[Install Rate]])*Table5[[#This Row],[Previous Qty]]</f>
        <v>0</v>
      </c>
      <c r="P134" s="9">
        <f>Table5[[#This Row],[Cumulative Amount]]-Table5[[#This Row],[Previous Amount]]</f>
        <v>0</v>
      </c>
      <c r="Q134" s="9">
        <f>(Table5[[#This Row],[Supply Rate]]+Table5[[#This Row],[Install Rate]])*Table5[[#This Row],[Cumulative]]</f>
        <v>0</v>
      </c>
    </row>
    <row r="135" spans="1:18" s="198" customFormat="1" x14ac:dyDescent="0.35">
      <c r="A135" s="201" t="s">
        <v>393</v>
      </c>
      <c r="B135" s="202"/>
      <c r="C135" s="203"/>
      <c r="D135" s="203"/>
      <c r="E135" s="204"/>
      <c r="F135" s="204"/>
      <c r="G135" s="204"/>
      <c r="H135" s="223"/>
      <c r="I135" s="224"/>
      <c r="J135" s="224"/>
      <c r="K135" s="223"/>
      <c r="L135" s="204"/>
      <c r="M135" s="204"/>
      <c r="N135" s="204"/>
      <c r="O135" s="204"/>
      <c r="P135" s="204"/>
      <c r="Q135" s="204"/>
    </row>
    <row r="136" spans="1:18" x14ac:dyDescent="0.35">
      <c r="A136" s="6"/>
      <c r="B136" s="7" t="s">
        <v>288</v>
      </c>
      <c r="C136" s="6"/>
      <c r="D136" s="6"/>
      <c r="E136" s="9"/>
      <c r="F136" s="9"/>
      <c r="G136" s="9"/>
      <c r="H136" s="223"/>
      <c r="I136" s="224"/>
      <c r="J136" s="224"/>
      <c r="K136" s="223"/>
      <c r="L136" s="9"/>
      <c r="M136" s="9"/>
      <c r="N136" s="9"/>
      <c r="O136" s="9"/>
      <c r="P136" s="9"/>
      <c r="Q136" s="9"/>
    </row>
    <row r="137" spans="1:18" x14ac:dyDescent="0.35">
      <c r="A137" s="6"/>
      <c r="B137" s="11" t="s">
        <v>289</v>
      </c>
      <c r="C137" s="6"/>
      <c r="D137" s="6"/>
      <c r="E137" s="9"/>
      <c r="F137" s="9"/>
      <c r="G137" s="9"/>
      <c r="H137" s="223"/>
      <c r="I137" s="224"/>
      <c r="J137" s="224"/>
      <c r="K137" s="223"/>
      <c r="L137" s="9"/>
      <c r="M137" s="9"/>
      <c r="N137" s="9"/>
      <c r="O137" s="9"/>
      <c r="P137" s="9"/>
      <c r="Q137" s="9"/>
    </row>
    <row r="138" spans="1:18" ht="72.5" x14ac:dyDescent="0.35">
      <c r="A138" s="6"/>
      <c r="B138" s="11" t="s">
        <v>290</v>
      </c>
      <c r="C138" s="6"/>
      <c r="D138" s="6"/>
      <c r="E138" s="9"/>
      <c r="F138" s="9"/>
      <c r="G138" s="9"/>
      <c r="H138" s="223"/>
      <c r="I138" s="224"/>
      <c r="J138" s="224"/>
      <c r="K138" s="223"/>
      <c r="L138" s="9"/>
      <c r="M138" s="9"/>
      <c r="N138" s="9"/>
      <c r="O138" s="9"/>
      <c r="P138" s="9"/>
      <c r="Q138" s="9"/>
    </row>
    <row r="139" spans="1:18" ht="29" x14ac:dyDescent="0.35">
      <c r="A139" s="6" t="s">
        <v>292</v>
      </c>
      <c r="B139" s="11" t="s">
        <v>314</v>
      </c>
      <c r="C139" s="6"/>
      <c r="D139" s="6"/>
      <c r="E139" s="9"/>
      <c r="F139" s="9"/>
      <c r="G139" s="9"/>
      <c r="H139" s="223"/>
      <c r="I139" s="224"/>
      <c r="J139" s="224"/>
      <c r="K139" s="223"/>
      <c r="L139" s="9"/>
      <c r="M139" s="9"/>
      <c r="N139" s="9"/>
      <c r="O139" s="9"/>
      <c r="P139" s="9"/>
      <c r="Q139" s="9"/>
    </row>
    <row r="140" spans="1:18" x14ac:dyDescent="0.35">
      <c r="A140" s="6">
        <v>1</v>
      </c>
      <c r="B140" s="11" t="s">
        <v>315</v>
      </c>
      <c r="C140" s="6">
        <v>6.33</v>
      </c>
      <c r="D140" s="6" t="s">
        <v>17</v>
      </c>
      <c r="E140" s="9">
        <v>450</v>
      </c>
      <c r="F140" s="9">
        <v>200</v>
      </c>
      <c r="G140" s="9">
        <f>(Table5[[#This Row],[Supply Rate]]+Table5[[#This Row],[Install Rate]])*Table5[[#This Row],[Qty]]</f>
        <v>4114.5</v>
      </c>
      <c r="H140" s="223">
        <f>Table5[[#This Row],[Supply Rate]]*80%</f>
        <v>360</v>
      </c>
      <c r="I140" s="224"/>
      <c r="J140" s="224">
        <f>IF(Table5[[#This Row],[Material Qty]]=0,0,Table5[[#This Row],[Material Qty]]-Table5[[#This Row],[Cumulative]])</f>
        <v>0</v>
      </c>
      <c r="K140" s="223">
        <f>Table5[[#This Row],[Material Balance Qty]]*Table5[[#This Row],[Material @ Site Rate]]</f>
        <v>0</v>
      </c>
      <c r="L140" s="9"/>
      <c r="M140" s="9">
        <f>Table5[[#This Row],[Cumulative]]-Table5[[#This Row],[Previous Qty]]</f>
        <v>0</v>
      </c>
      <c r="N140" s="9"/>
      <c r="O140" s="9">
        <f>(Table5[[#This Row],[Supply Rate]]+Table5[[#This Row],[Install Rate]])*Table5[[#This Row],[Previous Qty]]</f>
        <v>0</v>
      </c>
      <c r="P140" s="9">
        <f>Table5[[#This Row],[Cumulative Amount]]-Table5[[#This Row],[Previous Amount]]</f>
        <v>0</v>
      </c>
      <c r="Q140" s="9">
        <f>(Table5[[#This Row],[Supply Rate]]+Table5[[#This Row],[Install Rate]])*Table5[[#This Row],[Cumulative]]</f>
        <v>0</v>
      </c>
    </row>
    <row r="141" spans="1:18" ht="29" x14ac:dyDescent="0.35">
      <c r="A141" s="6" t="s">
        <v>294</v>
      </c>
      <c r="B141" s="11" t="s">
        <v>394</v>
      </c>
      <c r="C141" s="6"/>
      <c r="D141" s="6"/>
      <c r="E141" s="9"/>
      <c r="F141" s="9"/>
      <c r="G141" s="9"/>
      <c r="H141" s="223"/>
      <c r="I141" s="224"/>
      <c r="J141" s="224"/>
      <c r="K141" s="223"/>
      <c r="L141" s="9"/>
      <c r="M141" s="9"/>
      <c r="N141" s="9"/>
      <c r="O141" s="9"/>
      <c r="P141" s="9"/>
      <c r="Q141" s="9"/>
    </row>
    <row r="142" spans="1:18" x14ac:dyDescent="0.35">
      <c r="A142" s="6">
        <v>1</v>
      </c>
      <c r="B142" s="11" t="s">
        <v>395</v>
      </c>
      <c r="C142" s="6">
        <v>7.11</v>
      </c>
      <c r="D142" s="6" t="s">
        <v>17</v>
      </c>
      <c r="E142" s="9">
        <v>1509</v>
      </c>
      <c r="F142" s="9">
        <v>251</v>
      </c>
      <c r="G142" s="9">
        <f>(Table5[[#This Row],[Supply Rate]]+Table5[[#This Row],[Install Rate]])*Table5[[#This Row],[Qty]]</f>
        <v>12513.6</v>
      </c>
      <c r="H142" s="223">
        <f>Table5[[#This Row],[Supply Rate]]*80%</f>
        <v>1207.2</v>
      </c>
      <c r="I142" s="224"/>
      <c r="J142" s="224">
        <f>IF(Table5[[#This Row],[Material Qty]]=0,0,Table5[[#This Row],[Material Qty]]-Table5[[#This Row],[Cumulative]])</f>
        <v>0</v>
      </c>
      <c r="K142" s="223">
        <f>Table5[[#This Row],[Material Balance Qty]]*Table5[[#This Row],[Material @ Site Rate]]</f>
        <v>0</v>
      </c>
      <c r="L142" s="9"/>
      <c r="M142" s="9">
        <f>Table5[[#This Row],[Cumulative]]-Table5[[#This Row],[Previous Qty]]</f>
        <v>5.6880000000000006</v>
      </c>
      <c r="N142" s="9">
        <f>7.11*0.8</f>
        <v>5.6880000000000006</v>
      </c>
      <c r="O142" s="9">
        <f>(Table5[[#This Row],[Supply Rate]]+Table5[[#This Row],[Install Rate]])*Table5[[#This Row],[Previous Qty]]</f>
        <v>0</v>
      </c>
      <c r="P142" s="9">
        <f>Table5[[#This Row],[Cumulative Amount]]-Table5[[#This Row],[Previous Amount]]</f>
        <v>10010.880000000001</v>
      </c>
      <c r="Q142" s="9">
        <f>(Table5[[#This Row],[Supply Rate]]+Table5[[#This Row],[Install Rate]])*Table5[[#This Row],[Cumulative]]</f>
        <v>10010.880000000001</v>
      </c>
      <c r="R142" t="s">
        <v>936</v>
      </c>
    </row>
    <row r="143" spans="1:18" ht="29" x14ac:dyDescent="0.35">
      <c r="A143" s="6" t="s">
        <v>297</v>
      </c>
      <c r="B143" s="11" t="s">
        <v>396</v>
      </c>
      <c r="C143" s="6"/>
      <c r="D143" s="6"/>
      <c r="E143" s="9"/>
      <c r="F143" s="9"/>
      <c r="G143" s="9"/>
      <c r="H143" s="223"/>
      <c r="I143" s="224"/>
      <c r="J143" s="224"/>
      <c r="K143" s="223"/>
      <c r="L143" s="9"/>
      <c r="M143" s="9"/>
      <c r="N143" s="9"/>
      <c r="O143" s="9"/>
      <c r="P143" s="9"/>
      <c r="Q143" s="9"/>
    </row>
    <row r="144" spans="1:18" x14ac:dyDescent="0.35">
      <c r="A144" s="6">
        <v>1</v>
      </c>
      <c r="B144" s="11" t="s">
        <v>395</v>
      </c>
      <c r="C144" s="6">
        <v>4.0199999999999996</v>
      </c>
      <c r="D144" s="6" t="s">
        <v>17</v>
      </c>
      <c r="E144" s="9">
        <v>1563</v>
      </c>
      <c r="F144" s="9">
        <v>278</v>
      </c>
      <c r="G144" s="9">
        <f>(Table5[[#This Row],[Supply Rate]]+Table5[[#This Row],[Install Rate]])*Table5[[#This Row],[Qty]]</f>
        <v>7400.8199999999988</v>
      </c>
      <c r="H144" s="223">
        <f>Table5[[#This Row],[Supply Rate]]*80%</f>
        <v>1250.4000000000001</v>
      </c>
      <c r="I144" s="224"/>
      <c r="J144" s="224">
        <f>IF(Table5[[#This Row],[Material Qty]]=0,0,Table5[[#This Row],[Material Qty]]-Table5[[#This Row],[Cumulative]])</f>
        <v>0</v>
      </c>
      <c r="K144" s="223">
        <f>Table5[[#This Row],[Material Balance Qty]]*Table5[[#This Row],[Material @ Site Rate]]</f>
        <v>0</v>
      </c>
      <c r="L144" s="9"/>
      <c r="M144" s="9">
        <f>Table5[[#This Row],[Cumulative]]-Table5[[#This Row],[Previous Qty]]</f>
        <v>3.2159999999999997</v>
      </c>
      <c r="N144" s="9">
        <f>4.02*0.8</f>
        <v>3.2159999999999997</v>
      </c>
      <c r="O144" s="9">
        <f>(Table5[[#This Row],[Supply Rate]]+Table5[[#This Row],[Install Rate]])*Table5[[#This Row],[Previous Qty]]</f>
        <v>0</v>
      </c>
      <c r="P144" s="9">
        <f>Table5[[#This Row],[Cumulative Amount]]-Table5[[#This Row],[Previous Amount]]</f>
        <v>5920.6559999999999</v>
      </c>
      <c r="Q144" s="9">
        <f>(Table5[[#This Row],[Supply Rate]]+Table5[[#This Row],[Install Rate]])*Table5[[#This Row],[Cumulative]]</f>
        <v>5920.6559999999999</v>
      </c>
      <c r="R144" t="s">
        <v>936</v>
      </c>
    </row>
    <row r="145" spans="1:18" ht="29" x14ac:dyDescent="0.35">
      <c r="A145" s="6" t="s">
        <v>300</v>
      </c>
      <c r="B145" s="11" t="s">
        <v>397</v>
      </c>
      <c r="C145" s="6"/>
      <c r="D145" s="6"/>
      <c r="E145" s="9"/>
      <c r="F145" s="9"/>
      <c r="G145" s="9"/>
      <c r="H145" s="223"/>
      <c r="I145" s="224"/>
      <c r="J145" s="224"/>
      <c r="K145" s="223"/>
      <c r="L145" s="9"/>
      <c r="M145" s="9"/>
      <c r="N145" s="9"/>
      <c r="O145" s="9"/>
      <c r="P145" s="9"/>
      <c r="Q145" s="9"/>
    </row>
    <row r="146" spans="1:18" x14ac:dyDescent="0.35">
      <c r="A146" s="6">
        <v>1</v>
      </c>
      <c r="B146" s="11" t="s">
        <v>398</v>
      </c>
      <c r="C146" s="6">
        <v>6.7</v>
      </c>
      <c r="D146" s="6" t="s">
        <v>17</v>
      </c>
      <c r="E146" s="9">
        <v>405</v>
      </c>
      <c r="F146" s="9">
        <v>215</v>
      </c>
      <c r="G146" s="9">
        <f>(Table5[[#This Row],[Supply Rate]]+Table5[[#This Row],[Install Rate]])*Table5[[#This Row],[Qty]]</f>
        <v>4154</v>
      </c>
      <c r="H146" s="223">
        <f>Table5[[#This Row],[Supply Rate]]*80%</f>
        <v>324</v>
      </c>
      <c r="I146" s="224"/>
      <c r="J146" s="224">
        <f>IF(Table5[[#This Row],[Material Qty]]=0,0,Table5[[#This Row],[Material Qty]]-Table5[[#This Row],[Cumulative]])</f>
        <v>0</v>
      </c>
      <c r="K146" s="223">
        <f>Table5[[#This Row],[Material Balance Qty]]*Table5[[#This Row],[Material @ Site Rate]]</f>
        <v>0</v>
      </c>
      <c r="L146" s="9"/>
      <c r="M146" s="9">
        <f>Table5[[#This Row],[Cumulative]]-Table5[[#This Row],[Previous Qty]]</f>
        <v>0</v>
      </c>
      <c r="N146" s="9"/>
      <c r="O146" s="9">
        <f>(Table5[[#This Row],[Supply Rate]]+Table5[[#This Row],[Install Rate]])*Table5[[#This Row],[Previous Qty]]</f>
        <v>0</v>
      </c>
      <c r="P146" s="9">
        <f>Table5[[#This Row],[Cumulative Amount]]-Table5[[#This Row],[Previous Amount]]</f>
        <v>0</v>
      </c>
      <c r="Q146" s="9">
        <f>(Table5[[#This Row],[Supply Rate]]+Table5[[#This Row],[Install Rate]])*Table5[[#This Row],[Cumulative]]</f>
        <v>0</v>
      </c>
    </row>
    <row r="147" spans="1:18" x14ac:dyDescent="0.35">
      <c r="A147" s="6">
        <v>2</v>
      </c>
      <c r="B147" s="11" t="s">
        <v>399</v>
      </c>
      <c r="C147" s="6">
        <v>2.29</v>
      </c>
      <c r="D147" s="6" t="s">
        <v>17</v>
      </c>
      <c r="E147" s="9">
        <v>405</v>
      </c>
      <c r="F147" s="9">
        <v>215</v>
      </c>
      <c r="G147" s="9">
        <f>(Table5[[#This Row],[Supply Rate]]+Table5[[#This Row],[Install Rate]])*Table5[[#This Row],[Qty]]</f>
        <v>1419.8</v>
      </c>
      <c r="H147" s="223">
        <f>Table5[[#This Row],[Supply Rate]]*80%</f>
        <v>324</v>
      </c>
      <c r="I147" s="224"/>
      <c r="J147" s="224">
        <f>IF(Table5[[#This Row],[Material Qty]]=0,0,Table5[[#This Row],[Material Qty]]-Table5[[#This Row],[Cumulative]])</f>
        <v>0</v>
      </c>
      <c r="K147" s="223">
        <f>Table5[[#This Row],[Material Balance Qty]]*Table5[[#This Row],[Material @ Site Rate]]</f>
        <v>0</v>
      </c>
      <c r="L147" s="9"/>
      <c r="M147" s="9">
        <f>Table5[[#This Row],[Cumulative]]-Table5[[#This Row],[Previous Qty]]</f>
        <v>0</v>
      </c>
      <c r="N147" s="9"/>
      <c r="O147" s="9">
        <f>(Table5[[#This Row],[Supply Rate]]+Table5[[#This Row],[Install Rate]])*Table5[[#This Row],[Previous Qty]]</f>
        <v>0</v>
      </c>
      <c r="P147" s="9">
        <f>Table5[[#This Row],[Cumulative Amount]]-Table5[[#This Row],[Previous Amount]]</f>
        <v>0</v>
      </c>
      <c r="Q147" s="9">
        <f>(Table5[[#This Row],[Supply Rate]]+Table5[[#This Row],[Install Rate]])*Table5[[#This Row],[Cumulative]]</f>
        <v>0</v>
      </c>
    </row>
    <row r="148" spans="1:18" ht="29" x14ac:dyDescent="0.35">
      <c r="A148" s="6" t="s">
        <v>303</v>
      </c>
      <c r="B148" s="11" t="s">
        <v>400</v>
      </c>
      <c r="C148" s="6"/>
      <c r="D148" s="6"/>
      <c r="E148" s="9"/>
      <c r="F148" s="9"/>
      <c r="G148" s="9"/>
      <c r="H148" s="223"/>
      <c r="I148" s="224"/>
      <c r="J148" s="224"/>
      <c r="K148" s="223"/>
      <c r="L148" s="9"/>
      <c r="M148" s="9"/>
      <c r="N148" s="9"/>
      <c r="O148" s="9"/>
      <c r="P148" s="9"/>
      <c r="Q148" s="9"/>
    </row>
    <row r="149" spans="1:18" x14ac:dyDescent="0.35">
      <c r="A149" s="6">
        <v>1</v>
      </c>
      <c r="B149" s="11" t="s">
        <v>401</v>
      </c>
      <c r="C149" s="6">
        <v>3.25</v>
      </c>
      <c r="D149" s="6" t="s">
        <v>17</v>
      </c>
      <c r="E149" s="9">
        <v>324</v>
      </c>
      <c r="F149" s="9">
        <v>210</v>
      </c>
      <c r="G149" s="9">
        <f>(Table5[[#This Row],[Supply Rate]]+Table5[[#This Row],[Install Rate]])*Table5[[#This Row],[Qty]]</f>
        <v>1735.5</v>
      </c>
      <c r="H149" s="223">
        <f>Table5[[#This Row],[Supply Rate]]*80%</f>
        <v>259.2</v>
      </c>
      <c r="I149" s="224"/>
      <c r="J149" s="224">
        <f>IF(Table5[[#This Row],[Material Qty]]=0,0,Table5[[#This Row],[Material Qty]]-Table5[[#This Row],[Cumulative]])</f>
        <v>0</v>
      </c>
      <c r="K149" s="223">
        <f>Table5[[#This Row],[Material Balance Qty]]*Table5[[#This Row],[Material @ Site Rate]]</f>
        <v>0</v>
      </c>
      <c r="L149" s="9"/>
      <c r="M149" s="9">
        <f>Table5[[#This Row],[Cumulative]]-Table5[[#This Row],[Previous Qty]]</f>
        <v>0</v>
      </c>
      <c r="N149" s="9"/>
      <c r="O149" s="9">
        <f>(Table5[[#This Row],[Supply Rate]]+Table5[[#This Row],[Install Rate]])*Table5[[#This Row],[Previous Qty]]</f>
        <v>0</v>
      </c>
      <c r="P149" s="9">
        <f>Table5[[#This Row],[Cumulative Amount]]-Table5[[#This Row],[Previous Amount]]</f>
        <v>0</v>
      </c>
      <c r="Q149" s="9">
        <f>(Table5[[#This Row],[Supply Rate]]+Table5[[#This Row],[Install Rate]])*Table5[[#This Row],[Cumulative]]</f>
        <v>0</v>
      </c>
    </row>
    <row r="150" spans="1:18" ht="43.5" x14ac:dyDescent="0.35">
      <c r="A150" s="6" t="s">
        <v>325</v>
      </c>
      <c r="B150" s="11" t="s">
        <v>402</v>
      </c>
      <c r="C150" s="6"/>
      <c r="D150" s="6"/>
      <c r="E150" s="9"/>
      <c r="F150" s="9"/>
      <c r="G150" s="9"/>
      <c r="H150" s="223"/>
      <c r="I150" s="224"/>
      <c r="J150" s="224"/>
      <c r="K150" s="223"/>
      <c r="L150" s="9"/>
      <c r="M150" s="9"/>
      <c r="N150" s="9"/>
      <c r="O150" s="9"/>
      <c r="P150" s="9"/>
      <c r="Q150" s="9"/>
    </row>
    <row r="151" spans="1:18" x14ac:dyDescent="0.35">
      <c r="A151" s="6">
        <v>1</v>
      </c>
      <c r="B151" s="11" t="s">
        <v>395</v>
      </c>
      <c r="C151" s="6">
        <v>5.81</v>
      </c>
      <c r="D151" s="6" t="s">
        <v>17</v>
      </c>
      <c r="E151" s="9">
        <v>450</v>
      </c>
      <c r="F151" s="9">
        <v>200</v>
      </c>
      <c r="G151" s="9">
        <f>(Table5[[#This Row],[Supply Rate]]+Table5[[#This Row],[Install Rate]])*Table5[[#This Row],[Qty]]</f>
        <v>3776.4999999999995</v>
      </c>
      <c r="H151" s="223">
        <f>Table5[[#This Row],[Supply Rate]]*80%</f>
        <v>360</v>
      </c>
      <c r="I151" s="224"/>
      <c r="J151" s="224">
        <f>IF(Table5[[#This Row],[Material Qty]]=0,0,Table5[[#This Row],[Material Qty]]-Table5[[#This Row],[Cumulative]])</f>
        <v>0</v>
      </c>
      <c r="K151" s="223">
        <f>Table5[[#This Row],[Material Balance Qty]]*Table5[[#This Row],[Material @ Site Rate]]</f>
        <v>0</v>
      </c>
      <c r="L151" s="9"/>
      <c r="M151" s="9">
        <f>Table5[[#This Row],[Cumulative]]-Table5[[#This Row],[Previous Qty]]</f>
        <v>4.6479999999999997</v>
      </c>
      <c r="N151" s="9">
        <f>5.81*0.8</f>
        <v>4.6479999999999997</v>
      </c>
      <c r="O151" s="9">
        <f>(Table5[[#This Row],[Supply Rate]]+Table5[[#This Row],[Install Rate]])*Table5[[#This Row],[Previous Qty]]</f>
        <v>0</v>
      </c>
      <c r="P151" s="9">
        <f>Table5[[#This Row],[Cumulative Amount]]-Table5[[#This Row],[Previous Amount]]</f>
        <v>3021.2</v>
      </c>
      <c r="Q151" s="9">
        <f>(Table5[[#This Row],[Supply Rate]]+Table5[[#This Row],[Install Rate]])*Table5[[#This Row],[Cumulative]]</f>
        <v>3021.2</v>
      </c>
      <c r="R151" t="s">
        <v>936</v>
      </c>
    </row>
    <row r="152" spans="1:18" x14ac:dyDescent="0.35">
      <c r="A152" s="6"/>
      <c r="B152" s="11" t="s">
        <v>403</v>
      </c>
      <c r="C152" s="6"/>
      <c r="D152" s="6"/>
      <c r="E152" s="9"/>
      <c r="F152" s="9"/>
      <c r="G152" s="9"/>
      <c r="H152" s="223"/>
      <c r="I152" s="224"/>
      <c r="J152" s="224"/>
      <c r="K152" s="223"/>
      <c r="L152" s="9"/>
      <c r="M152" s="9"/>
      <c r="N152" s="9"/>
      <c r="O152" s="9"/>
      <c r="P152" s="9"/>
      <c r="Q152" s="9"/>
      <c r="R152" t="s">
        <v>936</v>
      </c>
    </row>
    <row r="153" spans="1:18" ht="58" x14ac:dyDescent="0.35">
      <c r="A153" s="6" t="s">
        <v>327</v>
      </c>
      <c r="B153" s="11" t="s">
        <v>404</v>
      </c>
      <c r="C153" s="6"/>
      <c r="D153" s="6"/>
      <c r="E153" s="9"/>
      <c r="F153" s="9"/>
      <c r="G153" s="9"/>
      <c r="H153" s="223"/>
      <c r="I153" s="224"/>
      <c r="J153" s="224"/>
      <c r="K153" s="223"/>
      <c r="L153" s="9"/>
      <c r="M153" s="9"/>
      <c r="N153" s="9"/>
      <c r="O153" s="9"/>
      <c r="P153" s="9"/>
      <c r="Q153" s="9"/>
      <c r="R153" t="s">
        <v>936</v>
      </c>
    </row>
    <row r="154" spans="1:18" x14ac:dyDescent="0.35">
      <c r="A154" s="6">
        <v>1</v>
      </c>
      <c r="B154" s="11" t="s">
        <v>405</v>
      </c>
      <c r="C154" s="6">
        <v>1.1599999999999999</v>
      </c>
      <c r="D154" s="6" t="s">
        <v>10</v>
      </c>
      <c r="E154" s="9">
        <v>74</v>
      </c>
      <c r="F154" s="9">
        <v>45</v>
      </c>
      <c r="G154" s="9">
        <f>(Table5[[#This Row],[Supply Rate]]+Table5[[#This Row],[Install Rate]])*Table5[[#This Row],[Qty]]</f>
        <v>138.04</v>
      </c>
      <c r="H154" s="223">
        <f>Table5[[#This Row],[Supply Rate]]*80%</f>
        <v>59.2</v>
      </c>
      <c r="I154" s="224"/>
      <c r="J154" s="224">
        <f>IF(Table5[[#This Row],[Material Qty]]=0,0,Table5[[#This Row],[Material Qty]]-Table5[[#This Row],[Cumulative]])</f>
        <v>0</v>
      </c>
      <c r="K154" s="223">
        <f>Table5[[#This Row],[Material Balance Qty]]*Table5[[#This Row],[Material @ Site Rate]]</f>
        <v>0</v>
      </c>
      <c r="L154" s="9"/>
      <c r="M154" s="9">
        <f>Table5[[#This Row],[Cumulative]]-Table5[[#This Row],[Previous Qty]]</f>
        <v>0</v>
      </c>
      <c r="N154" s="9"/>
      <c r="O154" s="9">
        <f>(Table5[[#This Row],[Supply Rate]]+Table5[[#This Row],[Install Rate]])*Table5[[#This Row],[Previous Qty]]</f>
        <v>0</v>
      </c>
      <c r="P154" s="9">
        <f>Table5[[#This Row],[Cumulative Amount]]-Table5[[#This Row],[Previous Amount]]</f>
        <v>0</v>
      </c>
      <c r="Q154" s="9">
        <f>(Table5[[#This Row],[Supply Rate]]+Table5[[#This Row],[Install Rate]])*Table5[[#This Row],[Cumulative]]</f>
        <v>0</v>
      </c>
      <c r="R154" t="s">
        <v>936</v>
      </c>
    </row>
    <row r="155" spans="1:18" x14ac:dyDescent="0.35">
      <c r="A155" s="6">
        <v>2</v>
      </c>
      <c r="B155" s="11" t="s">
        <v>406</v>
      </c>
      <c r="C155" s="6">
        <v>0.9</v>
      </c>
      <c r="D155" s="6" t="s">
        <v>10</v>
      </c>
      <c r="E155" s="9">
        <v>90</v>
      </c>
      <c r="F155" s="9">
        <v>47</v>
      </c>
      <c r="G155" s="9">
        <f>(Table5[[#This Row],[Supply Rate]]+Table5[[#This Row],[Install Rate]])*Table5[[#This Row],[Qty]]</f>
        <v>123.3</v>
      </c>
      <c r="H155" s="223">
        <f>Table5[[#This Row],[Supply Rate]]*80%</f>
        <v>72</v>
      </c>
      <c r="I155" s="224"/>
      <c r="J155" s="224">
        <f>IF(Table5[[#This Row],[Material Qty]]=0,0,Table5[[#This Row],[Material Qty]]-Table5[[#This Row],[Cumulative]])</f>
        <v>0</v>
      </c>
      <c r="K155" s="223">
        <f>Table5[[#This Row],[Material Balance Qty]]*Table5[[#This Row],[Material @ Site Rate]]</f>
        <v>0</v>
      </c>
      <c r="L155" s="9"/>
      <c r="M155" s="9">
        <f>Table5[[#This Row],[Cumulative]]-Table5[[#This Row],[Previous Qty]]</f>
        <v>0</v>
      </c>
      <c r="N155" s="9"/>
      <c r="O155" s="9">
        <f>(Table5[[#This Row],[Supply Rate]]+Table5[[#This Row],[Install Rate]])*Table5[[#This Row],[Previous Qty]]</f>
        <v>0</v>
      </c>
      <c r="P155" s="9">
        <f>Table5[[#This Row],[Cumulative Amount]]-Table5[[#This Row],[Previous Amount]]</f>
        <v>0</v>
      </c>
      <c r="Q155" s="9">
        <f>(Table5[[#This Row],[Supply Rate]]+Table5[[#This Row],[Install Rate]])*Table5[[#This Row],[Cumulative]]</f>
        <v>0</v>
      </c>
      <c r="R155" t="s">
        <v>936</v>
      </c>
    </row>
    <row r="156" spans="1:18" ht="29" x14ac:dyDescent="0.35">
      <c r="A156" s="6">
        <v>3</v>
      </c>
      <c r="B156" s="11" t="s">
        <v>910</v>
      </c>
      <c r="C156" s="6">
        <v>1.1599999999999999</v>
      </c>
      <c r="D156" s="6" t="s">
        <v>10</v>
      </c>
      <c r="E156" s="9">
        <v>155</v>
      </c>
      <c r="F156" s="9">
        <v>54</v>
      </c>
      <c r="G156" s="9">
        <f>(Table5[[#This Row],[Supply Rate]]+Table5[[#This Row],[Install Rate]])*Table5[[#This Row],[Qty]]</f>
        <v>242.43999999999997</v>
      </c>
      <c r="H156" s="223">
        <f>Table5[[#This Row],[Supply Rate]]*80%</f>
        <v>124</v>
      </c>
      <c r="I156" s="224"/>
      <c r="J156" s="224">
        <f>IF(Table5[[#This Row],[Material Qty]]=0,0,Table5[[#This Row],[Material Qty]]-Table5[[#This Row],[Cumulative]])</f>
        <v>0</v>
      </c>
      <c r="K156" s="223">
        <f>Table5[[#This Row],[Material Balance Qty]]*Table5[[#This Row],[Material @ Site Rate]]</f>
        <v>0</v>
      </c>
      <c r="L156" s="9"/>
      <c r="M156" s="9">
        <f>Table5[[#This Row],[Cumulative]]-Table5[[#This Row],[Previous Qty]]</f>
        <v>0</v>
      </c>
      <c r="N156" s="9"/>
      <c r="O156" s="9">
        <f>(Table5[[#This Row],[Supply Rate]]+Table5[[#This Row],[Install Rate]])*Table5[[#This Row],[Previous Qty]]</f>
        <v>0</v>
      </c>
      <c r="P156" s="9">
        <f>Table5[[#This Row],[Cumulative Amount]]-Table5[[#This Row],[Previous Amount]]</f>
        <v>0</v>
      </c>
      <c r="Q156" s="9">
        <f>(Table5[[#This Row],[Supply Rate]]+Table5[[#This Row],[Install Rate]])*Table5[[#This Row],[Cumulative]]</f>
        <v>0</v>
      </c>
      <c r="R156" t="s">
        <v>936</v>
      </c>
    </row>
    <row r="157" spans="1:18" x14ac:dyDescent="0.35">
      <c r="A157" s="6">
        <v>4</v>
      </c>
      <c r="B157" s="11" t="s">
        <v>407</v>
      </c>
      <c r="C157" s="6">
        <v>2.3199999999999998</v>
      </c>
      <c r="D157" s="6" t="s">
        <v>10</v>
      </c>
      <c r="E157" s="9">
        <v>148</v>
      </c>
      <c r="F157" s="9">
        <v>44</v>
      </c>
      <c r="G157" s="9">
        <f>(Table5[[#This Row],[Supply Rate]]+Table5[[#This Row],[Install Rate]])*Table5[[#This Row],[Qty]]</f>
        <v>445.43999999999994</v>
      </c>
      <c r="H157" s="223">
        <f>Table5[[#This Row],[Supply Rate]]*80%</f>
        <v>118.4</v>
      </c>
      <c r="I157" s="224"/>
      <c r="J157" s="224">
        <f>IF(Table5[[#This Row],[Material Qty]]=0,0,Table5[[#This Row],[Material Qty]]-Table5[[#This Row],[Cumulative]])</f>
        <v>0</v>
      </c>
      <c r="K157" s="223">
        <f>Table5[[#This Row],[Material Balance Qty]]*Table5[[#This Row],[Material @ Site Rate]]</f>
        <v>0</v>
      </c>
      <c r="L157" s="9"/>
      <c r="M157" s="9">
        <f>Table5[[#This Row],[Cumulative]]-Table5[[#This Row],[Previous Qty]]</f>
        <v>0</v>
      </c>
      <c r="N157" s="9"/>
      <c r="O157" s="9">
        <f>(Table5[[#This Row],[Supply Rate]]+Table5[[#This Row],[Install Rate]])*Table5[[#This Row],[Previous Qty]]</f>
        <v>0</v>
      </c>
      <c r="P157" s="9">
        <f>Table5[[#This Row],[Cumulative Amount]]-Table5[[#This Row],[Previous Amount]]</f>
        <v>0</v>
      </c>
      <c r="Q157" s="9">
        <f>(Table5[[#This Row],[Supply Rate]]+Table5[[#This Row],[Install Rate]])*Table5[[#This Row],[Cumulative]]</f>
        <v>0</v>
      </c>
      <c r="R157" t="s">
        <v>936</v>
      </c>
    </row>
    <row r="158" spans="1:18" x14ac:dyDescent="0.35">
      <c r="A158" s="6">
        <v>5</v>
      </c>
      <c r="B158" s="11" t="s">
        <v>408</v>
      </c>
      <c r="C158" s="6">
        <v>0.91500000000000004</v>
      </c>
      <c r="D158" s="6" t="s">
        <v>10</v>
      </c>
      <c r="E158" s="9">
        <v>127</v>
      </c>
      <c r="F158" s="9">
        <v>42</v>
      </c>
      <c r="G158" s="9">
        <f>(Table5[[#This Row],[Supply Rate]]+Table5[[#This Row],[Install Rate]])*Table5[[#This Row],[Qty]]</f>
        <v>154.63500000000002</v>
      </c>
      <c r="H158" s="223">
        <f>Table5[[#This Row],[Supply Rate]]*80%</f>
        <v>101.60000000000001</v>
      </c>
      <c r="I158" s="224"/>
      <c r="J158" s="224">
        <f>IF(Table5[[#This Row],[Material Qty]]=0,0,Table5[[#This Row],[Material Qty]]-Table5[[#This Row],[Cumulative]])</f>
        <v>0</v>
      </c>
      <c r="K158" s="223">
        <f>Table5[[#This Row],[Material Balance Qty]]*Table5[[#This Row],[Material @ Site Rate]]</f>
        <v>0</v>
      </c>
      <c r="L158" s="9"/>
      <c r="M158" s="9">
        <f>Table5[[#This Row],[Cumulative]]-Table5[[#This Row],[Previous Qty]]</f>
        <v>0</v>
      </c>
      <c r="N158" s="9"/>
      <c r="O158" s="9">
        <f>(Table5[[#This Row],[Supply Rate]]+Table5[[#This Row],[Install Rate]])*Table5[[#This Row],[Previous Qty]]</f>
        <v>0</v>
      </c>
      <c r="P158" s="9">
        <f>Table5[[#This Row],[Cumulative Amount]]-Table5[[#This Row],[Previous Amount]]</f>
        <v>0</v>
      </c>
      <c r="Q158" s="9">
        <f>(Table5[[#This Row],[Supply Rate]]+Table5[[#This Row],[Install Rate]])*Table5[[#This Row],[Cumulative]]</f>
        <v>0</v>
      </c>
      <c r="R158" t="s">
        <v>936</v>
      </c>
    </row>
    <row r="159" spans="1:18" ht="29" x14ac:dyDescent="0.35">
      <c r="A159" s="6">
        <v>6</v>
      </c>
      <c r="B159" s="11" t="s">
        <v>911</v>
      </c>
      <c r="C159" s="6">
        <v>0.91500000000000004</v>
      </c>
      <c r="D159" s="6" t="s">
        <v>10</v>
      </c>
      <c r="E159" s="9">
        <v>132</v>
      </c>
      <c r="F159" s="9">
        <v>44</v>
      </c>
      <c r="G159" s="9">
        <f>(Table5[[#This Row],[Supply Rate]]+Table5[[#This Row],[Install Rate]])*Table5[[#This Row],[Qty]]</f>
        <v>161.04000000000002</v>
      </c>
      <c r="H159" s="223">
        <f>Table5[[#This Row],[Supply Rate]]*80%</f>
        <v>105.60000000000001</v>
      </c>
      <c r="I159" s="224"/>
      <c r="J159" s="224">
        <f>IF(Table5[[#This Row],[Material Qty]]=0,0,Table5[[#This Row],[Material Qty]]-Table5[[#This Row],[Cumulative]])</f>
        <v>0</v>
      </c>
      <c r="K159" s="223">
        <f>Table5[[#This Row],[Material Balance Qty]]*Table5[[#This Row],[Material @ Site Rate]]</f>
        <v>0</v>
      </c>
      <c r="L159" s="9"/>
      <c r="M159" s="9">
        <f>Table5[[#This Row],[Cumulative]]-Table5[[#This Row],[Previous Qty]]</f>
        <v>0</v>
      </c>
      <c r="N159" s="9"/>
      <c r="O159" s="9">
        <f>(Table5[[#This Row],[Supply Rate]]+Table5[[#This Row],[Install Rate]])*Table5[[#This Row],[Previous Qty]]</f>
        <v>0</v>
      </c>
      <c r="P159" s="9">
        <f>Table5[[#This Row],[Cumulative Amount]]-Table5[[#This Row],[Previous Amount]]</f>
        <v>0</v>
      </c>
      <c r="Q159" s="9">
        <f>(Table5[[#This Row],[Supply Rate]]+Table5[[#This Row],[Install Rate]])*Table5[[#This Row],[Cumulative]]</f>
        <v>0</v>
      </c>
      <c r="R159" t="s">
        <v>936</v>
      </c>
    </row>
    <row r="160" spans="1:18" x14ac:dyDescent="0.35">
      <c r="A160" s="6">
        <v>7</v>
      </c>
      <c r="B160" s="11" t="s">
        <v>409</v>
      </c>
      <c r="C160" s="6">
        <v>22.7</v>
      </c>
      <c r="D160" s="6" t="s">
        <v>10</v>
      </c>
      <c r="E160" s="9">
        <v>85</v>
      </c>
      <c r="F160" s="9">
        <v>47</v>
      </c>
      <c r="G160" s="9">
        <f>(Table5[[#This Row],[Supply Rate]]+Table5[[#This Row],[Install Rate]])*Table5[[#This Row],[Qty]]</f>
        <v>2996.4</v>
      </c>
      <c r="H160" s="223">
        <f>Table5[[#This Row],[Supply Rate]]*80%</f>
        <v>68</v>
      </c>
      <c r="I160" s="224"/>
      <c r="J160" s="224">
        <f>IF(Table5[[#This Row],[Material Qty]]=0,0,Table5[[#This Row],[Material Qty]]-Table5[[#This Row],[Cumulative]])</f>
        <v>0</v>
      </c>
      <c r="K160" s="223">
        <f>Table5[[#This Row],[Material Balance Qty]]*Table5[[#This Row],[Material @ Site Rate]]</f>
        <v>0</v>
      </c>
      <c r="L160" s="9"/>
      <c r="M160" s="9">
        <f>Table5[[#This Row],[Cumulative]]-Table5[[#This Row],[Previous Qty]]</f>
        <v>0</v>
      </c>
      <c r="N160" s="9"/>
      <c r="O160" s="9">
        <f>(Table5[[#This Row],[Supply Rate]]+Table5[[#This Row],[Install Rate]])*Table5[[#This Row],[Previous Qty]]</f>
        <v>0</v>
      </c>
      <c r="P160" s="9">
        <f>Table5[[#This Row],[Cumulative Amount]]-Table5[[#This Row],[Previous Amount]]</f>
        <v>0</v>
      </c>
      <c r="Q160" s="9">
        <f>(Table5[[#This Row],[Supply Rate]]+Table5[[#This Row],[Install Rate]])*Table5[[#This Row],[Cumulative]]</f>
        <v>0</v>
      </c>
      <c r="R160" t="s">
        <v>936</v>
      </c>
    </row>
    <row r="161" spans="1:18" x14ac:dyDescent="0.35">
      <c r="A161" s="6">
        <v>8</v>
      </c>
      <c r="B161" s="11" t="s">
        <v>410</v>
      </c>
      <c r="C161" s="6">
        <v>7.48</v>
      </c>
      <c r="D161" s="6" t="s">
        <v>10</v>
      </c>
      <c r="E161" s="9">
        <v>112</v>
      </c>
      <c r="F161" s="9">
        <v>51</v>
      </c>
      <c r="G161" s="9">
        <f>(Table5[[#This Row],[Supply Rate]]+Table5[[#This Row],[Install Rate]])*Table5[[#This Row],[Qty]]</f>
        <v>1219.24</v>
      </c>
      <c r="H161" s="223">
        <f>Table5[[#This Row],[Supply Rate]]*80%</f>
        <v>89.600000000000009</v>
      </c>
      <c r="I161" s="224"/>
      <c r="J161" s="224">
        <f>IF(Table5[[#This Row],[Material Qty]]=0,0,Table5[[#This Row],[Material Qty]]-Table5[[#This Row],[Cumulative]])</f>
        <v>0</v>
      </c>
      <c r="K161" s="223">
        <f>Table5[[#This Row],[Material Balance Qty]]*Table5[[#This Row],[Material @ Site Rate]]</f>
        <v>0</v>
      </c>
      <c r="L161" s="9"/>
      <c r="M161" s="9">
        <f>Table5[[#This Row],[Cumulative]]-Table5[[#This Row],[Previous Qty]]</f>
        <v>0</v>
      </c>
      <c r="N161" s="9"/>
      <c r="O161" s="9">
        <f>(Table5[[#This Row],[Supply Rate]]+Table5[[#This Row],[Install Rate]])*Table5[[#This Row],[Previous Qty]]</f>
        <v>0</v>
      </c>
      <c r="P161" s="9">
        <f>Table5[[#This Row],[Cumulative Amount]]-Table5[[#This Row],[Previous Amount]]</f>
        <v>0</v>
      </c>
      <c r="Q161" s="9">
        <f>(Table5[[#This Row],[Supply Rate]]+Table5[[#This Row],[Install Rate]])*Table5[[#This Row],[Cumulative]]</f>
        <v>0</v>
      </c>
      <c r="R161" t="s">
        <v>936</v>
      </c>
    </row>
    <row r="162" spans="1:18" x14ac:dyDescent="0.35">
      <c r="A162" s="6">
        <v>9</v>
      </c>
      <c r="B162" s="11" t="s">
        <v>411</v>
      </c>
      <c r="C162" s="6">
        <v>5.44</v>
      </c>
      <c r="D162" s="6" t="s">
        <v>10</v>
      </c>
      <c r="E162" s="9">
        <v>119</v>
      </c>
      <c r="F162" s="9">
        <v>51</v>
      </c>
      <c r="G162" s="9">
        <f>(Table5[[#This Row],[Supply Rate]]+Table5[[#This Row],[Install Rate]])*Table5[[#This Row],[Qty]]</f>
        <v>924.80000000000007</v>
      </c>
      <c r="H162" s="223">
        <f>Table5[[#This Row],[Supply Rate]]*80%</f>
        <v>95.2</v>
      </c>
      <c r="I162" s="224"/>
      <c r="J162" s="224">
        <f>IF(Table5[[#This Row],[Material Qty]]=0,0,Table5[[#This Row],[Material Qty]]-Table5[[#This Row],[Cumulative]])</f>
        <v>0</v>
      </c>
      <c r="K162" s="223">
        <f>Table5[[#This Row],[Material Balance Qty]]*Table5[[#This Row],[Material @ Site Rate]]</f>
        <v>0</v>
      </c>
      <c r="L162" s="9"/>
      <c r="M162" s="9">
        <f>Table5[[#This Row],[Cumulative]]-Table5[[#This Row],[Previous Qty]]</f>
        <v>0</v>
      </c>
      <c r="N162" s="9"/>
      <c r="O162" s="9">
        <f>(Table5[[#This Row],[Supply Rate]]+Table5[[#This Row],[Install Rate]])*Table5[[#This Row],[Previous Qty]]</f>
        <v>0</v>
      </c>
      <c r="P162" s="9">
        <f>Table5[[#This Row],[Cumulative Amount]]-Table5[[#This Row],[Previous Amount]]</f>
        <v>0</v>
      </c>
      <c r="Q162" s="9">
        <f>(Table5[[#This Row],[Supply Rate]]+Table5[[#This Row],[Install Rate]])*Table5[[#This Row],[Cumulative]]</f>
        <v>0</v>
      </c>
      <c r="R162" t="s">
        <v>936</v>
      </c>
    </row>
    <row r="163" spans="1:18" x14ac:dyDescent="0.35">
      <c r="A163" s="6">
        <v>10</v>
      </c>
      <c r="B163" s="11" t="s">
        <v>412</v>
      </c>
      <c r="C163" s="6">
        <v>7.81</v>
      </c>
      <c r="D163" s="6" t="s">
        <v>10</v>
      </c>
      <c r="E163" s="9">
        <v>92</v>
      </c>
      <c r="F163" s="9">
        <v>36</v>
      </c>
      <c r="G163" s="9">
        <f>(Table5[[#This Row],[Supply Rate]]+Table5[[#This Row],[Install Rate]])*Table5[[#This Row],[Qty]]</f>
        <v>999.68</v>
      </c>
      <c r="H163" s="223">
        <f>Table5[[#This Row],[Supply Rate]]*80%</f>
        <v>73.600000000000009</v>
      </c>
      <c r="I163" s="224"/>
      <c r="J163" s="224">
        <f>IF(Table5[[#This Row],[Material Qty]]=0,0,Table5[[#This Row],[Material Qty]]-Table5[[#This Row],[Cumulative]])</f>
        <v>0</v>
      </c>
      <c r="K163" s="223">
        <f>Table5[[#This Row],[Material Balance Qty]]*Table5[[#This Row],[Material @ Site Rate]]</f>
        <v>0</v>
      </c>
      <c r="L163" s="9"/>
      <c r="M163" s="9">
        <f>Table5[[#This Row],[Cumulative]]-Table5[[#This Row],[Previous Qty]]</f>
        <v>0</v>
      </c>
      <c r="N163" s="9"/>
      <c r="O163" s="9">
        <f>(Table5[[#This Row],[Supply Rate]]+Table5[[#This Row],[Install Rate]])*Table5[[#This Row],[Previous Qty]]</f>
        <v>0</v>
      </c>
      <c r="P163" s="9">
        <f>Table5[[#This Row],[Cumulative Amount]]-Table5[[#This Row],[Previous Amount]]</f>
        <v>0</v>
      </c>
      <c r="Q163" s="9">
        <f>(Table5[[#This Row],[Supply Rate]]+Table5[[#This Row],[Install Rate]])*Table5[[#This Row],[Cumulative]]</f>
        <v>0</v>
      </c>
      <c r="R163" t="s">
        <v>936</v>
      </c>
    </row>
    <row r="164" spans="1:18" x14ac:dyDescent="0.35">
      <c r="A164" s="6"/>
      <c r="B164" s="11" t="s">
        <v>309</v>
      </c>
      <c r="C164" s="6"/>
      <c r="D164" s="6"/>
      <c r="E164" s="9"/>
      <c r="F164" s="9"/>
      <c r="G164" s="9"/>
      <c r="H164" s="223"/>
      <c r="I164" s="224"/>
      <c r="J164" s="224"/>
      <c r="K164" s="223"/>
      <c r="L164" s="9"/>
      <c r="M164" s="9"/>
      <c r="N164" s="9"/>
      <c r="O164" s="9"/>
      <c r="P164" s="9"/>
      <c r="Q164" s="9"/>
      <c r="R164" t="s">
        <v>936</v>
      </c>
    </row>
    <row r="165" spans="1:18" x14ac:dyDescent="0.35">
      <c r="A165" s="6"/>
      <c r="B165" s="11" t="s">
        <v>310</v>
      </c>
      <c r="C165" s="6"/>
      <c r="D165" s="6"/>
      <c r="E165" s="9"/>
      <c r="F165" s="9"/>
      <c r="G165" s="9"/>
      <c r="H165" s="223"/>
      <c r="I165" s="224"/>
      <c r="J165" s="224"/>
      <c r="K165" s="223"/>
      <c r="L165" s="9"/>
      <c r="M165" s="9"/>
      <c r="N165" s="9"/>
      <c r="O165" s="9"/>
      <c r="P165" s="9"/>
      <c r="Q165" s="9"/>
      <c r="R165" t="s">
        <v>936</v>
      </c>
    </row>
    <row r="166" spans="1:18" ht="72.5" x14ac:dyDescent="0.35">
      <c r="A166" s="6" t="s">
        <v>303</v>
      </c>
      <c r="B166" s="11" t="s">
        <v>311</v>
      </c>
      <c r="C166" s="6"/>
      <c r="D166" s="6"/>
      <c r="E166" s="9"/>
      <c r="F166" s="9"/>
      <c r="G166" s="9"/>
      <c r="H166" s="223"/>
      <c r="I166" s="224"/>
      <c r="J166" s="224"/>
      <c r="K166" s="223"/>
      <c r="L166" s="9"/>
      <c r="M166" s="9"/>
      <c r="N166" s="9"/>
      <c r="O166" s="9"/>
      <c r="P166" s="9"/>
      <c r="Q166" s="9"/>
      <c r="R166" t="s">
        <v>936</v>
      </c>
    </row>
    <row r="167" spans="1:18" ht="29" x14ac:dyDescent="0.35">
      <c r="A167" s="6">
        <v>1</v>
      </c>
      <c r="B167" s="11" t="s">
        <v>413</v>
      </c>
      <c r="C167" s="6">
        <v>62.05</v>
      </c>
      <c r="D167" s="6" t="s">
        <v>10</v>
      </c>
      <c r="E167" s="9">
        <v>208</v>
      </c>
      <c r="F167" s="9">
        <v>21</v>
      </c>
      <c r="G167" s="9">
        <f>(Table5[[#This Row],[Supply Rate]]+Table5[[#This Row],[Install Rate]])*Table5[[#This Row],[Qty]]</f>
        <v>14209.449999999999</v>
      </c>
      <c r="H167" s="223">
        <f>Table5[[#This Row],[Supply Rate]]*80%</f>
        <v>166.4</v>
      </c>
      <c r="I167" s="224"/>
      <c r="J167" s="224">
        <f>IF(Table5[[#This Row],[Material Qty]]=0,0,Table5[[#This Row],[Material Qty]]-Table5[[#This Row],[Cumulative]])</f>
        <v>0</v>
      </c>
      <c r="K167" s="223">
        <f>Table5[[#This Row],[Material Balance Qty]]*Table5[[#This Row],[Material @ Site Rate]]</f>
        <v>0</v>
      </c>
      <c r="L167" s="9"/>
      <c r="M167" s="9">
        <f>Table5[[#This Row],[Cumulative]]-Table5[[#This Row],[Previous Qty]]</f>
        <v>0</v>
      </c>
      <c r="N167" s="9"/>
      <c r="O167" s="9">
        <f>(Table5[[#This Row],[Supply Rate]]+Table5[[#This Row],[Install Rate]])*Table5[[#This Row],[Previous Qty]]</f>
        <v>0</v>
      </c>
      <c r="P167" s="9">
        <f>Table5[[#This Row],[Cumulative Amount]]-Table5[[#This Row],[Previous Amount]]</f>
        <v>0</v>
      </c>
      <c r="Q167" s="9">
        <f>(Table5[[#This Row],[Supply Rate]]+Table5[[#This Row],[Install Rate]])*Table5[[#This Row],[Cumulative]]</f>
        <v>0</v>
      </c>
      <c r="R167" t="s">
        <v>936</v>
      </c>
    </row>
    <row r="168" spans="1:18" x14ac:dyDescent="0.35">
      <c r="A168" s="6"/>
      <c r="B168" s="7" t="s">
        <v>313</v>
      </c>
      <c r="C168" s="6"/>
      <c r="D168" s="6"/>
      <c r="E168" s="9"/>
      <c r="F168" s="9"/>
      <c r="G168" s="9"/>
      <c r="H168" s="223"/>
      <c r="I168" s="224"/>
      <c r="J168" s="224"/>
      <c r="K168" s="223"/>
      <c r="L168" s="9"/>
      <c r="M168" s="9"/>
      <c r="N168" s="9"/>
      <c r="O168" s="9"/>
      <c r="P168" s="9"/>
      <c r="Q168" s="9"/>
      <c r="R168" t="s">
        <v>936</v>
      </c>
    </row>
    <row r="169" spans="1:18" x14ac:dyDescent="0.35">
      <c r="A169" s="6"/>
      <c r="B169" s="11" t="s">
        <v>289</v>
      </c>
      <c r="C169" s="6"/>
      <c r="D169" s="6"/>
      <c r="E169" s="9"/>
      <c r="F169" s="9"/>
      <c r="G169" s="9"/>
      <c r="H169" s="223"/>
      <c r="I169" s="224"/>
      <c r="J169" s="224"/>
      <c r="K169" s="223"/>
      <c r="L169" s="9"/>
      <c r="M169" s="9"/>
      <c r="N169" s="9"/>
      <c r="O169" s="9"/>
      <c r="P169" s="9"/>
      <c r="Q169" s="9"/>
      <c r="R169" t="s">
        <v>936</v>
      </c>
    </row>
    <row r="170" spans="1:18" ht="72.5" x14ac:dyDescent="0.35">
      <c r="A170" s="6"/>
      <c r="B170" s="11" t="s">
        <v>290</v>
      </c>
      <c r="C170" s="6"/>
      <c r="D170" s="6"/>
      <c r="E170" s="9"/>
      <c r="F170" s="9"/>
      <c r="G170" s="9"/>
      <c r="H170" s="223"/>
      <c r="I170" s="224"/>
      <c r="J170" s="224"/>
      <c r="K170" s="223"/>
      <c r="L170" s="9"/>
      <c r="M170" s="9"/>
      <c r="N170" s="9"/>
      <c r="O170" s="9"/>
      <c r="P170" s="9"/>
      <c r="Q170" s="9"/>
      <c r="R170" t="s">
        <v>936</v>
      </c>
    </row>
    <row r="171" spans="1:18" ht="29" x14ac:dyDescent="0.35">
      <c r="A171" s="6" t="s">
        <v>292</v>
      </c>
      <c r="B171" s="11" t="s">
        <v>396</v>
      </c>
      <c r="C171" s="6"/>
      <c r="D171" s="6"/>
      <c r="E171" s="9"/>
      <c r="F171" s="9"/>
      <c r="G171" s="9"/>
      <c r="H171" s="223"/>
      <c r="I171" s="224"/>
      <c r="J171" s="224"/>
      <c r="K171" s="223"/>
      <c r="L171" s="9"/>
      <c r="M171" s="9"/>
      <c r="N171" s="9"/>
      <c r="O171" s="9"/>
      <c r="P171" s="9"/>
      <c r="Q171" s="9"/>
      <c r="R171" t="s">
        <v>936</v>
      </c>
    </row>
    <row r="172" spans="1:18" x14ac:dyDescent="0.35">
      <c r="A172" s="6">
        <v>1</v>
      </c>
      <c r="B172" s="11" t="s">
        <v>317</v>
      </c>
      <c r="C172" s="6">
        <v>2.2000000000000002</v>
      </c>
      <c r="D172" s="6" t="s">
        <v>17</v>
      </c>
      <c r="E172" s="9">
        <v>1516</v>
      </c>
      <c r="F172" s="9">
        <v>269</v>
      </c>
      <c r="G172" s="9">
        <f>(Table5[[#This Row],[Supply Rate]]+Table5[[#This Row],[Install Rate]])*Table5[[#This Row],[Qty]]</f>
        <v>3927.0000000000005</v>
      </c>
      <c r="H172" s="223">
        <f>Table5[[#This Row],[Supply Rate]]*80%</f>
        <v>1212.8</v>
      </c>
      <c r="I172" s="224"/>
      <c r="J172" s="224">
        <f>IF(Table5[[#This Row],[Material Qty]]=0,0,Table5[[#This Row],[Material Qty]]-Table5[[#This Row],[Cumulative]])</f>
        <v>0</v>
      </c>
      <c r="K172" s="223">
        <f>Table5[[#This Row],[Material Balance Qty]]*Table5[[#This Row],[Material @ Site Rate]]</f>
        <v>0</v>
      </c>
      <c r="L172" s="9"/>
      <c r="M172" s="9">
        <f>Table5[[#This Row],[Cumulative]]-Table5[[#This Row],[Previous Qty]]</f>
        <v>0</v>
      </c>
      <c r="N172" s="9"/>
      <c r="O172" s="9">
        <f>(Table5[[#This Row],[Supply Rate]]+Table5[[#This Row],[Install Rate]])*Table5[[#This Row],[Previous Qty]]</f>
        <v>0</v>
      </c>
      <c r="P172" s="9">
        <f>Table5[[#This Row],[Cumulative Amount]]-Table5[[#This Row],[Previous Amount]]</f>
        <v>0</v>
      </c>
      <c r="Q172" s="9">
        <f>(Table5[[#This Row],[Supply Rate]]+Table5[[#This Row],[Install Rate]])*Table5[[#This Row],[Cumulative]]</f>
        <v>0</v>
      </c>
      <c r="R172" t="s">
        <v>936</v>
      </c>
    </row>
    <row r="173" spans="1:18" ht="43.5" x14ac:dyDescent="0.35">
      <c r="A173" s="6" t="s">
        <v>294</v>
      </c>
      <c r="B173" s="11" t="s">
        <v>414</v>
      </c>
      <c r="C173" s="6"/>
      <c r="D173" s="6"/>
      <c r="E173" s="9"/>
      <c r="F173" s="9"/>
      <c r="G173" s="9"/>
      <c r="H173" s="223"/>
      <c r="I173" s="224"/>
      <c r="J173" s="224"/>
      <c r="K173" s="223"/>
      <c r="L173" s="9"/>
      <c r="M173" s="9"/>
      <c r="N173" s="9"/>
      <c r="O173" s="9"/>
      <c r="P173" s="9"/>
      <c r="Q173" s="9"/>
      <c r="R173" t="s">
        <v>936</v>
      </c>
    </row>
    <row r="174" spans="1:18" x14ac:dyDescent="0.35">
      <c r="A174" s="6">
        <v>1</v>
      </c>
      <c r="B174" s="11" t="s">
        <v>326</v>
      </c>
      <c r="C174" s="6">
        <v>6.17</v>
      </c>
      <c r="D174" s="6" t="s">
        <v>17</v>
      </c>
      <c r="E174" s="9">
        <v>937</v>
      </c>
      <c r="F174" s="9">
        <v>234</v>
      </c>
      <c r="G174" s="9">
        <f>(Table5[[#This Row],[Supply Rate]]+Table5[[#This Row],[Install Rate]])*Table5[[#This Row],[Qty]]</f>
        <v>7225.07</v>
      </c>
      <c r="H174" s="223">
        <f>Table5[[#This Row],[Supply Rate]]*80%</f>
        <v>749.6</v>
      </c>
      <c r="I174" s="224"/>
      <c r="J174" s="224">
        <f>IF(Table5[[#This Row],[Material Qty]]=0,0,Table5[[#This Row],[Material Qty]]-Table5[[#This Row],[Cumulative]])</f>
        <v>0</v>
      </c>
      <c r="K174" s="223">
        <f>Table5[[#This Row],[Material Balance Qty]]*Table5[[#This Row],[Material @ Site Rate]]</f>
        <v>0</v>
      </c>
      <c r="L174" s="9"/>
      <c r="M174" s="9">
        <f>Table5[[#This Row],[Cumulative]]-Table5[[#This Row],[Previous Qty]]</f>
        <v>4.9359999999999999</v>
      </c>
      <c r="N174" s="9">
        <f>6.17*0.8</f>
        <v>4.9359999999999999</v>
      </c>
      <c r="O174" s="9">
        <f>(Table5[[#This Row],[Supply Rate]]+Table5[[#This Row],[Install Rate]])*Table5[[#This Row],[Previous Qty]]</f>
        <v>0</v>
      </c>
      <c r="P174" s="9">
        <f>Table5[[#This Row],[Cumulative Amount]]-Table5[[#This Row],[Previous Amount]]</f>
        <v>5780.0559999999996</v>
      </c>
      <c r="Q174" s="9">
        <f>(Table5[[#This Row],[Supply Rate]]+Table5[[#This Row],[Install Rate]])*Table5[[#This Row],[Cumulative]]</f>
        <v>5780.0559999999996</v>
      </c>
      <c r="R174" t="s">
        <v>936</v>
      </c>
    </row>
    <row r="175" spans="1:18" ht="29" x14ac:dyDescent="0.35">
      <c r="A175" s="6" t="s">
        <v>297</v>
      </c>
      <c r="B175" s="11" t="s">
        <v>415</v>
      </c>
      <c r="C175" s="6"/>
      <c r="D175" s="6"/>
      <c r="E175" s="9"/>
      <c r="F175" s="9"/>
      <c r="G175" s="9"/>
      <c r="H175" s="223"/>
      <c r="I175" s="224"/>
      <c r="J175" s="224"/>
      <c r="K175" s="223"/>
      <c r="L175" s="9"/>
      <c r="M175" s="9"/>
      <c r="N175" s="9"/>
      <c r="O175" s="9"/>
      <c r="P175" s="9"/>
      <c r="Q175" s="9"/>
      <c r="R175" t="s">
        <v>936</v>
      </c>
    </row>
    <row r="176" spans="1:18" x14ac:dyDescent="0.35">
      <c r="A176" s="6">
        <v>1</v>
      </c>
      <c r="B176" s="11" t="s">
        <v>326</v>
      </c>
      <c r="C176" s="6">
        <v>3.26</v>
      </c>
      <c r="D176" s="6" t="s">
        <v>17</v>
      </c>
      <c r="E176" s="9">
        <v>903</v>
      </c>
      <c r="F176" s="9">
        <v>220</v>
      </c>
      <c r="G176" s="9">
        <f>(Table5[[#This Row],[Supply Rate]]+Table5[[#This Row],[Install Rate]])*Table5[[#This Row],[Qty]]</f>
        <v>3660.9799999999996</v>
      </c>
      <c r="H176" s="223">
        <f>Table5[[#This Row],[Supply Rate]]*80%</f>
        <v>722.40000000000009</v>
      </c>
      <c r="I176" s="224"/>
      <c r="J176" s="224">
        <f>IF(Table5[[#This Row],[Material Qty]]=0,0,Table5[[#This Row],[Material Qty]]-Table5[[#This Row],[Cumulative]])</f>
        <v>0</v>
      </c>
      <c r="K176" s="223">
        <f>Table5[[#This Row],[Material Balance Qty]]*Table5[[#This Row],[Material @ Site Rate]]</f>
        <v>0</v>
      </c>
      <c r="L176" s="9"/>
      <c r="M176" s="9">
        <f>Table5[[#This Row],[Cumulative]]-Table5[[#This Row],[Previous Qty]]</f>
        <v>15.856000000000002</v>
      </c>
      <c r="N176" s="9">
        <f>19.82*0.8</f>
        <v>15.856000000000002</v>
      </c>
      <c r="O176" s="9">
        <f>(Table5[[#This Row],[Supply Rate]]+Table5[[#This Row],[Install Rate]])*Table5[[#This Row],[Previous Qty]]</f>
        <v>0</v>
      </c>
      <c r="P176" s="9">
        <f>Table5[[#This Row],[Cumulative Amount]]-Table5[[#This Row],[Previous Amount]]</f>
        <v>17806.288</v>
      </c>
      <c r="Q176" s="9">
        <f>(Table5[[#This Row],[Supply Rate]]+Table5[[#This Row],[Install Rate]])*Table5[[#This Row],[Cumulative]]</f>
        <v>17806.288</v>
      </c>
      <c r="R176" t="s">
        <v>936</v>
      </c>
    </row>
    <row r="177" spans="1:18" x14ac:dyDescent="0.35">
      <c r="A177" s="6">
        <v>2</v>
      </c>
      <c r="B177" s="11" t="s">
        <v>323</v>
      </c>
      <c r="C177" s="6">
        <v>19.82</v>
      </c>
      <c r="D177" s="6" t="s">
        <v>17</v>
      </c>
      <c r="E177" s="9">
        <v>903</v>
      </c>
      <c r="F177" s="9">
        <v>220</v>
      </c>
      <c r="G177" s="9">
        <f>(Table5[[#This Row],[Supply Rate]]+Table5[[#This Row],[Install Rate]])*Table5[[#This Row],[Qty]]</f>
        <v>22257.86</v>
      </c>
      <c r="H177" s="223">
        <f>Table5[[#This Row],[Supply Rate]]*80%</f>
        <v>722.40000000000009</v>
      </c>
      <c r="I177" s="224"/>
      <c r="J177" s="224">
        <f>IF(Table5[[#This Row],[Material Qty]]=0,0,Table5[[#This Row],[Material Qty]]-Table5[[#This Row],[Cumulative]])</f>
        <v>0</v>
      </c>
      <c r="K177" s="223">
        <f>Table5[[#This Row],[Material Balance Qty]]*Table5[[#This Row],[Material @ Site Rate]]</f>
        <v>0</v>
      </c>
      <c r="L177" s="9"/>
      <c r="M177" s="9">
        <f>Table5[[#This Row],[Cumulative]]-Table5[[#This Row],[Previous Qty]]</f>
        <v>0</v>
      </c>
      <c r="N177" s="9"/>
      <c r="O177" s="9">
        <f>(Table5[[#This Row],[Supply Rate]]+Table5[[#This Row],[Install Rate]])*Table5[[#This Row],[Previous Qty]]</f>
        <v>0</v>
      </c>
      <c r="P177" s="9">
        <f>Table5[[#This Row],[Cumulative Amount]]-Table5[[#This Row],[Previous Amount]]</f>
        <v>0</v>
      </c>
      <c r="Q177" s="9">
        <f>(Table5[[#This Row],[Supply Rate]]+Table5[[#This Row],[Install Rate]])*Table5[[#This Row],[Cumulative]]</f>
        <v>0</v>
      </c>
      <c r="R177" t="s">
        <v>936</v>
      </c>
    </row>
    <row r="178" spans="1:18" ht="29" x14ac:dyDescent="0.35">
      <c r="A178" s="6" t="s">
        <v>300</v>
      </c>
      <c r="B178" s="11" t="s">
        <v>416</v>
      </c>
      <c r="C178" s="6"/>
      <c r="D178" s="6"/>
      <c r="E178" s="9"/>
      <c r="F178" s="9"/>
      <c r="G178" s="9"/>
      <c r="H178" s="223"/>
      <c r="I178" s="224"/>
      <c r="J178" s="224"/>
      <c r="K178" s="223"/>
      <c r="L178" s="9"/>
      <c r="M178" s="9"/>
      <c r="N178" s="9"/>
      <c r="O178" s="9"/>
      <c r="P178" s="9"/>
      <c r="Q178" s="9"/>
      <c r="R178" t="s">
        <v>936</v>
      </c>
    </row>
    <row r="179" spans="1:18" x14ac:dyDescent="0.35">
      <c r="A179" s="6">
        <v>1</v>
      </c>
      <c r="B179" s="11" t="s">
        <v>417</v>
      </c>
      <c r="C179" s="6">
        <v>24.93</v>
      </c>
      <c r="D179" s="6" t="s">
        <v>17</v>
      </c>
      <c r="E179" s="9">
        <v>406</v>
      </c>
      <c r="F179" s="9">
        <v>214</v>
      </c>
      <c r="G179" s="9">
        <f>(Table5[[#This Row],[Supply Rate]]+Table5[[#This Row],[Install Rate]])*Table5[[#This Row],[Qty]]</f>
        <v>15456.6</v>
      </c>
      <c r="H179" s="223">
        <f>Table5[[#This Row],[Supply Rate]]*80%</f>
        <v>324.8</v>
      </c>
      <c r="I179" s="224"/>
      <c r="J179" s="224">
        <f>IF(Table5[[#This Row],[Material Qty]]=0,0,Table5[[#This Row],[Material Qty]]-Table5[[#This Row],[Cumulative]])</f>
        <v>0</v>
      </c>
      <c r="K179" s="223">
        <f>Table5[[#This Row],[Material Balance Qty]]*Table5[[#This Row],[Material @ Site Rate]]</f>
        <v>0</v>
      </c>
      <c r="L179" s="9"/>
      <c r="M179" s="9">
        <f>Table5[[#This Row],[Cumulative]]-Table5[[#This Row],[Previous Qty]]</f>
        <v>9.9720000000000013</v>
      </c>
      <c r="N179" s="9">
        <f>12.465*0.8</f>
        <v>9.9720000000000013</v>
      </c>
      <c r="O179" s="9">
        <f>(Table5[[#This Row],[Supply Rate]]+Table5[[#This Row],[Install Rate]])*Table5[[#This Row],[Previous Qty]]</f>
        <v>0</v>
      </c>
      <c r="P179" s="9">
        <f>Table5[[#This Row],[Cumulative Amount]]-Table5[[#This Row],[Previous Amount]]</f>
        <v>6182.6400000000012</v>
      </c>
      <c r="Q179" s="9">
        <f>(Table5[[#This Row],[Supply Rate]]+Table5[[#This Row],[Install Rate]])*Table5[[#This Row],[Cumulative]]</f>
        <v>6182.6400000000012</v>
      </c>
      <c r="R179" t="s">
        <v>936</v>
      </c>
    </row>
    <row r="180" spans="1:18" ht="43.5" x14ac:dyDescent="0.35">
      <c r="A180" s="6" t="s">
        <v>303</v>
      </c>
      <c r="B180" s="11" t="s">
        <v>418</v>
      </c>
      <c r="C180" s="6"/>
      <c r="D180" s="6"/>
      <c r="E180" s="9"/>
      <c r="F180" s="9"/>
      <c r="G180" s="9"/>
      <c r="H180" s="223"/>
      <c r="I180" s="224"/>
      <c r="J180" s="224"/>
      <c r="K180" s="223"/>
      <c r="L180" s="9"/>
      <c r="M180" s="9"/>
      <c r="N180" s="9"/>
      <c r="O180" s="9"/>
      <c r="P180" s="9"/>
      <c r="Q180" s="9"/>
      <c r="R180" t="s">
        <v>936</v>
      </c>
    </row>
    <row r="181" spans="1:18" x14ac:dyDescent="0.35">
      <c r="A181" s="6">
        <v>1</v>
      </c>
      <c r="B181" s="11" t="s">
        <v>326</v>
      </c>
      <c r="C181" s="6">
        <v>4.83</v>
      </c>
      <c r="D181" s="6" t="s">
        <v>17</v>
      </c>
      <c r="E181" s="9">
        <v>450</v>
      </c>
      <c r="F181" s="9">
        <v>204</v>
      </c>
      <c r="G181" s="9">
        <f>(Table5[[#This Row],[Supply Rate]]+Table5[[#This Row],[Install Rate]])*Table5[[#This Row],[Qty]]</f>
        <v>3158.82</v>
      </c>
      <c r="H181" s="223">
        <f>Table5[[#This Row],[Supply Rate]]*80%</f>
        <v>360</v>
      </c>
      <c r="I181" s="224"/>
      <c r="J181" s="224">
        <f>IF(Table5[[#This Row],[Material Qty]]=0,0,Table5[[#This Row],[Material Qty]]-Table5[[#This Row],[Cumulative]])</f>
        <v>0</v>
      </c>
      <c r="K181" s="223">
        <f>Table5[[#This Row],[Material Balance Qty]]*Table5[[#This Row],[Material @ Site Rate]]</f>
        <v>0</v>
      </c>
      <c r="L181" s="9"/>
      <c r="M181" s="9">
        <f>Table5[[#This Row],[Cumulative]]-Table5[[#This Row],[Previous Qty]]</f>
        <v>0</v>
      </c>
      <c r="N181" s="9"/>
      <c r="O181" s="9">
        <f>(Table5[[#This Row],[Supply Rate]]+Table5[[#This Row],[Install Rate]])*Table5[[#This Row],[Previous Qty]]</f>
        <v>0</v>
      </c>
      <c r="P181" s="9">
        <f>Table5[[#This Row],[Cumulative Amount]]-Table5[[#This Row],[Previous Amount]]</f>
        <v>0</v>
      </c>
      <c r="Q181" s="9">
        <f>(Table5[[#This Row],[Supply Rate]]+Table5[[#This Row],[Install Rate]])*Table5[[#This Row],[Cumulative]]</f>
        <v>0</v>
      </c>
      <c r="R181" t="s">
        <v>936</v>
      </c>
    </row>
    <row r="182" spans="1:18" x14ac:dyDescent="0.35">
      <c r="A182" s="6"/>
      <c r="B182" s="11" t="s">
        <v>403</v>
      </c>
      <c r="C182" s="6"/>
      <c r="D182" s="6"/>
      <c r="E182" s="9"/>
      <c r="F182" s="9"/>
      <c r="G182" s="9"/>
      <c r="H182" s="223"/>
      <c r="I182" s="224"/>
      <c r="J182" s="224"/>
      <c r="K182" s="223"/>
      <c r="L182" s="9"/>
      <c r="M182" s="9"/>
      <c r="N182" s="9"/>
      <c r="O182" s="9"/>
      <c r="P182" s="9"/>
      <c r="Q182" s="9"/>
      <c r="R182" t="s">
        <v>936</v>
      </c>
    </row>
    <row r="183" spans="1:18" ht="58" x14ac:dyDescent="0.35">
      <c r="A183" s="6" t="s">
        <v>300</v>
      </c>
      <c r="B183" s="11" t="s">
        <v>419</v>
      </c>
      <c r="C183" s="6"/>
      <c r="D183" s="6"/>
      <c r="E183" s="9"/>
      <c r="F183" s="9"/>
      <c r="G183" s="9"/>
      <c r="H183" s="223"/>
      <c r="I183" s="224"/>
      <c r="J183" s="224"/>
      <c r="K183" s="223"/>
      <c r="L183" s="9"/>
      <c r="M183" s="9"/>
      <c r="N183" s="9"/>
      <c r="O183" s="9"/>
      <c r="P183" s="9"/>
      <c r="Q183" s="9"/>
      <c r="R183" t="s">
        <v>936</v>
      </c>
    </row>
    <row r="184" spans="1:18" x14ac:dyDescent="0.35">
      <c r="A184" s="6">
        <v>1</v>
      </c>
      <c r="B184" s="11" t="s">
        <v>420</v>
      </c>
      <c r="C184" s="6">
        <v>1.1599999999999999</v>
      </c>
      <c r="D184" s="6" t="s">
        <v>10</v>
      </c>
      <c r="E184" s="9">
        <v>96</v>
      </c>
      <c r="F184" s="9">
        <v>45</v>
      </c>
      <c r="G184" s="9">
        <f>(Table5[[#This Row],[Supply Rate]]+Table5[[#This Row],[Install Rate]])*Table5[[#This Row],[Qty]]</f>
        <v>163.56</v>
      </c>
      <c r="H184" s="223">
        <f>Table5[[#This Row],[Supply Rate]]*80%</f>
        <v>76.800000000000011</v>
      </c>
      <c r="I184" s="224"/>
      <c r="J184" s="224">
        <f>IF(Table5[[#This Row],[Material Qty]]=0,0,Table5[[#This Row],[Material Qty]]-Table5[[#This Row],[Cumulative]])</f>
        <v>0</v>
      </c>
      <c r="K184" s="223">
        <f>Table5[[#This Row],[Material Balance Qty]]*Table5[[#This Row],[Material @ Site Rate]]</f>
        <v>0</v>
      </c>
      <c r="L184" s="9"/>
      <c r="M184" s="9">
        <f>Table5[[#This Row],[Cumulative]]-Table5[[#This Row],[Previous Qty]]</f>
        <v>0</v>
      </c>
      <c r="N184" s="9"/>
      <c r="O184" s="9">
        <f>(Table5[[#This Row],[Supply Rate]]+Table5[[#This Row],[Install Rate]])*Table5[[#This Row],[Previous Qty]]</f>
        <v>0</v>
      </c>
      <c r="P184" s="9">
        <f>Table5[[#This Row],[Cumulative Amount]]-Table5[[#This Row],[Previous Amount]]</f>
        <v>0</v>
      </c>
      <c r="Q184" s="9">
        <f>(Table5[[#This Row],[Supply Rate]]+Table5[[#This Row],[Install Rate]])*Table5[[#This Row],[Cumulative]]</f>
        <v>0</v>
      </c>
      <c r="R184" t="s">
        <v>936</v>
      </c>
    </row>
    <row r="185" spans="1:18" x14ac:dyDescent="0.35">
      <c r="A185" s="6">
        <v>2</v>
      </c>
      <c r="B185" s="11" t="s">
        <v>421</v>
      </c>
      <c r="C185" s="6">
        <v>1.1599999999999999</v>
      </c>
      <c r="D185" s="6" t="s">
        <v>10</v>
      </c>
      <c r="E185" s="9">
        <v>135</v>
      </c>
      <c r="F185" s="9">
        <v>62</v>
      </c>
      <c r="G185" s="9">
        <f>(Table5[[#This Row],[Supply Rate]]+Table5[[#This Row],[Install Rate]])*Table5[[#This Row],[Qty]]</f>
        <v>228.51999999999998</v>
      </c>
      <c r="H185" s="223">
        <f>Table5[[#This Row],[Supply Rate]]*80%</f>
        <v>108</v>
      </c>
      <c r="I185" s="224"/>
      <c r="J185" s="224">
        <f>IF(Table5[[#This Row],[Material Qty]]=0,0,Table5[[#This Row],[Material Qty]]-Table5[[#This Row],[Cumulative]])</f>
        <v>0</v>
      </c>
      <c r="K185" s="223">
        <f>Table5[[#This Row],[Material Balance Qty]]*Table5[[#This Row],[Material @ Site Rate]]</f>
        <v>0</v>
      </c>
      <c r="L185" s="9"/>
      <c r="M185" s="9">
        <f>Table5[[#This Row],[Cumulative]]-Table5[[#This Row],[Previous Qty]]</f>
        <v>0</v>
      </c>
      <c r="N185" s="9"/>
      <c r="O185" s="9">
        <f>(Table5[[#This Row],[Supply Rate]]+Table5[[#This Row],[Install Rate]])*Table5[[#This Row],[Previous Qty]]</f>
        <v>0</v>
      </c>
      <c r="P185" s="9">
        <f>Table5[[#This Row],[Cumulative Amount]]-Table5[[#This Row],[Previous Amount]]</f>
        <v>0</v>
      </c>
      <c r="Q185" s="9">
        <f>(Table5[[#This Row],[Supply Rate]]+Table5[[#This Row],[Install Rate]])*Table5[[#This Row],[Cumulative]]</f>
        <v>0</v>
      </c>
      <c r="R185" t="s">
        <v>936</v>
      </c>
    </row>
    <row r="186" spans="1:18" x14ac:dyDescent="0.35">
      <c r="A186" s="6">
        <v>3</v>
      </c>
      <c r="B186" s="11" t="s">
        <v>422</v>
      </c>
      <c r="C186" s="6">
        <v>1.1599999999999999</v>
      </c>
      <c r="D186" s="6" t="s">
        <v>10</v>
      </c>
      <c r="E186" s="9">
        <v>223</v>
      </c>
      <c r="F186" s="9">
        <v>103</v>
      </c>
      <c r="G186" s="9">
        <f>(Table5[[#This Row],[Supply Rate]]+Table5[[#This Row],[Install Rate]])*Table5[[#This Row],[Qty]]</f>
        <v>378.15999999999997</v>
      </c>
      <c r="H186" s="223">
        <f>Table5[[#This Row],[Supply Rate]]*80%</f>
        <v>178.4</v>
      </c>
      <c r="I186" s="224"/>
      <c r="J186" s="224">
        <f>IF(Table5[[#This Row],[Material Qty]]=0,0,Table5[[#This Row],[Material Qty]]-Table5[[#This Row],[Cumulative]])</f>
        <v>0</v>
      </c>
      <c r="K186" s="223">
        <f>Table5[[#This Row],[Material Balance Qty]]*Table5[[#This Row],[Material @ Site Rate]]</f>
        <v>0</v>
      </c>
      <c r="L186" s="9"/>
      <c r="M186" s="9">
        <f>Table5[[#This Row],[Cumulative]]-Table5[[#This Row],[Previous Qty]]</f>
        <v>0</v>
      </c>
      <c r="N186" s="9"/>
      <c r="O186" s="9">
        <f>(Table5[[#This Row],[Supply Rate]]+Table5[[#This Row],[Install Rate]])*Table5[[#This Row],[Previous Qty]]</f>
        <v>0</v>
      </c>
      <c r="P186" s="9">
        <f>Table5[[#This Row],[Cumulative Amount]]-Table5[[#This Row],[Previous Amount]]</f>
        <v>0</v>
      </c>
      <c r="Q186" s="9">
        <f>(Table5[[#This Row],[Supply Rate]]+Table5[[#This Row],[Install Rate]])*Table5[[#This Row],[Cumulative]]</f>
        <v>0</v>
      </c>
      <c r="R186" t="s">
        <v>936</v>
      </c>
    </row>
    <row r="187" spans="1:18" x14ac:dyDescent="0.35">
      <c r="A187" s="6">
        <v>4</v>
      </c>
      <c r="B187" s="11" t="s">
        <v>423</v>
      </c>
      <c r="C187" s="6">
        <v>0.88</v>
      </c>
      <c r="D187" s="6" t="s">
        <v>10</v>
      </c>
      <c r="E187" s="9">
        <v>54</v>
      </c>
      <c r="F187" s="9">
        <v>43</v>
      </c>
      <c r="G187" s="9">
        <f>(Table5[[#This Row],[Supply Rate]]+Table5[[#This Row],[Install Rate]])*Table5[[#This Row],[Qty]]</f>
        <v>85.36</v>
      </c>
      <c r="H187" s="223">
        <f>Table5[[#This Row],[Supply Rate]]*80%</f>
        <v>43.2</v>
      </c>
      <c r="I187" s="224"/>
      <c r="J187" s="224">
        <f>IF(Table5[[#This Row],[Material Qty]]=0,0,Table5[[#This Row],[Material Qty]]-Table5[[#This Row],[Cumulative]])</f>
        <v>0</v>
      </c>
      <c r="K187" s="223">
        <f>Table5[[#This Row],[Material Balance Qty]]*Table5[[#This Row],[Material @ Site Rate]]</f>
        <v>0</v>
      </c>
      <c r="L187" s="9"/>
      <c r="M187" s="9">
        <f>Table5[[#This Row],[Cumulative]]-Table5[[#This Row],[Previous Qty]]</f>
        <v>0</v>
      </c>
      <c r="N187" s="9"/>
      <c r="O187" s="9">
        <f>(Table5[[#This Row],[Supply Rate]]+Table5[[#This Row],[Install Rate]])*Table5[[#This Row],[Previous Qty]]</f>
        <v>0</v>
      </c>
      <c r="P187" s="9">
        <f>Table5[[#This Row],[Cumulative Amount]]-Table5[[#This Row],[Previous Amount]]</f>
        <v>0</v>
      </c>
      <c r="Q187" s="9">
        <f>(Table5[[#This Row],[Supply Rate]]+Table5[[#This Row],[Install Rate]])*Table5[[#This Row],[Cumulative]]</f>
        <v>0</v>
      </c>
      <c r="R187" t="s">
        <v>936</v>
      </c>
    </row>
    <row r="188" spans="1:18" x14ac:dyDescent="0.35">
      <c r="A188" s="6">
        <v>5</v>
      </c>
      <c r="B188" s="11" t="s">
        <v>424</v>
      </c>
      <c r="C188" s="6">
        <v>0.56000000000000005</v>
      </c>
      <c r="D188" s="6" t="s">
        <v>10</v>
      </c>
      <c r="E188" s="9">
        <v>66</v>
      </c>
      <c r="F188" s="9">
        <v>45</v>
      </c>
      <c r="G188" s="9">
        <f>(Table5[[#This Row],[Supply Rate]]+Table5[[#This Row],[Install Rate]])*Table5[[#This Row],[Qty]]</f>
        <v>62.160000000000004</v>
      </c>
      <c r="H188" s="223">
        <f>Table5[[#This Row],[Supply Rate]]*80%</f>
        <v>52.800000000000004</v>
      </c>
      <c r="I188" s="224"/>
      <c r="J188" s="224">
        <f>IF(Table5[[#This Row],[Material Qty]]=0,0,Table5[[#This Row],[Material Qty]]-Table5[[#This Row],[Cumulative]])</f>
        <v>0</v>
      </c>
      <c r="K188" s="223">
        <f>Table5[[#This Row],[Material Balance Qty]]*Table5[[#This Row],[Material @ Site Rate]]</f>
        <v>0</v>
      </c>
      <c r="L188" s="9"/>
      <c r="M188" s="9">
        <f>Table5[[#This Row],[Cumulative]]-Table5[[#This Row],[Previous Qty]]</f>
        <v>0</v>
      </c>
      <c r="N188" s="9"/>
      <c r="O188" s="9">
        <f>(Table5[[#This Row],[Supply Rate]]+Table5[[#This Row],[Install Rate]])*Table5[[#This Row],[Previous Qty]]</f>
        <v>0</v>
      </c>
      <c r="P188" s="9">
        <f>Table5[[#This Row],[Cumulative Amount]]-Table5[[#This Row],[Previous Amount]]</f>
        <v>0</v>
      </c>
      <c r="Q188" s="9">
        <f>(Table5[[#This Row],[Supply Rate]]+Table5[[#This Row],[Install Rate]])*Table5[[#This Row],[Cumulative]]</f>
        <v>0</v>
      </c>
      <c r="R188" t="s">
        <v>936</v>
      </c>
    </row>
    <row r="189" spans="1:18" x14ac:dyDescent="0.35">
      <c r="A189" s="6">
        <v>6</v>
      </c>
      <c r="B189" s="11" t="s">
        <v>425</v>
      </c>
      <c r="C189" s="6">
        <v>0.82</v>
      </c>
      <c r="D189" s="6" t="s">
        <v>10</v>
      </c>
      <c r="E189" s="9">
        <v>75</v>
      </c>
      <c r="F189" s="9">
        <v>46</v>
      </c>
      <c r="G189" s="9">
        <f>(Table5[[#This Row],[Supply Rate]]+Table5[[#This Row],[Install Rate]])*Table5[[#This Row],[Qty]]</f>
        <v>99.22</v>
      </c>
      <c r="H189" s="223">
        <f>Table5[[#This Row],[Supply Rate]]*80%</f>
        <v>60</v>
      </c>
      <c r="I189" s="224"/>
      <c r="J189" s="224">
        <f>IF(Table5[[#This Row],[Material Qty]]=0,0,Table5[[#This Row],[Material Qty]]-Table5[[#This Row],[Cumulative]])</f>
        <v>0</v>
      </c>
      <c r="K189" s="223">
        <f>Table5[[#This Row],[Material Balance Qty]]*Table5[[#This Row],[Material @ Site Rate]]</f>
        <v>0</v>
      </c>
      <c r="L189" s="9"/>
      <c r="M189" s="9">
        <f>Table5[[#This Row],[Cumulative]]-Table5[[#This Row],[Previous Qty]]</f>
        <v>0</v>
      </c>
      <c r="N189" s="9"/>
      <c r="O189" s="9">
        <f>(Table5[[#This Row],[Supply Rate]]+Table5[[#This Row],[Install Rate]])*Table5[[#This Row],[Previous Qty]]</f>
        <v>0</v>
      </c>
      <c r="P189" s="9">
        <f>Table5[[#This Row],[Cumulative Amount]]-Table5[[#This Row],[Previous Amount]]</f>
        <v>0</v>
      </c>
      <c r="Q189" s="9">
        <f>(Table5[[#This Row],[Supply Rate]]+Table5[[#This Row],[Install Rate]])*Table5[[#This Row],[Cumulative]]</f>
        <v>0</v>
      </c>
      <c r="R189" t="s">
        <v>936</v>
      </c>
    </row>
    <row r="190" spans="1:18" x14ac:dyDescent="0.35">
      <c r="A190" s="6">
        <v>7</v>
      </c>
      <c r="B190" s="11" t="s">
        <v>426</v>
      </c>
      <c r="C190" s="6">
        <v>0.82</v>
      </c>
      <c r="D190" s="6" t="s">
        <v>10</v>
      </c>
      <c r="E190" s="9">
        <v>81</v>
      </c>
      <c r="F190" s="9">
        <v>46</v>
      </c>
      <c r="G190" s="9">
        <f>(Table5[[#This Row],[Supply Rate]]+Table5[[#This Row],[Install Rate]])*Table5[[#This Row],[Qty]]</f>
        <v>104.14</v>
      </c>
      <c r="H190" s="223">
        <f>Table5[[#This Row],[Supply Rate]]*80%</f>
        <v>64.8</v>
      </c>
      <c r="I190" s="224"/>
      <c r="J190" s="224">
        <f>IF(Table5[[#This Row],[Material Qty]]=0,0,Table5[[#This Row],[Material Qty]]-Table5[[#This Row],[Cumulative]])</f>
        <v>0</v>
      </c>
      <c r="K190" s="223">
        <f>Table5[[#This Row],[Material Balance Qty]]*Table5[[#This Row],[Material @ Site Rate]]</f>
        <v>0</v>
      </c>
      <c r="L190" s="9"/>
      <c r="M190" s="9">
        <f>Table5[[#This Row],[Cumulative]]-Table5[[#This Row],[Previous Qty]]</f>
        <v>0</v>
      </c>
      <c r="N190" s="9"/>
      <c r="O190" s="9">
        <f>(Table5[[#This Row],[Supply Rate]]+Table5[[#This Row],[Install Rate]])*Table5[[#This Row],[Previous Qty]]</f>
        <v>0</v>
      </c>
      <c r="P190" s="9">
        <f>Table5[[#This Row],[Cumulative Amount]]-Table5[[#This Row],[Previous Amount]]</f>
        <v>0</v>
      </c>
      <c r="Q190" s="9">
        <f>(Table5[[#This Row],[Supply Rate]]+Table5[[#This Row],[Install Rate]])*Table5[[#This Row],[Cumulative]]</f>
        <v>0</v>
      </c>
      <c r="R190" t="s">
        <v>936</v>
      </c>
    </row>
    <row r="191" spans="1:18" x14ac:dyDescent="0.35">
      <c r="A191" s="6">
        <v>8</v>
      </c>
      <c r="B191" s="11" t="s">
        <v>427</v>
      </c>
      <c r="C191" s="6">
        <v>11.22</v>
      </c>
      <c r="D191" s="6" t="s">
        <v>10</v>
      </c>
      <c r="E191" s="9">
        <v>74</v>
      </c>
      <c r="F191" s="9">
        <v>30</v>
      </c>
      <c r="G191" s="9">
        <f>(Table5[[#This Row],[Supply Rate]]+Table5[[#This Row],[Install Rate]])*Table5[[#This Row],[Qty]]</f>
        <v>1166.8800000000001</v>
      </c>
      <c r="H191" s="223">
        <f>Table5[[#This Row],[Supply Rate]]*80%</f>
        <v>59.2</v>
      </c>
      <c r="I191" s="224"/>
      <c r="J191" s="224">
        <f>IF(Table5[[#This Row],[Material Qty]]=0,0,Table5[[#This Row],[Material Qty]]-Table5[[#This Row],[Cumulative]])</f>
        <v>0</v>
      </c>
      <c r="K191" s="223">
        <f>Table5[[#This Row],[Material Balance Qty]]*Table5[[#This Row],[Material @ Site Rate]]</f>
        <v>0</v>
      </c>
      <c r="L191" s="9"/>
      <c r="M191" s="9">
        <f>Table5[[#This Row],[Cumulative]]-Table5[[#This Row],[Previous Qty]]</f>
        <v>0</v>
      </c>
      <c r="N191" s="9"/>
      <c r="O191" s="9">
        <f>(Table5[[#This Row],[Supply Rate]]+Table5[[#This Row],[Install Rate]])*Table5[[#This Row],[Previous Qty]]</f>
        <v>0</v>
      </c>
      <c r="P191" s="9">
        <f>Table5[[#This Row],[Cumulative Amount]]-Table5[[#This Row],[Previous Amount]]</f>
        <v>0</v>
      </c>
      <c r="Q191" s="9">
        <f>(Table5[[#This Row],[Supply Rate]]+Table5[[#This Row],[Install Rate]])*Table5[[#This Row],[Cumulative]]</f>
        <v>0</v>
      </c>
      <c r="R191" t="s">
        <v>936</v>
      </c>
    </row>
    <row r="192" spans="1:18" x14ac:dyDescent="0.35">
      <c r="A192" s="6">
        <v>9</v>
      </c>
      <c r="B192" s="11" t="s">
        <v>428</v>
      </c>
      <c r="C192" s="6">
        <v>4.29</v>
      </c>
      <c r="D192" s="6" t="s">
        <v>10</v>
      </c>
      <c r="E192" s="9">
        <v>298</v>
      </c>
      <c r="F192" s="9">
        <v>56</v>
      </c>
      <c r="G192" s="9">
        <f>(Table5[[#This Row],[Supply Rate]]+Table5[[#This Row],[Install Rate]])*Table5[[#This Row],[Qty]]</f>
        <v>1518.66</v>
      </c>
      <c r="H192" s="223">
        <f>Table5[[#This Row],[Supply Rate]]*80%</f>
        <v>238.4</v>
      </c>
      <c r="I192" s="224"/>
      <c r="J192" s="224">
        <f>IF(Table5[[#This Row],[Material Qty]]=0,0,Table5[[#This Row],[Material Qty]]-Table5[[#This Row],[Cumulative]])</f>
        <v>0</v>
      </c>
      <c r="K192" s="223">
        <f>Table5[[#This Row],[Material Balance Qty]]*Table5[[#This Row],[Material @ Site Rate]]</f>
        <v>0</v>
      </c>
      <c r="L192" s="9"/>
      <c r="M192" s="9">
        <f>Table5[[#This Row],[Cumulative]]-Table5[[#This Row],[Previous Qty]]</f>
        <v>0</v>
      </c>
      <c r="N192" s="9"/>
      <c r="O192" s="9">
        <f>(Table5[[#This Row],[Supply Rate]]+Table5[[#This Row],[Install Rate]])*Table5[[#This Row],[Previous Qty]]</f>
        <v>0</v>
      </c>
      <c r="P192" s="9">
        <f>Table5[[#This Row],[Cumulative Amount]]-Table5[[#This Row],[Previous Amount]]</f>
        <v>0</v>
      </c>
      <c r="Q192" s="9">
        <f>(Table5[[#This Row],[Supply Rate]]+Table5[[#This Row],[Install Rate]])*Table5[[#This Row],[Cumulative]]</f>
        <v>0</v>
      </c>
      <c r="R192" t="s">
        <v>936</v>
      </c>
    </row>
    <row r="193" spans="1:18" x14ac:dyDescent="0.35">
      <c r="A193" s="6">
        <v>10</v>
      </c>
      <c r="B193" s="11" t="s">
        <v>429</v>
      </c>
      <c r="C193" s="6">
        <v>4.2699999999999996</v>
      </c>
      <c r="D193" s="6" t="s">
        <v>10</v>
      </c>
      <c r="E193" s="9">
        <v>104</v>
      </c>
      <c r="F193" s="9">
        <v>34</v>
      </c>
      <c r="G193" s="9">
        <f>(Table5[[#This Row],[Supply Rate]]+Table5[[#This Row],[Install Rate]])*Table5[[#This Row],[Qty]]</f>
        <v>589.26</v>
      </c>
      <c r="H193" s="223">
        <f>Table5[[#This Row],[Supply Rate]]*80%</f>
        <v>83.2</v>
      </c>
      <c r="I193" s="224"/>
      <c r="J193" s="224">
        <f>IF(Table5[[#This Row],[Material Qty]]=0,0,Table5[[#This Row],[Material Qty]]-Table5[[#This Row],[Cumulative]])</f>
        <v>0</v>
      </c>
      <c r="K193" s="223">
        <f>Table5[[#This Row],[Material Balance Qty]]*Table5[[#This Row],[Material @ Site Rate]]</f>
        <v>0</v>
      </c>
      <c r="L193" s="9"/>
      <c r="M193" s="9">
        <f>Table5[[#This Row],[Cumulative]]-Table5[[#This Row],[Previous Qty]]</f>
        <v>0</v>
      </c>
      <c r="N193" s="9"/>
      <c r="O193" s="9">
        <f>(Table5[[#This Row],[Supply Rate]]+Table5[[#This Row],[Install Rate]])*Table5[[#This Row],[Previous Qty]]</f>
        <v>0</v>
      </c>
      <c r="P193" s="9">
        <f>Table5[[#This Row],[Cumulative Amount]]-Table5[[#This Row],[Previous Amount]]</f>
        <v>0</v>
      </c>
      <c r="Q193" s="9">
        <f>(Table5[[#This Row],[Supply Rate]]+Table5[[#This Row],[Install Rate]])*Table5[[#This Row],[Cumulative]]</f>
        <v>0</v>
      </c>
      <c r="R193" t="s">
        <v>936</v>
      </c>
    </row>
    <row r="194" spans="1:18" x14ac:dyDescent="0.35">
      <c r="A194" s="6">
        <v>11</v>
      </c>
      <c r="B194" s="11" t="s">
        <v>430</v>
      </c>
      <c r="C194" s="6"/>
      <c r="D194" s="6" t="s">
        <v>10</v>
      </c>
      <c r="E194" s="9"/>
      <c r="F194" s="9"/>
      <c r="G194" s="9"/>
      <c r="H194" s="223"/>
      <c r="I194" s="224"/>
      <c r="J194" s="224"/>
      <c r="K194" s="223"/>
      <c r="L194" s="9"/>
      <c r="M194" s="9"/>
      <c r="N194" s="9"/>
      <c r="O194" s="9"/>
      <c r="P194" s="9"/>
      <c r="Q194" s="9"/>
      <c r="R194" t="s">
        <v>936</v>
      </c>
    </row>
    <row r="195" spans="1:18" x14ac:dyDescent="0.35">
      <c r="A195" s="6">
        <v>12</v>
      </c>
      <c r="B195" s="11" t="s">
        <v>431</v>
      </c>
      <c r="C195" s="6"/>
      <c r="D195" s="6" t="s">
        <v>10</v>
      </c>
      <c r="E195" s="9"/>
      <c r="F195" s="9"/>
      <c r="G195" s="9"/>
      <c r="H195" s="223"/>
      <c r="I195" s="224"/>
      <c r="J195" s="224"/>
      <c r="K195" s="223"/>
      <c r="L195" s="9"/>
      <c r="M195" s="9"/>
      <c r="N195" s="9"/>
      <c r="O195" s="9"/>
      <c r="P195" s="9"/>
      <c r="Q195" s="9"/>
      <c r="R195" t="s">
        <v>936</v>
      </c>
    </row>
    <row r="196" spans="1:18" x14ac:dyDescent="0.35">
      <c r="A196" s="6">
        <v>13</v>
      </c>
      <c r="B196" s="11" t="s">
        <v>432</v>
      </c>
      <c r="C196" s="6"/>
      <c r="D196" s="6" t="s">
        <v>10</v>
      </c>
      <c r="E196" s="9"/>
      <c r="F196" s="9"/>
      <c r="G196" s="9"/>
      <c r="H196" s="223"/>
      <c r="I196" s="224"/>
      <c r="J196" s="224"/>
      <c r="K196" s="223"/>
      <c r="L196" s="9"/>
      <c r="M196" s="9"/>
      <c r="N196" s="9"/>
      <c r="O196" s="9"/>
      <c r="P196" s="9"/>
      <c r="Q196" s="9"/>
      <c r="R196" t="s">
        <v>936</v>
      </c>
    </row>
    <row r="197" spans="1:18" x14ac:dyDescent="0.35">
      <c r="A197" s="6">
        <v>14</v>
      </c>
      <c r="B197" s="11" t="s">
        <v>433</v>
      </c>
      <c r="C197" s="6"/>
      <c r="D197" s="6" t="s">
        <v>10</v>
      </c>
      <c r="E197" s="9"/>
      <c r="F197" s="9"/>
      <c r="G197" s="9"/>
      <c r="H197" s="223"/>
      <c r="I197" s="224"/>
      <c r="J197" s="224"/>
      <c r="K197" s="223"/>
      <c r="L197" s="9"/>
      <c r="M197" s="9"/>
      <c r="N197" s="9"/>
      <c r="O197" s="9"/>
      <c r="P197" s="9"/>
      <c r="Q197" s="9"/>
      <c r="R197" t="s">
        <v>936</v>
      </c>
    </row>
    <row r="198" spans="1:18" x14ac:dyDescent="0.35">
      <c r="A198" s="6">
        <v>15</v>
      </c>
      <c r="B198" s="11" t="s">
        <v>434</v>
      </c>
      <c r="C198" s="6"/>
      <c r="D198" s="6" t="s">
        <v>10</v>
      </c>
      <c r="E198" s="9"/>
      <c r="F198" s="9"/>
      <c r="G198" s="9"/>
      <c r="H198" s="223"/>
      <c r="I198" s="224"/>
      <c r="J198" s="224"/>
      <c r="K198" s="223"/>
      <c r="L198" s="9"/>
      <c r="M198" s="9"/>
      <c r="N198" s="9"/>
      <c r="O198" s="9"/>
      <c r="P198" s="9"/>
      <c r="Q198" s="9"/>
      <c r="R198" t="s">
        <v>936</v>
      </c>
    </row>
    <row r="199" spans="1:18" x14ac:dyDescent="0.35">
      <c r="A199" s="6">
        <v>16</v>
      </c>
      <c r="B199" s="11" t="s">
        <v>435</v>
      </c>
      <c r="C199" s="6"/>
      <c r="D199" s="6" t="s">
        <v>10</v>
      </c>
      <c r="E199" s="9"/>
      <c r="F199" s="9"/>
      <c r="G199" s="9"/>
      <c r="H199" s="223"/>
      <c r="I199" s="224"/>
      <c r="J199" s="224"/>
      <c r="K199" s="223"/>
      <c r="L199" s="9"/>
      <c r="M199" s="9"/>
      <c r="N199" s="9"/>
      <c r="O199" s="9"/>
      <c r="P199" s="9"/>
      <c r="Q199" s="9"/>
      <c r="R199" t="s">
        <v>936</v>
      </c>
    </row>
    <row r="200" spans="1:18" x14ac:dyDescent="0.35">
      <c r="A200" s="6">
        <v>17</v>
      </c>
      <c r="B200" s="11" t="s">
        <v>436</v>
      </c>
      <c r="C200" s="6"/>
      <c r="D200" s="6" t="s">
        <v>10</v>
      </c>
      <c r="E200" s="9"/>
      <c r="F200" s="9"/>
      <c r="G200" s="9"/>
      <c r="H200" s="223"/>
      <c r="I200" s="224"/>
      <c r="J200" s="224"/>
      <c r="K200" s="223"/>
      <c r="L200" s="9"/>
      <c r="M200" s="9"/>
      <c r="N200" s="9"/>
      <c r="O200" s="9"/>
      <c r="P200" s="9"/>
      <c r="Q200" s="9"/>
      <c r="R200" t="s">
        <v>936</v>
      </c>
    </row>
    <row r="201" spans="1:18" x14ac:dyDescent="0.35">
      <c r="A201" s="6"/>
      <c r="B201" s="11" t="s">
        <v>309</v>
      </c>
      <c r="C201" s="6"/>
      <c r="D201" s="6"/>
      <c r="E201" s="9"/>
      <c r="F201" s="9"/>
      <c r="G201" s="9"/>
      <c r="H201" s="223"/>
      <c r="I201" s="224"/>
      <c r="J201" s="224"/>
      <c r="K201" s="223"/>
      <c r="L201" s="9"/>
      <c r="M201" s="9"/>
      <c r="N201" s="9"/>
      <c r="O201" s="9"/>
      <c r="P201" s="9"/>
      <c r="Q201" s="9"/>
      <c r="R201" t="s">
        <v>936</v>
      </c>
    </row>
    <row r="202" spans="1:18" x14ac:dyDescent="0.35">
      <c r="A202" s="6"/>
      <c r="B202" s="11" t="s">
        <v>310</v>
      </c>
      <c r="C202" s="6"/>
      <c r="D202" s="6"/>
      <c r="E202" s="9"/>
      <c r="F202" s="9"/>
      <c r="G202" s="9"/>
      <c r="H202" s="223"/>
      <c r="I202" s="224"/>
      <c r="J202" s="224"/>
      <c r="K202" s="223"/>
      <c r="L202" s="9"/>
      <c r="M202" s="9"/>
      <c r="N202" s="9"/>
      <c r="O202" s="9"/>
      <c r="P202" s="9"/>
      <c r="Q202" s="9"/>
      <c r="R202" t="s">
        <v>936</v>
      </c>
    </row>
    <row r="203" spans="1:18" ht="72.5" x14ac:dyDescent="0.35">
      <c r="A203" s="6" t="s">
        <v>292</v>
      </c>
      <c r="B203" s="11" t="s">
        <v>311</v>
      </c>
      <c r="C203" s="6"/>
      <c r="D203" s="6"/>
      <c r="E203" s="9"/>
      <c r="F203" s="9"/>
      <c r="G203" s="9"/>
      <c r="H203" s="223"/>
      <c r="I203" s="224"/>
      <c r="J203" s="224"/>
      <c r="K203" s="223"/>
      <c r="L203" s="9"/>
      <c r="M203" s="9"/>
      <c r="N203" s="9"/>
      <c r="O203" s="9"/>
      <c r="P203" s="9"/>
      <c r="Q203" s="9"/>
      <c r="R203" t="s">
        <v>936</v>
      </c>
    </row>
    <row r="204" spans="1:18" ht="43.5" x14ac:dyDescent="0.35">
      <c r="A204" s="6">
        <v>1</v>
      </c>
      <c r="B204" s="11" t="s">
        <v>912</v>
      </c>
      <c r="C204" s="6">
        <v>76.28</v>
      </c>
      <c r="D204" s="6" t="s">
        <v>10</v>
      </c>
      <c r="E204" s="9">
        <v>208</v>
      </c>
      <c r="F204" s="9">
        <v>21</v>
      </c>
      <c r="G204" s="9">
        <f>(Table5[[#This Row],[Supply Rate]]+Table5[[#This Row],[Install Rate]])*Table5[[#This Row],[Qty]]</f>
        <v>17468.12</v>
      </c>
      <c r="H204" s="223">
        <f>Table5[[#This Row],[Supply Rate]]*80%</f>
        <v>166.4</v>
      </c>
      <c r="I204" s="224"/>
      <c r="J204" s="224">
        <f>IF(Table5[[#This Row],[Material Qty]]=0,0,Table5[[#This Row],[Material Qty]]-Table5[[#This Row],[Cumulative]])</f>
        <v>0</v>
      </c>
      <c r="K204" s="223">
        <f>Table5[[#This Row],[Material Balance Qty]]*Table5[[#This Row],[Material @ Site Rate]]</f>
        <v>0</v>
      </c>
      <c r="L204" s="9"/>
      <c r="M204" s="9">
        <f>Table5[[#This Row],[Cumulative]]-Table5[[#This Row],[Previous Qty]]</f>
        <v>0</v>
      </c>
      <c r="N204" s="9"/>
      <c r="O204" s="9">
        <f>(Table5[[#This Row],[Supply Rate]]+Table5[[#This Row],[Install Rate]])*Table5[[#This Row],[Previous Qty]]</f>
        <v>0</v>
      </c>
      <c r="P204" s="9">
        <f>Table5[[#This Row],[Cumulative Amount]]-Table5[[#This Row],[Previous Amount]]</f>
        <v>0</v>
      </c>
      <c r="Q204" s="9">
        <f>(Table5[[#This Row],[Supply Rate]]+Table5[[#This Row],[Install Rate]])*Table5[[#This Row],[Cumulative]]</f>
        <v>0</v>
      </c>
      <c r="R204" t="s">
        <v>936</v>
      </c>
    </row>
    <row r="205" spans="1:18" x14ac:dyDescent="0.35">
      <c r="A205" s="6"/>
      <c r="B205" s="7" t="s">
        <v>343</v>
      </c>
      <c r="C205" s="6"/>
      <c r="D205" s="6"/>
      <c r="E205" s="9"/>
      <c r="F205" s="9"/>
      <c r="G205" s="9"/>
      <c r="H205" s="223"/>
      <c r="I205" s="224"/>
      <c r="J205" s="224"/>
      <c r="K205" s="223"/>
      <c r="L205" s="9"/>
      <c r="M205" s="9"/>
      <c r="N205" s="9"/>
      <c r="O205" s="9"/>
      <c r="P205" s="9"/>
      <c r="Q205" s="9"/>
      <c r="R205" t="s">
        <v>936</v>
      </c>
    </row>
    <row r="206" spans="1:18" x14ac:dyDescent="0.35">
      <c r="A206" s="6"/>
      <c r="B206" s="11" t="s">
        <v>289</v>
      </c>
      <c r="C206" s="6"/>
      <c r="D206" s="6"/>
      <c r="E206" s="9"/>
      <c r="F206" s="9"/>
      <c r="G206" s="9"/>
      <c r="H206" s="223"/>
      <c r="I206" s="224"/>
      <c r="J206" s="224"/>
      <c r="K206" s="223"/>
      <c r="L206" s="9"/>
      <c r="M206" s="9"/>
      <c r="N206" s="9"/>
      <c r="O206" s="9"/>
      <c r="P206" s="9"/>
      <c r="Q206" s="9"/>
      <c r="R206" t="s">
        <v>936</v>
      </c>
    </row>
    <row r="207" spans="1:18" ht="72.5" x14ac:dyDescent="0.35">
      <c r="A207" s="6"/>
      <c r="B207" s="11" t="s">
        <v>437</v>
      </c>
      <c r="C207" s="6"/>
      <c r="D207" s="6"/>
      <c r="E207" s="9"/>
      <c r="F207" s="9"/>
      <c r="G207" s="9"/>
      <c r="H207" s="223"/>
      <c r="I207" s="224"/>
      <c r="J207" s="224"/>
      <c r="K207" s="223"/>
      <c r="L207" s="9"/>
      <c r="M207" s="9"/>
      <c r="N207" s="9"/>
      <c r="O207" s="9"/>
      <c r="P207" s="9"/>
      <c r="Q207" s="9"/>
      <c r="R207" t="s">
        <v>936</v>
      </c>
    </row>
    <row r="208" spans="1:18" ht="29" x14ac:dyDescent="0.35">
      <c r="A208" s="6" t="s">
        <v>292</v>
      </c>
      <c r="B208" s="11" t="s">
        <v>438</v>
      </c>
      <c r="C208" s="6"/>
      <c r="D208" s="6"/>
      <c r="E208" s="9"/>
      <c r="F208" s="9"/>
      <c r="G208" s="9"/>
      <c r="H208" s="223"/>
      <c r="I208" s="224"/>
      <c r="J208" s="224"/>
      <c r="K208" s="223"/>
      <c r="L208" s="9"/>
      <c r="M208" s="9"/>
      <c r="N208" s="9"/>
      <c r="O208" s="9"/>
      <c r="P208" s="9"/>
      <c r="Q208" s="9"/>
      <c r="R208" t="s">
        <v>936</v>
      </c>
    </row>
    <row r="209" spans="1:18" ht="29" x14ac:dyDescent="0.35">
      <c r="A209" s="6">
        <v>1</v>
      </c>
      <c r="B209" s="11" t="s">
        <v>439</v>
      </c>
      <c r="C209" s="6">
        <v>65.28</v>
      </c>
      <c r="D209" s="6" t="s">
        <v>17</v>
      </c>
      <c r="E209" s="9">
        <v>441</v>
      </c>
      <c r="F209" s="9">
        <v>230</v>
      </c>
      <c r="G209" s="9">
        <f>(Table5[[#This Row],[Supply Rate]]+Table5[[#This Row],[Install Rate]])*Table5[[#This Row],[Qty]]</f>
        <v>43802.879999999997</v>
      </c>
      <c r="H209" s="223">
        <f>Table5[[#This Row],[Supply Rate]]*80%</f>
        <v>352.8</v>
      </c>
      <c r="I209" s="224"/>
      <c r="J209" s="224">
        <f>IF(Table5[[#This Row],[Material Qty]]=0,0,Table5[[#This Row],[Material Qty]]-Table5[[#This Row],[Cumulative]])</f>
        <v>0</v>
      </c>
      <c r="K209" s="223">
        <f>Table5[[#This Row],[Material Balance Qty]]*Table5[[#This Row],[Material @ Site Rate]]</f>
        <v>0</v>
      </c>
      <c r="L209" s="9"/>
      <c r="M209" s="9">
        <f>Table5[[#This Row],[Cumulative]]-Table5[[#This Row],[Previous Qty]]</f>
        <v>0</v>
      </c>
      <c r="N209" s="9"/>
      <c r="O209" s="9">
        <f>(Table5[[#This Row],[Supply Rate]]+Table5[[#This Row],[Install Rate]])*Table5[[#This Row],[Previous Qty]]</f>
        <v>0</v>
      </c>
      <c r="P209" s="9">
        <f>Table5[[#This Row],[Cumulative Amount]]-Table5[[#This Row],[Previous Amount]]</f>
        <v>0</v>
      </c>
      <c r="Q209" s="9">
        <f>(Table5[[#This Row],[Supply Rate]]+Table5[[#This Row],[Install Rate]])*Table5[[#This Row],[Cumulative]]</f>
        <v>0</v>
      </c>
      <c r="R209" t="s">
        <v>936</v>
      </c>
    </row>
    <row r="210" spans="1:18" ht="43.5" x14ac:dyDescent="0.35">
      <c r="A210" s="6" t="s">
        <v>294</v>
      </c>
      <c r="B210" s="11" t="s">
        <v>440</v>
      </c>
      <c r="C210" s="6">
        <v>8.7330000000000005</v>
      </c>
      <c r="D210" s="6" t="s">
        <v>17</v>
      </c>
      <c r="E210" s="9">
        <v>460</v>
      </c>
      <c r="F210" s="9">
        <v>192</v>
      </c>
      <c r="G210" s="9">
        <f>(Table5[[#This Row],[Supply Rate]]+Table5[[#This Row],[Install Rate]])*Table5[[#This Row],[Qty]]</f>
        <v>5693.9160000000002</v>
      </c>
      <c r="H210" s="223">
        <f>Table5[[#This Row],[Supply Rate]]*80%</f>
        <v>368</v>
      </c>
      <c r="I210" s="224"/>
      <c r="J210" s="224">
        <f>IF(Table5[[#This Row],[Material Qty]]=0,0,Table5[[#This Row],[Material Qty]]-Table5[[#This Row],[Cumulative]])</f>
        <v>0</v>
      </c>
      <c r="K210" s="223">
        <f>Table5[[#This Row],[Material Balance Qty]]*Table5[[#This Row],[Material @ Site Rate]]</f>
        <v>0</v>
      </c>
      <c r="L210" s="9"/>
      <c r="M210" s="9">
        <f>Table5[[#This Row],[Cumulative]]-Table5[[#This Row],[Previous Qty]]</f>
        <v>0</v>
      </c>
      <c r="N210" s="9"/>
      <c r="O210" s="9">
        <f>(Table5[[#This Row],[Supply Rate]]+Table5[[#This Row],[Install Rate]])*Table5[[#This Row],[Previous Qty]]</f>
        <v>0</v>
      </c>
      <c r="P210" s="9">
        <f>Table5[[#This Row],[Cumulative Amount]]-Table5[[#This Row],[Previous Amount]]</f>
        <v>0</v>
      </c>
      <c r="Q210" s="9">
        <f>(Table5[[#This Row],[Supply Rate]]+Table5[[#This Row],[Install Rate]])*Table5[[#This Row],[Cumulative]]</f>
        <v>0</v>
      </c>
      <c r="R210" t="s">
        <v>936</v>
      </c>
    </row>
    <row r="211" spans="1:18" ht="43.5" x14ac:dyDescent="0.35">
      <c r="A211" s="6" t="s">
        <v>297</v>
      </c>
      <c r="B211" s="11" t="s">
        <v>441</v>
      </c>
      <c r="C211" s="6">
        <v>6.75</v>
      </c>
      <c r="D211" s="6" t="s">
        <v>17</v>
      </c>
      <c r="E211" s="9">
        <v>355</v>
      </c>
      <c r="F211" s="9">
        <v>228</v>
      </c>
      <c r="G211" s="9">
        <f>(Table5[[#This Row],[Supply Rate]]+Table5[[#This Row],[Install Rate]])*Table5[[#This Row],[Qty]]</f>
        <v>3935.25</v>
      </c>
      <c r="H211" s="223">
        <f>Table5[[#This Row],[Supply Rate]]*80%</f>
        <v>284</v>
      </c>
      <c r="I211" s="224"/>
      <c r="J211" s="224">
        <f>IF(Table5[[#This Row],[Material Qty]]=0,0,Table5[[#This Row],[Material Qty]]-Table5[[#This Row],[Cumulative]])</f>
        <v>0</v>
      </c>
      <c r="K211" s="223">
        <f>Table5[[#This Row],[Material Balance Qty]]*Table5[[#This Row],[Material @ Site Rate]]</f>
        <v>0</v>
      </c>
      <c r="L211" s="9"/>
      <c r="M211" s="9">
        <f>Table5[[#This Row],[Cumulative]]-Table5[[#This Row],[Previous Qty]]</f>
        <v>0</v>
      </c>
      <c r="N211" s="9"/>
      <c r="O211" s="9">
        <f>(Table5[[#This Row],[Supply Rate]]+Table5[[#This Row],[Install Rate]])*Table5[[#This Row],[Previous Qty]]</f>
        <v>0</v>
      </c>
      <c r="P211" s="9">
        <f>Table5[[#This Row],[Cumulative Amount]]-Table5[[#This Row],[Previous Amount]]</f>
        <v>0</v>
      </c>
      <c r="Q211" s="9">
        <f>(Table5[[#This Row],[Supply Rate]]+Table5[[#This Row],[Install Rate]])*Table5[[#This Row],[Cumulative]]</f>
        <v>0</v>
      </c>
      <c r="R211" t="s">
        <v>936</v>
      </c>
    </row>
    <row r="212" spans="1:18" ht="43.5" x14ac:dyDescent="0.35">
      <c r="A212" s="6" t="s">
        <v>300</v>
      </c>
      <c r="B212" s="11" t="s">
        <v>442</v>
      </c>
      <c r="C212" s="6">
        <v>2.91</v>
      </c>
      <c r="D212" s="6" t="s">
        <v>17</v>
      </c>
      <c r="E212" s="9">
        <v>368</v>
      </c>
      <c r="F212" s="9">
        <v>228</v>
      </c>
      <c r="G212" s="9">
        <f>(Table5[[#This Row],[Supply Rate]]+Table5[[#This Row],[Install Rate]])*Table5[[#This Row],[Qty]]</f>
        <v>1734.3600000000001</v>
      </c>
      <c r="H212" s="223">
        <f>Table5[[#This Row],[Supply Rate]]*80%</f>
        <v>294.40000000000003</v>
      </c>
      <c r="I212" s="224"/>
      <c r="J212" s="224">
        <f>IF(Table5[[#This Row],[Material Qty]]=0,0,Table5[[#This Row],[Material Qty]]-Table5[[#This Row],[Cumulative]])</f>
        <v>0</v>
      </c>
      <c r="K212" s="223">
        <f>Table5[[#This Row],[Material Balance Qty]]*Table5[[#This Row],[Material @ Site Rate]]</f>
        <v>0</v>
      </c>
      <c r="L212" s="9"/>
      <c r="M212" s="9">
        <f>Table5[[#This Row],[Cumulative]]-Table5[[#This Row],[Previous Qty]]</f>
        <v>0</v>
      </c>
      <c r="N212" s="9"/>
      <c r="O212" s="9">
        <f>(Table5[[#This Row],[Supply Rate]]+Table5[[#This Row],[Install Rate]])*Table5[[#This Row],[Previous Qty]]</f>
        <v>0</v>
      </c>
      <c r="P212" s="9">
        <f>Table5[[#This Row],[Cumulative Amount]]-Table5[[#This Row],[Previous Amount]]</f>
        <v>0</v>
      </c>
      <c r="Q212" s="9">
        <f>(Table5[[#This Row],[Supply Rate]]+Table5[[#This Row],[Install Rate]])*Table5[[#This Row],[Cumulative]]</f>
        <v>0</v>
      </c>
      <c r="R212" t="s">
        <v>936</v>
      </c>
    </row>
    <row r="213" spans="1:18" ht="58" x14ac:dyDescent="0.35">
      <c r="A213" s="6"/>
      <c r="B213" s="11" t="s">
        <v>348</v>
      </c>
      <c r="C213" s="6"/>
      <c r="D213" s="6"/>
      <c r="E213" s="9"/>
      <c r="F213" s="9"/>
      <c r="G213" s="9"/>
      <c r="H213" s="223"/>
      <c r="I213" s="224"/>
      <c r="J213" s="224"/>
      <c r="K213" s="223"/>
      <c r="L213" s="9"/>
      <c r="M213" s="9"/>
      <c r="N213" s="9"/>
      <c r="O213" s="9"/>
      <c r="P213" s="9"/>
      <c r="Q213" s="9"/>
      <c r="R213" t="s">
        <v>936</v>
      </c>
    </row>
    <row r="214" spans="1:18" ht="29" x14ac:dyDescent="0.35">
      <c r="A214" s="6" t="s">
        <v>327</v>
      </c>
      <c r="B214" s="11" t="s">
        <v>443</v>
      </c>
      <c r="C214" s="6"/>
      <c r="D214" s="6" t="s">
        <v>17</v>
      </c>
      <c r="E214" s="9"/>
      <c r="F214" s="9"/>
      <c r="G214" s="9"/>
      <c r="H214" s="223"/>
      <c r="I214" s="224"/>
      <c r="J214" s="224"/>
      <c r="K214" s="223"/>
      <c r="L214" s="9"/>
      <c r="M214" s="9"/>
      <c r="N214" s="9"/>
      <c r="O214" s="9"/>
      <c r="P214" s="9"/>
      <c r="Q214" s="9"/>
      <c r="R214" t="s">
        <v>936</v>
      </c>
    </row>
    <row r="215" spans="1:18" x14ac:dyDescent="0.35">
      <c r="A215" s="6"/>
      <c r="B215" s="11" t="s">
        <v>351</v>
      </c>
      <c r="C215" s="6"/>
      <c r="D215" s="6"/>
      <c r="E215" s="9"/>
      <c r="F215" s="9"/>
      <c r="G215" s="9"/>
      <c r="H215" s="223"/>
      <c r="I215" s="224"/>
      <c r="J215" s="224"/>
      <c r="K215" s="223"/>
      <c r="L215" s="9"/>
      <c r="M215" s="9"/>
      <c r="N215" s="9"/>
      <c r="O215" s="9"/>
      <c r="P215" s="9"/>
      <c r="Q215" s="9"/>
      <c r="R215" t="s">
        <v>936</v>
      </c>
    </row>
    <row r="216" spans="1:18" ht="87" x14ac:dyDescent="0.35">
      <c r="A216" s="6"/>
      <c r="B216" s="11" t="s">
        <v>352</v>
      </c>
      <c r="C216" s="6"/>
      <c r="D216" s="6"/>
      <c r="E216" s="9"/>
      <c r="F216" s="9"/>
      <c r="G216" s="9"/>
      <c r="H216" s="223"/>
      <c r="I216" s="224"/>
      <c r="J216" s="224"/>
      <c r="K216" s="223"/>
      <c r="L216" s="9"/>
      <c r="M216" s="9"/>
      <c r="N216" s="9"/>
      <c r="O216" s="9"/>
      <c r="P216" s="9"/>
      <c r="Q216" s="9"/>
      <c r="R216" t="s">
        <v>936</v>
      </c>
    </row>
    <row r="217" spans="1:18" ht="29" x14ac:dyDescent="0.35">
      <c r="A217" s="6" t="s">
        <v>292</v>
      </c>
      <c r="B217" s="11" t="s">
        <v>444</v>
      </c>
      <c r="C217" s="6">
        <v>5.99</v>
      </c>
      <c r="D217" s="6" t="s">
        <v>10</v>
      </c>
      <c r="E217" s="9">
        <v>66</v>
      </c>
      <c r="F217" s="9">
        <v>24</v>
      </c>
      <c r="G217" s="9">
        <f>(Table5[[#This Row],[Supply Rate]]+Table5[[#This Row],[Install Rate]])*Table5[[#This Row],[Qty]]</f>
        <v>539.1</v>
      </c>
      <c r="H217" s="223">
        <f>Table5[[#This Row],[Supply Rate]]*80%</f>
        <v>52.800000000000004</v>
      </c>
      <c r="I217" s="224"/>
      <c r="J217" s="224">
        <f>IF(Table5[[#This Row],[Material Qty]]=0,0,Table5[[#This Row],[Material Qty]]-Table5[[#This Row],[Cumulative]])</f>
        <v>0</v>
      </c>
      <c r="K217" s="223">
        <f>Table5[[#This Row],[Material Balance Qty]]*Table5[[#This Row],[Material @ Site Rate]]</f>
        <v>0</v>
      </c>
      <c r="L217" s="9"/>
      <c r="M217" s="9">
        <f>Table5[[#This Row],[Cumulative]]-Table5[[#This Row],[Previous Qty]]</f>
        <v>0</v>
      </c>
      <c r="N217" s="9"/>
      <c r="O217" s="9">
        <f>(Table5[[#This Row],[Supply Rate]]+Table5[[#This Row],[Install Rate]])*Table5[[#This Row],[Previous Qty]]</f>
        <v>0</v>
      </c>
      <c r="P217" s="9">
        <f>Table5[[#This Row],[Cumulative Amount]]-Table5[[#This Row],[Previous Amount]]</f>
        <v>0</v>
      </c>
      <c r="Q217" s="9">
        <f>(Table5[[#This Row],[Supply Rate]]+Table5[[#This Row],[Install Rate]])*Table5[[#This Row],[Cumulative]]</f>
        <v>0</v>
      </c>
      <c r="R217" t="s">
        <v>936</v>
      </c>
    </row>
    <row r="218" spans="1:18" ht="29" x14ac:dyDescent="0.35">
      <c r="A218" s="6" t="s">
        <v>294</v>
      </c>
      <c r="B218" s="11" t="s">
        <v>445</v>
      </c>
      <c r="C218" s="6">
        <v>47.61</v>
      </c>
      <c r="D218" s="6" t="s">
        <v>10</v>
      </c>
      <c r="E218" s="9">
        <v>68</v>
      </c>
      <c r="F218" s="9">
        <v>25</v>
      </c>
      <c r="G218" s="9">
        <f>(Table5[[#This Row],[Supply Rate]]+Table5[[#This Row],[Install Rate]])*Table5[[#This Row],[Qty]]</f>
        <v>4427.7299999999996</v>
      </c>
      <c r="H218" s="223">
        <f>Table5[[#This Row],[Supply Rate]]*80%</f>
        <v>54.400000000000006</v>
      </c>
      <c r="I218" s="224"/>
      <c r="J218" s="224">
        <f>IF(Table5[[#This Row],[Material Qty]]=0,0,Table5[[#This Row],[Material Qty]]-Table5[[#This Row],[Cumulative]])</f>
        <v>0</v>
      </c>
      <c r="K218" s="223">
        <f>Table5[[#This Row],[Material Balance Qty]]*Table5[[#This Row],[Material @ Site Rate]]</f>
        <v>0</v>
      </c>
      <c r="L218" s="9"/>
      <c r="M218" s="9">
        <f>Table5[[#This Row],[Cumulative]]-Table5[[#This Row],[Previous Qty]]</f>
        <v>0</v>
      </c>
      <c r="N218" s="9"/>
      <c r="O218" s="9">
        <f>(Table5[[#This Row],[Supply Rate]]+Table5[[#This Row],[Install Rate]])*Table5[[#This Row],[Previous Qty]]</f>
        <v>0</v>
      </c>
      <c r="P218" s="9">
        <f>Table5[[#This Row],[Cumulative Amount]]-Table5[[#This Row],[Previous Amount]]</f>
        <v>0</v>
      </c>
      <c r="Q218" s="9">
        <f>(Table5[[#This Row],[Supply Rate]]+Table5[[#This Row],[Install Rate]])*Table5[[#This Row],[Cumulative]]</f>
        <v>0</v>
      </c>
      <c r="R218" t="s">
        <v>936</v>
      </c>
    </row>
    <row r="219" spans="1:18" ht="43.5" x14ac:dyDescent="0.35">
      <c r="A219" s="6" t="s">
        <v>297</v>
      </c>
      <c r="B219" s="11" t="s">
        <v>446</v>
      </c>
      <c r="C219" s="6"/>
      <c r="D219" s="6"/>
      <c r="E219" s="9"/>
      <c r="F219" s="9"/>
      <c r="G219" s="9"/>
      <c r="H219" s="223"/>
      <c r="I219" s="224"/>
      <c r="J219" s="224"/>
      <c r="K219" s="223"/>
      <c r="L219" s="9"/>
      <c r="M219" s="9"/>
      <c r="N219" s="9"/>
      <c r="O219" s="9"/>
      <c r="P219" s="9"/>
      <c r="Q219" s="9"/>
      <c r="R219" t="s">
        <v>936</v>
      </c>
    </row>
    <row r="220" spans="1:18" x14ac:dyDescent="0.35">
      <c r="A220" s="6">
        <v>1</v>
      </c>
      <c r="B220" s="11" t="s">
        <v>447</v>
      </c>
      <c r="C220" s="6">
        <v>2</v>
      </c>
      <c r="D220" s="6" t="s">
        <v>364</v>
      </c>
      <c r="E220" s="9">
        <v>817</v>
      </c>
      <c r="F220" s="9">
        <v>370</v>
      </c>
      <c r="G220" s="9">
        <f>(Table5[[#This Row],[Supply Rate]]+Table5[[#This Row],[Install Rate]])*Table5[[#This Row],[Qty]]</f>
        <v>2374</v>
      </c>
      <c r="H220" s="223">
        <f>Table5[[#This Row],[Supply Rate]]*80%</f>
        <v>653.6</v>
      </c>
      <c r="I220" s="224"/>
      <c r="J220" s="224">
        <f>IF(Table5[[#This Row],[Material Qty]]=0,0,Table5[[#This Row],[Material Qty]]-Table5[[#This Row],[Cumulative]])</f>
        <v>0</v>
      </c>
      <c r="K220" s="223">
        <f>Table5[[#This Row],[Material Balance Qty]]*Table5[[#This Row],[Material @ Site Rate]]</f>
        <v>0</v>
      </c>
      <c r="L220" s="9"/>
      <c r="M220" s="9">
        <f>Table5[[#This Row],[Cumulative]]-Table5[[#This Row],[Previous Qty]]</f>
        <v>0</v>
      </c>
      <c r="N220" s="9"/>
      <c r="O220" s="9">
        <f>(Table5[[#This Row],[Supply Rate]]+Table5[[#This Row],[Install Rate]])*Table5[[#This Row],[Previous Qty]]</f>
        <v>0</v>
      </c>
      <c r="P220" s="9">
        <f>Table5[[#This Row],[Cumulative Amount]]-Table5[[#This Row],[Previous Amount]]</f>
        <v>0</v>
      </c>
      <c r="Q220" s="9">
        <f>(Table5[[#This Row],[Supply Rate]]+Table5[[#This Row],[Install Rate]])*Table5[[#This Row],[Cumulative]]</f>
        <v>0</v>
      </c>
      <c r="R220" t="s">
        <v>936</v>
      </c>
    </row>
    <row r="221" spans="1:18" x14ac:dyDescent="0.35">
      <c r="A221" s="6">
        <v>2</v>
      </c>
      <c r="B221" s="11" t="s">
        <v>448</v>
      </c>
      <c r="C221" s="6">
        <v>1</v>
      </c>
      <c r="D221" s="6" t="s">
        <v>364</v>
      </c>
      <c r="E221" s="9">
        <v>936</v>
      </c>
      <c r="F221" s="9">
        <v>434</v>
      </c>
      <c r="G221" s="9">
        <f>(Table5[[#This Row],[Supply Rate]]+Table5[[#This Row],[Install Rate]])*Table5[[#This Row],[Qty]]</f>
        <v>1370</v>
      </c>
      <c r="H221" s="223">
        <f>Table5[[#This Row],[Supply Rate]]*80%</f>
        <v>748.80000000000007</v>
      </c>
      <c r="I221" s="224"/>
      <c r="J221" s="224">
        <f>IF(Table5[[#This Row],[Material Qty]]=0,0,Table5[[#This Row],[Material Qty]]-Table5[[#This Row],[Cumulative]])</f>
        <v>0</v>
      </c>
      <c r="K221" s="223">
        <f>Table5[[#This Row],[Material Balance Qty]]*Table5[[#This Row],[Material @ Site Rate]]</f>
        <v>0</v>
      </c>
      <c r="L221" s="9"/>
      <c r="M221" s="9">
        <f>Table5[[#This Row],[Cumulative]]-Table5[[#This Row],[Previous Qty]]</f>
        <v>0</v>
      </c>
      <c r="N221" s="9"/>
      <c r="O221" s="9">
        <f>(Table5[[#This Row],[Supply Rate]]+Table5[[#This Row],[Install Rate]])*Table5[[#This Row],[Previous Qty]]</f>
        <v>0</v>
      </c>
      <c r="P221" s="9">
        <f>Table5[[#This Row],[Cumulative Amount]]-Table5[[#This Row],[Previous Amount]]</f>
        <v>0</v>
      </c>
      <c r="Q221" s="9">
        <f>(Table5[[#This Row],[Supply Rate]]+Table5[[#This Row],[Install Rate]])*Table5[[#This Row],[Cumulative]]</f>
        <v>0</v>
      </c>
      <c r="R221" t="s">
        <v>936</v>
      </c>
    </row>
    <row r="222" spans="1:18" x14ac:dyDescent="0.35">
      <c r="A222" s="6">
        <v>3</v>
      </c>
      <c r="B222" s="11" t="s">
        <v>449</v>
      </c>
      <c r="C222" s="6">
        <v>1</v>
      </c>
      <c r="D222" s="6" t="s">
        <v>364</v>
      </c>
      <c r="E222" s="9">
        <v>992</v>
      </c>
      <c r="F222" s="9">
        <v>464</v>
      </c>
      <c r="G222" s="9">
        <f>(Table5[[#This Row],[Supply Rate]]+Table5[[#This Row],[Install Rate]])*Table5[[#This Row],[Qty]]</f>
        <v>1456</v>
      </c>
      <c r="H222" s="223">
        <f>Table5[[#This Row],[Supply Rate]]*80%</f>
        <v>793.6</v>
      </c>
      <c r="I222" s="224"/>
      <c r="J222" s="224">
        <f>IF(Table5[[#This Row],[Material Qty]]=0,0,Table5[[#This Row],[Material Qty]]-Table5[[#This Row],[Cumulative]])</f>
        <v>0</v>
      </c>
      <c r="K222" s="223">
        <f>Table5[[#This Row],[Material Balance Qty]]*Table5[[#This Row],[Material @ Site Rate]]</f>
        <v>0</v>
      </c>
      <c r="L222" s="9"/>
      <c r="M222" s="9">
        <f>Table5[[#This Row],[Cumulative]]-Table5[[#This Row],[Previous Qty]]</f>
        <v>0</v>
      </c>
      <c r="N222" s="9"/>
      <c r="O222" s="9">
        <f>(Table5[[#This Row],[Supply Rate]]+Table5[[#This Row],[Install Rate]])*Table5[[#This Row],[Previous Qty]]</f>
        <v>0</v>
      </c>
      <c r="P222" s="9">
        <f>Table5[[#This Row],[Cumulative Amount]]-Table5[[#This Row],[Previous Amount]]</f>
        <v>0</v>
      </c>
      <c r="Q222" s="9">
        <f>(Table5[[#This Row],[Supply Rate]]+Table5[[#This Row],[Install Rate]])*Table5[[#This Row],[Cumulative]]</f>
        <v>0</v>
      </c>
      <c r="R222" t="s">
        <v>936</v>
      </c>
    </row>
    <row r="223" spans="1:18" x14ac:dyDescent="0.35">
      <c r="A223" s="6">
        <v>4</v>
      </c>
      <c r="B223" s="11" t="s">
        <v>450</v>
      </c>
      <c r="C223" s="6">
        <v>2</v>
      </c>
      <c r="D223" s="6" t="s">
        <v>364</v>
      </c>
      <c r="E223" s="9">
        <v>1435</v>
      </c>
      <c r="F223" s="9">
        <v>710</v>
      </c>
      <c r="G223" s="9">
        <f>(Table5[[#This Row],[Supply Rate]]+Table5[[#This Row],[Install Rate]])*Table5[[#This Row],[Qty]]</f>
        <v>4290</v>
      </c>
      <c r="H223" s="223">
        <f>Table5[[#This Row],[Supply Rate]]*80%</f>
        <v>1148</v>
      </c>
      <c r="I223" s="224"/>
      <c r="J223" s="224">
        <f>IF(Table5[[#This Row],[Material Qty]]=0,0,Table5[[#This Row],[Material Qty]]-Table5[[#This Row],[Cumulative]])</f>
        <v>0</v>
      </c>
      <c r="K223" s="223">
        <f>Table5[[#This Row],[Material Balance Qty]]*Table5[[#This Row],[Material @ Site Rate]]</f>
        <v>0</v>
      </c>
      <c r="L223" s="9"/>
      <c r="M223" s="9">
        <f>Table5[[#This Row],[Cumulative]]-Table5[[#This Row],[Previous Qty]]</f>
        <v>0</v>
      </c>
      <c r="N223" s="9"/>
      <c r="O223" s="9">
        <f>(Table5[[#This Row],[Supply Rate]]+Table5[[#This Row],[Install Rate]])*Table5[[#This Row],[Previous Qty]]</f>
        <v>0</v>
      </c>
      <c r="P223" s="9">
        <f>Table5[[#This Row],[Cumulative Amount]]-Table5[[#This Row],[Previous Amount]]</f>
        <v>0</v>
      </c>
      <c r="Q223" s="9">
        <f>(Table5[[#This Row],[Supply Rate]]+Table5[[#This Row],[Install Rate]])*Table5[[#This Row],[Cumulative]]</f>
        <v>0</v>
      </c>
      <c r="R223" t="s">
        <v>936</v>
      </c>
    </row>
    <row r="224" spans="1:18" x14ac:dyDescent="0.35">
      <c r="A224" s="6">
        <v>5</v>
      </c>
      <c r="B224" s="11" t="s">
        <v>451</v>
      </c>
      <c r="C224" s="6">
        <v>1</v>
      </c>
      <c r="D224" s="6" t="s">
        <v>364</v>
      </c>
      <c r="E224" s="9">
        <v>1490</v>
      </c>
      <c r="F224" s="9">
        <v>740</v>
      </c>
      <c r="G224" s="9">
        <f>(Table5[[#This Row],[Supply Rate]]+Table5[[#This Row],[Install Rate]])*Table5[[#This Row],[Qty]]</f>
        <v>2230</v>
      </c>
      <c r="H224" s="223">
        <f>Table5[[#This Row],[Supply Rate]]*80%</f>
        <v>1192</v>
      </c>
      <c r="I224" s="224"/>
      <c r="J224" s="224">
        <f>IF(Table5[[#This Row],[Material Qty]]=0,0,Table5[[#This Row],[Material Qty]]-Table5[[#This Row],[Cumulative]])</f>
        <v>0</v>
      </c>
      <c r="K224" s="223">
        <f>Table5[[#This Row],[Material Balance Qty]]*Table5[[#This Row],[Material @ Site Rate]]</f>
        <v>0</v>
      </c>
      <c r="L224" s="9"/>
      <c r="M224" s="9">
        <f>Table5[[#This Row],[Cumulative]]-Table5[[#This Row],[Previous Qty]]</f>
        <v>0</v>
      </c>
      <c r="N224" s="9"/>
      <c r="O224" s="9">
        <f>(Table5[[#This Row],[Supply Rate]]+Table5[[#This Row],[Install Rate]])*Table5[[#This Row],[Previous Qty]]</f>
        <v>0</v>
      </c>
      <c r="P224" s="9">
        <f>Table5[[#This Row],[Cumulative Amount]]-Table5[[#This Row],[Previous Amount]]</f>
        <v>0</v>
      </c>
      <c r="Q224" s="9">
        <f>(Table5[[#This Row],[Supply Rate]]+Table5[[#This Row],[Install Rate]])*Table5[[#This Row],[Cumulative]]</f>
        <v>0</v>
      </c>
      <c r="R224" t="s">
        <v>936</v>
      </c>
    </row>
    <row r="225" spans="1:18" ht="43.5" x14ac:dyDescent="0.35">
      <c r="A225" s="6" t="s">
        <v>300</v>
      </c>
      <c r="B225" s="11" t="s">
        <v>452</v>
      </c>
      <c r="C225" s="6"/>
      <c r="D225" s="6"/>
      <c r="E225" s="9"/>
      <c r="F225" s="9"/>
      <c r="G225" s="9"/>
      <c r="H225" s="223"/>
      <c r="I225" s="224"/>
      <c r="J225" s="224"/>
      <c r="K225" s="223"/>
      <c r="L225" s="9"/>
      <c r="M225" s="9"/>
      <c r="N225" s="9"/>
      <c r="O225" s="9"/>
      <c r="P225" s="9"/>
      <c r="Q225" s="9"/>
      <c r="R225" t="s">
        <v>936</v>
      </c>
    </row>
    <row r="226" spans="1:18" ht="29" x14ac:dyDescent="0.35">
      <c r="A226" s="6">
        <v>1</v>
      </c>
      <c r="B226" s="11" t="s">
        <v>453</v>
      </c>
      <c r="C226" s="6">
        <v>1</v>
      </c>
      <c r="D226" s="6" t="s">
        <v>364</v>
      </c>
      <c r="E226" s="9">
        <v>1359</v>
      </c>
      <c r="F226" s="9">
        <v>488</v>
      </c>
      <c r="G226" s="9">
        <f>(Table5[[#This Row],[Supply Rate]]+Table5[[#This Row],[Install Rate]])*Table5[[#This Row],[Qty]]</f>
        <v>1847</v>
      </c>
      <c r="H226" s="223">
        <f>Table5[[#This Row],[Supply Rate]]*80%</f>
        <v>1087.2</v>
      </c>
      <c r="I226" s="224"/>
      <c r="J226" s="224">
        <f>IF(Table5[[#This Row],[Material Qty]]=0,0,Table5[[#This Row],[Material Qty]]-Table5[[#This Row],[Cumulative]])</f>
        <v>0</v>
      </c>
      <c r="K226" s="223">
        <f>Table5[[#This Row],[Material Balance Qty]]*Table5[[#This Row],[Material @ Site Rate]]</f>
        <v>0</v>
      </c>
      <c r="L226" s="9"/>
      <c r="M226" s="9">
        <f>Table5[[#This Row],[Cumulative]]-Table5[[#This Row],[Previous Qty]]</f>
        <v>0</v>
      </c>
      <c r="N226" s="9"/>
      <c r="O226" s="9">
        <f>(Table5[[#This Row],[Supply Rate]]+Table5[[#This Row],[Install Rate]])*Table5[[#This Row],[Previous Qty]]</f>
        <v>0</v>
      </c>
      <c r="P226" s="9">
        <f>Table5[[#This Row],[Cumulative Amount]]-Table5[[#This Row],[Previous Amount]]</f>
        <v>0</v>
      </c>
      <c r="Q226" s="9">
        <f>(Table5[[#This Row],[Supply Rate]]+Table5[[#This Row],[Install Rate]])*Table5[[#This Row],[Cumulative]]</f>
        <v>0</v>
      </c>
      <c r="R226" t="s">
        <v>936</v>
      </c>
    </row>
    <row r="227" spans="1:18" x14ac:dyDescent="0.35">
      <c r="A227" s="6">
        <v>2</v>
      </c>
      <c r="B227" s="11" t="s">
        <v>454</v>
      </c>
      <c r="C227" s="6">
        <v>1</v>
      </c>
      <c r="D227" s="6" t="s">
        <v>364</v>
      </c>
      <c r="E227" s="9">
        <v>1273</v>
      </c>
      <c r="F227" s="9">
        <v>443</v>
      </c>
      <c r="G227" s="9">
        <f>(Table5[[#This Row],[Supply Rate]]+Table5[[#This Row],[Install Rate]])*Table5[[#This Row],[Qty]]</f>
        <v>1716</v>
      </c>
      <c r="H227" s="223">
        <f>Table5[[#This Row],[Supply Rate]]*80%</f>
        <v>1018.4000000000001</v>
      </c>
      <c r="I227" s="224"/>
      <c r="J227" s="224">
        <f>IF(Table5[[#This Row],[Material Qty]]=0,0,Table5[[#This Row],[Material Qty]]-Table5[[#This Row],[Cumulative]])</f>
        <v>0</v>
      </c>
      <c r="K227" s="223">
        <f>Table5[[#This Row],[Material Balance Qty]]*Table5[[#This Row],[Material @ Site Rate]]</f>
        <v>0</v>
      </c>
      <c r="L227" s="9"/>
      <c r="M227" s="9">
        <f>Table5[[#This Row],[Cumulative]]-Table5[[#This Row],[Previous Qty]]</f>
        <v>0</v>
      </c>
      <c r="N227" s="9"/>
      <c r="O227" s="9">
        <f>(Table5[[#This Row],[Supply Rate]]+Table5[[#This Row],[Install Rate]])*Table5[[#This Row],[Previous Qty]]</f>
        <v>0</v>
      </c>
      <c r="P227" s="9">
        <f>Table5[[#This Row],[Cumulative Amount]]-Table5[[#This Row],[Previous Amount]]</f>
        <v>0</v>
      </c>
      <c r="Q227" s="9">
        <f>(Table5[[#This Row],[Supply Rate]]+Table5[[#This Row],[Install Rate]])*Table5[[#This Row],[Cumulative]]</f>
        <v>0</v>
      </c>
      <c r="R227" t="s">
        <v>936</v>
      </c>
    </row>
    <row r="228" spans="1:18" x14ac:dyDescent="0.35">
      <c r="A228" s="6"/>
      <c r="B228" s="7" t="s">
        <v>354</v>
      </c>
      <c r="C228" s="6"/>
      <c r="D228" s="6"/>
      <c r="E228" s="9"/>
      <c r="F228" s="9"/>
      <c r="G228" s="9"/>
      <c r="H228" s="223"/>
      <c r="I228" s="224"/>
      <c r="J228" s="224"/>
      <c r="K228" s="223"/>
      <c r="L228" s="9"/>
      <c r="M228" s="9"/>
      <c r="N228" s="9"/>
      <c r="O228" s="9"/>
      <c r="P228" s="9"/>
      <c r="Q228" s="9"/>
      <c r="R228" t="s">
        <v>936</v>
      </c>
    </row>
    <row r="229" spans="1:18" x14ac:dyDescent="0.35">
      <c r="A229" s="6"/>
      <c r="B229" s="11" t="s">
        <v>289</v>
      </c>
      <c r="C229" s="6"/>
      <c r="D229" s="6"/>
      <c r="E229" s="9"/>
      <c r="F229" s="9"/>
      <c r="G229" s="9"/>
      <c r="H229" s="223"/>
      <c r="I229" s="224"/>
      <c r="J229" s="224"/>
      <c r="K229" s="223"/>
      <c r="L229" s="9"/>
      <c r="M229" s="9"/>
      <c r="N229" s="9"/>
      <c r="O229" s="9"/>
      <c r="P229" s="9"/>
      <c r="Q229" s="9"/>
      <c r="R229" t="s">
        <v>936</v>
      </c>
    </row>
    <row r="230" spans="1:18" ht="58" x14ac:dyDescent="0.35">
      <c r="A230" s="6"/>
      <c r="B230" s="11" t="s">
        <v>344</v>
      </c>
      <c r="C230" s="6"/>
      <c r="D230" s="6"/>
      <c r="E230" s="9"/>
      <c r="F230" s="9"/>
      <c r="G230" s="9"/>
      <c r="H230" s="223"/>
      <c r="I230" s="224"/>
      <c r="J230" s="224"/>
      <c r="K230" s="223"/>
      <c r="L230" s="9"/>
      <c r="M230" s="9"/>
      <c r="N230" s="9"/>
      <c r="O230" s="9"/>
      <c r="P230" s="9"/>
      <c r="Q230" s="9"/>
      <c r="R230" t="s">
        <v>936</v>
      </c>
    </row>
    <row r="231" spans="1:18" ht="29" x14ac:dyDescent="0.35">
      <c r="A231" s="6"/>
      <c r="B231" s="11" t="s">
        <v>455</v>
      </c>
      <c r="C231" s="6"/>
      <c r="D231" s="6"/>
      <c r="E231" s="9"/>
      <c r="F231" s="9"/>
      <c r="G231" s="9"/>
      <c r="H231" s="223"/>
      <c r="I231" s="224"/>
      <c r="J231" s="224"/>
      <c r="K231" s="223"/>
      <c r="L231" s="9"/>
      <c r="M231" s="9"/>
      <c r="N231" s="9"/>
      <c r="O231" s="9"/>
      <c r="P231" s="9"/>
      <c r="Q231" s="9"/>
      <c r="R231" t="s">
        <v>936</v>
      </c>
    </row>
    <row r="232" spans="1:18" x14ac:dyDescent="0.35">
      <c r="A232" s="6" t="s">
        <v>292</v>
      </c>
      <c r="B232" s="11" t="s">
        <v>317</v>
      </c>
      <c r="C232" s="6">
        <v>9.24</v>
      </c>
      <c r="D232" s="6" t="s">
        <v>17</v>
      </c>
      <c r="E232" s="9">
        <v>1595</v>
      </c>
      <c r="F232" s="9">
        <v>219</v>
      </c>
      <c r="G232" s="9">
        <f>(Table5[[#This Row],[Supply Rate]]+Table5[[#This Row],[Install Rate]])*Table5[[#This Row],[Qty]]</f>
        <v>16761.36</v>
      </c>
      <c r="H232" s="223">
        <f>Table5[[#This Row],[Supply Rate]]*80%</f>
        <v>1276</v>
      </c>
      <c r="I232" s="224"/>
      <c r="J232" s="224">
        <f>IF(Table5[[#This Row],[Material Qty]]=0,0,Table5[[#This Row],[Material Qty]]-Table5[[#This Row],[Cumulative]])</f>
        <v>0</v>
      </c>
      <c r="K232" s="223">
        <f>Table5[[#This Row],[Material Balance Qty]]*Table5[[#This Row],[Material @ Site Rate]]</f>
        <v>0</v>
      </c>
      <c r="L232" s="9"/>
      <c r="M232" s="9">
        <f>Table5[[#This Row],[Cumulative]]-Table5[[#This Row],[Previous Qty]]</f>
        <v>0</v>
      </c>
      <c r="N232" s="9"/>
      <c r="O232" s="9">
        <f>(Table5[[#This Row],[Supply Rate]]+Table5[[#This Row],[Install Rate]])*Table5[[#This Row],[Previous Qty]]</f>
        <v>0</v>
      </c>
      <c r="P232" s="9">
        <f>Table5[[#This Row],[Cumulative Amount]]-Table5[[#This Row],[Previous Amount]]</f>
        <v>0</v>
      </c>
      <c r="Q232" s="9">
        <f>(Table5[[#This Row],[Supply Rate]]+Table5[[#This Row],[Install Rate]])*Table5[[#This Row],[Cumulative]]</f>
        <v>0</v>
      </c>
      <c r="R232" t="s">
        <v>936</v>
      </c>
    </row>
    <row r="233" spans="1:18" ht="29" x14ac:dyDescent="0.35">
      <c r="A233" s="6"/>
      <c r="B233" s="11" t="s">
        <v>456</v>
      </c>
      <c r="C233" s="6"/>
      <c r="D233" s="6"/>
      <c r="E233" s="9"/>
      <c r="F233" s="9"/>
      <c r="G233" s="9"/>
      <c r="H233" s="223"/>
      <c r="I233" s="224"/>
      <c r="J233" s="224"/>
      <c r="K233" s="223"/>
      <c r="L233" s="9"/>
      <c r="M233" s="9"/>
      <c r="N233" s="9"/>
      <c r="O233" s="9"/>
      <c r="P233" s="9"/>
      <c r="Q233" s="9"/>
      <c r="R233" t="s">
        <v>936</v>
      </c>
    </row>
    <row r="234" spans="1:18" x14ac:dyDescent="0.35">
      <c r="A234" s="6" t="s">
        <v>294</v>
      </c>
      <c r="B234" s="11" t="s">
        <v>326</v>
      </c>
      <c r="C234" s="6">
        <v>30.47</v>
      </c>
      <c r="D234" s="6" t="s">
        <v>17</v>
      </c>
      <c r="E234" s="9">
        <v>916</v>
      </c>
      <c r="F234" s="9">
        <v>199</v>
      </c>
      <c r="G234" s="9">
        <f>(Table5[[#This Row],[Supply Rate]]+Table5[[#This Row],[Install Rate]])*Table5[[#This Row],[Qty]]</f>
        <v>33974.049999999996</v>
      </c>
      <c r="H234" s="223">
        <f>Table5[[#This Row],[Supply Rate]]*80%</f>
        <v>732.80000000000007</v>
      </c>
      <c r="I234" s="224"/>
      <c r="J234" s="224">
        <f>IF(Table5[[#This Row],[Material Qty]]=0,0,Table5[[#This Row],[Material Qty]]-Table5[[#This Row],[Cumulative]])</f>
        <v>0</v>
      </c>
      <c r="K234" s="223">
        <f>Table5[[#This Row],[Material Balance Qty]]*Table5[[#This Row],[Material @ Site Rate]]</f>
        <v>0</v>
      </c>
      <c r="L234" s="9"/>
      <c r="M234" s="9">
        <f>Table5[[#This Row],[Cumulative]]-Table5[[#This Row],[Previous Qty]]</f>
        <v>0</v>
      </c>
      <c r="N234" s="9"/>
      <c r="O234" s="9">
        <f>(Table5[[#This Row],[Supply Rate]]+Table5[[#This Row],[Install Rate]])*Table5[[#This Row],[Previous Qty]]</f>
        <v>0</v>
      </c>
      <c r="P234" s="9">
        <f>Table5[[#This Row],[Cumulative Amount]]-Table5[[#This Row],[Previous Amount]]</f>
        <v>0</v>
      </c>
      <c r="Q234" s="9">
        <f>(Table5[[#This Row],[Supply Rate]]+Table5[[#This Row],[Install Rate]])*Table5[[#This Row],[Cumulative]]</f>
        <v>0</v>
      </c>
      <c r="R234" t="s">
        <v>936</v>
      </c>
    </row>
    <row r="235" spans="1:18" ht="29" x14ac:dyDescent="0.35">
      <c r="A235" s="6" t="s">
        <v>297</v>
      </c>
      <c r="B235" s="11" t="s">
        <v>457</v>
      </c>
      <c r="C235" s="6"/>
      <c r="D235" s="6"/>
      <c r="E235" s="9"/>
      <c r="F235" s="9"/>
      <c r="G235" s="9"/>
      <c r="H235" s="223"/>
      <c r="I235" s="224"/>
      <c r="J235" s="224"/>
      <c r="K235" s="223"/>
      <c r="L235" s="9"/>
      <c r="M235" s="9"/>
      <c r="N235" s="9"/>
      <c r="O235" s="9"/>
      <c r="P235" s="9"/>
      <c r="Q235" s="9"/>
      <c r="R235" t="s">
        <v>936</v>
      </c>
    </row>
    <row r="236" spans="1:18" x14ac:dyDescent="0.35">
      <c r="A236" s="6">
        <v>1</v>
      </c>
      <c r="B236" s="11" t="s">
        <v>458</v>
      </c>
      <c r="C236" s="6">
        <v>2.65</v>
      </c>
      <c r="D236" s="6" t="s">
        <v>17</v>
      </c>
      <c r="E236" s="9">
        <v>916</v>
      </c>
      <c r="F236" s="9">
        <v>237</v>
      </c>
      <c r="G236" s="9">
        <f>(Table5[[#This Row],[Supply Rate]]+Table5[[#This Row],[Install Rate]])*Table5[[#This Row],[Qty]]</f>
        <v>3055.45</v>
      </c>
      <c r="H236" s="223">
        <f>Table5[[#This Row],[Supply Rate]]*80%</f>
        <v>732.80000000000007</v>
      </c>
      <c r="I236" s="224"/>
      <c r="J236" s="224">
        <f>IF(Table5[[#This Row],[Material Qty]]=0,0,Table5[[#This Row],[Material Qty]]-Table5[[#This Row],[Cumulative]])</f>
        <v>0</v>
      </c>
      <c r="K236" s="223">
        <f>Table5[[#This Row],[Material Balance Qty]]*Table5[[#This Row],[Material @ Site Rate]]</f>
        <v>0</v>
      </c>
      <c r="L236" s="9"/>
      <c r="M236" s="9">
        <f>Table5[[#This Row],[Cumulative]]-Table5[[#This Row],[Previous Qty]]</f>
        <v>0</v>
      </c>
      <c r="N236" s="9"/>
      <c r="O236" s="9">
        <f>(Table5[[#This Row],[Supply Rate]]+Table5[[#This Row],[Install Rate]])*Table5[[#This Row],[Previous Qty]]</f>
        <v>0</v>
      </c>
      <c r="P236" s="9">
        <f>Table5[[#This Row],[Cumulative Amount]]-Table5[[#This Row],[Previous Amount]]</f>
        <v>0</v>
      </c>
      <c r="Q236" s="9">
        <f>(Table5[[#This Row],[Supply Rate]]+Table5[[#This Row],[Install Rate]])*Table5[[#This Row],[Cumulative]]</f>
        <v>0</v>
      </c>
      <c r="R236" t="s">
        <v>936</v>
      </c>
    </row>
    <row r="237" spans="1:18" x14ac:dyDescent="0.35">
      <c r="A237" s="6">
        <v>2</v>
      </c>
      <c r="B237" s="11" t="s">
        <v>459</v>
      </c>
      <c r="C237" s="6">
        <v>6.6859999999999999</v>
      </c>
      <c r="D237" s="6" t="s">
        <v>17</v>
      </c>
      <c r="E237" s="9">
        <v>916</v>
      </c>
      <c r="F237" s="9">
        <v>237</v>
      </c>
      <c r="G237" s="9">
        <f>(Table5[[#This Row],[Supply Rate]]+Table5[[#This Row],[Install Rate]])*Table5[[#This Row],[Qty]]</f>
        <v>7708.9579999999996</v>
      </c>
      <c r="H237" s="223">
        <f>Table5[[#This Row],[Supply Rate]]*80%</f>
        <v>732.80000000000007</v>
      </c>
      <c r="I237" s="224"/>
      <c r="J237" s="224">
        <f>IF(Table5[[#This Row],[Material Qty]]=0,0,Table5[[#This Row],[Material Qty]]-Table5[[#This Row],[Cumulative]])</f>
        <v>0</v>
      </c>
      <c r="K237" s="223">
        <f>Table5[[#This Row],[Material Balance Qty]]*Table5[[#This Row],[Material @ Site Rate]]</f>
        <v>0</v>
      </c>
      <c r="L237" s="9"/>
      <c r="M237" s="9">
        <f>Table5[[#This Row],[Cumulative]]-Table5[[#This Row],[Previous Qty]]</f>
        <v>0</v>
      </c>
      <c r="N237" s="9"/>
      <c r="O237" s="9">
        <f>(Table5[[#This Row],[Supply Rate]]+Table5[[#This Row],[Install Rate]])*Table5[[#This Row],[Previous Qty]]</f>
        <v>0</v>
      </c>
      <c r="P237" s="9">
        <f>Table5[[#This Row],[Cumulative Amount]]-Table5[[#This Row],[Previous Amount]]</f>
        <v>0</v>
      </c>
      <c r="Q237" s="9">
        <f>(Table5[[#This Row],[Supply Rate]]+Table5[[#This Row],[Install Rate]])*Table5[[#This Row],[Cumulative]]</f>
        <v>0</v>
      </c>
      <c r="R237" t="s">
        <v>936</v>
      </c>
    </row>
    <row r="238" spans="1:18" ht="29" x14ac:dyDescent="0.35">
      <c r="A238" s="6" t="s">
        <v>300</v>
      </c>
      <c r="B238" s="11" t="s">
        <v>438</v>
      </c>
      <c r="C238" s="6"/>
      <c r="D238" s="6"/>
      <c r="E238" s="9"/>
      <c r="F238" s="9"/>
      <c r="G238" s="9"/>
      <c r="H238" s="223"/>
      <c r="I238" s="224"/>
      <c r="J238" s="224"/>
      <c r="K238" s="223"/>
      <c r="L238" s="9"/>
      <c r="M238" s="9"/>
      <c r="N238" s="9"/>
      <c r="O238" s="9"/>
      <c r="P238" s="9"/>
      <c r="Q238" s="9"/>
      <c r="R238" t="s">
        <v>936</v>
      </c>
    </row>
    <row r="239" spans="1:18" x14ac:dyDescent="0.35">
      <c r="A239" s="6">
        <v>1</v>
      </c>
      <c r="B239" s="11" t="s">
        <v>460</v>
      </c>
      <c r="C239" s="6">
        <v>23.8</v>
      </c>
      <c r="D239" s="6" t="s">
        <v>17</v>
      </c>
      <c r="E239" s="9">
        <v>441</v>
      </c>
      <c r="F239" s="9">
        <v>230</v>
      </c>
      <c r="G239" s="9">
        <f>(Table5[[#This Row],[Supply Rate]]+Table5[[#This Row],[Install Rate]])*Table5[[#This Row],[Qty]]</f>
        <v>15969.800000000001</v>
      </c>
      <c r="H239" s="223">
        <f>Table5[[#This Row],[Supply Rate]]*80%</f>
        <v>352.8</v>
      </c>
      <c r="I239" s="224"/>
      <c r="J239" s="224">
        <f>IF(Table5[[#This Row],[Material Qty]]=0,0,Table5[[#This Row],[Material Qty]]-Table5[[#This Row],[Cumulative]])</f>
        <v>0</v>
      </c>
      <c r="K239" s="223">
        <f>Table5[[#This Row],[Material Balance Qty]]*Table5[[#This Row],[Material @ Site Rate]]</f>
        <v>0</v>
      </c>
      <c r="L239" s="9"/>
      <c r="M239" s="9">
        <f>Table5[[#This Row],[Cumulative]]-Table5[[#This Row],[Previous Qty]]</f>
        <v>0</v>
      </c>
      <c r="N239" s="9"/>
      <c r="O239" s="9">
        <f>(Table5[[#This Row],[Supply Rate]]+Table5[[#This Row],[Install Rate]])*Table5[[#This Row],[Previous Qty]]</f>
        <v>0</v>
      </c>
      <c r="P239" s="9">
        <f>Table5[[#This Row],[Cumulative Amount]]-Table5[[#This Row],[Previous Amount]]</f>
        <v>0</v>
      </c>
      <c r="Q239" s="9">
        <f>(Table5[[#This Row],[Supply Rate]]+Table5[[#This Row],[Install Rate]])*Table5[[#This Row],[Cumulative]]</f>
        <v>0</v>
      </c>
      <c r="R239" t="s">
        <v>936</v>
      </c>
    </row>
    <row r="240" spans="1:18" ht="58" x14ac:dyDescent="0.35">
      <c r="A240" s="6" t="s">
        <v>325</v>
      </c>
      <c r="B240" s="11" t="s">
        <v>348</v>
      </c>
      <c r="C240" s="6"/>
      <c r="D240" s="6"/>
      <c r="E240" s="9"/>
      <c r="F240" s="9"/>
      <c r="G240" s="9"/>
      <c r="H240" s="223"/>
      <c r="I240" s="224"/>
      <c r="J240" s="224"/>
      <c r="K240" s="223"/>
      <c r="L240" s="9"/>
      <c r="M240" s="9"/>
      <c r="N240" s="9"/>
      <c r="O240" s="9"/>
      <c r="P240" s="9"/>
      <c r="Q240" s="9"/>
      <c r="R240" t="s">
        <v>936</v>
      </c>
    </row>
    <row r="241" spans="1:18" ht="29" x14ac:dyDescent="0.35">
      <c r="A241" s="6">
        <v>1</v>
      </c>
      <c r="B241" s="11" t="s">
        <v>461</v>
      </c>
      <c r="C241" s="6"/>
      <c r="D241" s="6" t="s">
        <v>364</v>
      </c>
      <c r="E241" s="9"/>
      <c r="F241" s="9"/>
      <c r="G241" s="9"/>
      <c r="H241" s="223"/>
      <c r="I241" s="224"/>
      <c r="J241" s="224"/>
      <c r="K241" s="223"/>
      <c r="L241" s="9"/>
      <c r="M241" s="9"/>
      <c r="N241" s="9"/>
      <c r="O241" s="9"/>
      <c r="P241" s="9"/>
      <c r="Q241" s="9"/>
      <c r="R241" t="s">
        <v>936</v>
      </c>
    </row>
    <row r="242" spans="1:18" ht="29" x14ac:dyDescent="0.35">
      <c r="A242" s="6">
        <v>2</v>
      </c>
      <c r="B242" s="11" t="s">
        <v>443</v>
      </c>
      <c r="C242" s="6"/>
      <c r="D242" s="6" t="s">
        <v>364</v>
      </c>
      <c r="E242" s="9"/>
      <c r="F242" s="9"/>
      <c r="G242" s="9"/>
      <c r="H242" s="223"/>
      <c r="I242" s="224"/>
      <c r="J242" s="224"/>
      <c r="K242" s="223"/>
      <c r="L242" s="9"/>
      <c r="M242" s="9"/>
      <c r="N242" s="9"/>
      <c r="O242" s="9"/>
      <c r="P242" s="9"/>
      <c r="Q242" s="9"/>
      <c r="R242" t="s">
        <v>936</v>
      </c>
    </row>
    <row r="243" spans="1:18" ht="29" x14ac:dyDescent="0.35">
      <c r="A243" s="6">
        <v>3</v>
      </c>
      <c r="B243" s="11" t="s">
        <v>462</v>
      </c>
      <c r="C243" s="6"/>
      <c r="D243" s="6" t="s">
        <v>364</v>
      </c>
      <c r="E243" s="9"/>
      <c r="F243" s="9"/>
      <c r="G243" s="9"/>
      <c r="H243" s="223"/>
      <c r="I243" s="224"/>
      <c r="J243" s="224"/>
      <c r="K243" s="223"/>
      <c r="L243" s="9"/>
      <c r="M243" s="9"/>
      <c r="N243" s="9"/>
      <c r="O243" s="9"/>
      <c r="P243" s="9"/>
      <c r="Q243" s="9"/>
      <c r="R243" t="s">
        <v>936</v>
      </c>
    </row>
    <row r="244" spans="1:18" ht="29" x14ac:dyDescent="0.35">
      <c r="A244" s="6">
        <v>4</v>
      </c>
      <c r="B244" s="11" t="s">
        <v>463</v>
      </c>
      <c r="C244" s="6"/>
      <c r="D244" s="6" t="s">
        <v>364</v>
      </c>
      <c r="E244" s="9"/>
      <c r="F244" s="9"/>
      <c r="G244" s="9"/>
      <c r="H244" s="223"/>
      <c r="I244" s="224"/>
      <c r="J244" s="224"/>
      <c r="K244" s="223"/>
      <c r="L244" s="9"/>
      <c r="M244" s="9"/>
      <c r="N244" s="9"/>
      <c r="O244" s="9"/>
      <c r="P244" s="9"/>
      <c r="Q244" s="9"/>
      <c r="R244" t="s">
        <v>936</v>
      </c>
    </row>
    <row r="245" spans="1:18" x14ac:dyDescent="0.35">
      <c r="A245" s="6"/>
      <c r="B245" s="11" t="s">
        <v>351</v>
      </c>
      <c r="C245" s="6"/>
      <c r="D245" s="6" t="s">
        <v>364</v>
      </c>
      <c r="E245" s="9"/>
      <c r="F245" s="9"/>
      <c r="G245" s="9"/>
      <c r="H245" s="223"/>
      <c r="I245" s="224"/>
      <c r="J245" s="224"/>
      <c r="K245" s="223"/>
      <c r="L245" s="9"/>
      <c r="M245" s="9"/>
      <c r="N245" s="9"/>
      <c r="O245" s="9"/>
      <c r="P245" s="9"/>
      <c r="Q245" s="9"/>
      <c r="R245" t="s">
        <v>936</v>
      </c>
    </row>
    <row r="246" spans="1:18" ht="87" x14ac:dyDescent="0.35">
      <c r="A246" s="6" t="s">
        <v>292</v>
      </c>
      <c r="B246" s="11" t="s">
        <v>352</v>
      </c>
      <c r="C246" s="6"/>
      <c r="D246" s="6" t="s">
        <v>364</v>
      </c>
      <c r="E246" s="9"/>
      <c r="F246" s="9"/>
      <c r="G246" s="9"/>
      <c r="H246" s="223"/>
      <c r="I246" s="224"/>
      <c r="J246" s="224"/>
      <c r="K246" s="223"/>
      <c r="L246" s="9"/>
      <c r="M246" s="9"/>
      <c r="N246" s="9"/>
      <c r="O246" s="9"/>
      <c r="P246" s="9"/>
      <c r="Q246" s="9"/>
      <c r="R246" t="s">
        <v>936</v>
      </c>
    </row>
    <row r="247" spans="1:18" ht="29" x14ac:dyDescent="0.35">
      <c r="A247" s="6">
        <v>1</v>
      </c>
      <c r="B247" s="11" t="s">
        <v>464</v>
      </c>
      <c r="C247" s="6">
        <v>8.85</v>
      </c>
      <c r="D247" s="6" t="s">
        <v>10</v>
      </c>
      <c r="E247" s="9">
        <v>123</v>
      </c>
      <c r="F247" s="9">
        <v>25</v>
      </c>
      <c r="G247" s="9">
        <f>(Table5[[#This Row],[Supply Rate]]+Table5[[#This Row],[Install Rate]])*Table5[[#This Row],[Qty]]</f>
        <v>1309.8</v>
      </c>
      <c r="H247" s="223">
        <f>Table5[[#This Row],[Supply Rate]]*80%</f>
        <v>98.4</v>
      </c>
      <c r="I247" s="224"/>
      <c r="J247" s="224">
        <f>IF(Table5[[#This Row],[Material Qty]]=0,0,Table5[[#This Row],[Material Qty]]-Table5[[#This Row],[Cumulative]])</f>
        <v>0</v>
      </c>
      <c r="K247" s="223">
        <f>Table5[[#This Row],[Material Balance Qty]]*Table5[[#This Row],[Material @ Site Rate]]</f>
        <v>0</v>
      </c>
      <c r="L247" s="9"/>
      <c r="M247" s="9">
        <f>Table5[[#This Row],[Cumulative]]-Table5[[#This Row],[Previous Qty]]</f>
        <v>0</v>
      </c>
      <c r="N247" s="9"/>
      <c r="O247" s="9">
        <f>(Table5[[#This Row],[Supply Rate]]+Table5[[#This Row],[Install Rate]])*Table5[[#This Row],[Previous Qty]]</f>
        <v>0</v>
      </c>
      <c r="P247" s="9">
        <f>Table5[[#This Row],[Cumulative Amount]]-Table5[[#This Row],[Previous Amount]]</f>
        <v>0</v>
      </c>
      <c r="Q247" s="9">
        <f>(Table5[[#This Row],[Supply Rate]]+Table5[[#This Row],[Install Rate]])*Table5[[#This Row],[Cumulative]]</f>
        <v>0</v>
      </c>
      <c r="R247" t="s">
        <v>936</v>
      </c>
    </row>
    <row r="248" spans="1:18" ht="29" x14ac:dyDescent="0.35">
      <c r="A248" s="6">
        <v>2</v>
      </c>
      <c r="B248" s="11" t="s">
        <v>465</v>
      </c>
      <c r="C248" s="6">
        <v>31.86</v>
      </c>
      <c r="D248" s="6" t="s">
        <v>10</v>
      </c>
      <c r="E248" s="9">
        <v>77</v>
      </c>
      <c r="F248" s="9">
        <v>24</v>
      </c>
      <c r="G248" s="9">
        <f>(Table5[[#This Row],[Supply Rate]]+Table5[[#This Row],[Install Rate]])*Table5[[#This Row],[Qty]]</f>
        <v>3217.86</v>
      </c>
      <c r="H248" s="223">
        <f>Table5[[#This Row],[Supply Rate]]*80%</f>
        <v>61.6</v>
      </c>
      <c r="I248" s="224"/>
      <c r="J248" s="224">
        <f>IF(Table5[[#This Row],[Material Qty]]=0,0,Table5[[#This Row],[Material Qty]]-Table5[[#This Row],[Cumulative]])</f>
        <v>0</v>
      </c>
      <c r="K248" s="223">
        <f>Table5[[#This Row],[Material Balance Qty]]*Table5[[#This Row],[Material @ Site Rate]]</f>
        <v>0</v>
      </c>
      <c r="L248" s="9"/>
      <c r="M248" s="9">
        <f>Table5[[#This Row],[Cumulative]]-Table5[[#This Row],[Previous Qty]]</f>
        <v>0</v>
      </c>
      <c r="N248" s="9"/>
      <c r="O248" s="9">
        <f>(Table5[[#This Row],[Supply Rate]]+Table5[[#This Row],[Install Rate]])*Table5[[#This Row],[Previous Qty]]</f>
        <v>0</v>
      </c>
      <c r="P248" s="9">
        <f>Table5[[#This Row],[Cumulative Amount]]-Table5[[#This Row],[Previous Amount]]</f>
        <v>0</v>
      </c>
      <c r="Q248" s="9">
        <f>(Table5[[#This Row],[Supply Rate]]+Table5[[#This Row],[Install Rate]])*Table5[[#This Row],[Cumulative]]</f>
        <v>0</v>
      </c>
      <c r="R248" t="s">
        <v>936</v>
      </c>
    </row>
    <row r="249" spans="1:18" ht="29" x14ac:dyDescent="0.35">
      <c r="A249" s="6">
        <v>3</v>
      </c>
      <c r="B249" s="11" t="s">
        <v>445</v>
      </c>
      <c r="C249" s="6">
        <v>29.59</v>
      </c>
      <c r="D249" s="6" t="s">
        <v>10</v>
      </c>
      <c r="E249" s="9">
        <v>68</v>
      </c>
      <c r="F249" s="9">
        <v>25</v>
      </c>
      <c r="G249" s="9">
        <f>(Table5[[#This Row],[Supply Rate]]+Table5[[#This Row],[Install Rate]])*Table5[[#This Row],[Qty]]</f>
        <v>2751.87</v>
      </c>
      <c r="H249" s="223">
        <f>Table5[[#This Row],[Supply Rate]]*80%</f>
        <v>54.400000000000006</v>
      </c>
      <c r="I249" s="224"/>
      <c r="J249" s="224">
        <f>IF(Table5[[#This Row],[Material Qty]]=0,0,Table5[[#This Row],[Material Qty]]-Table5[[#This Row],[Cumulative]])</f>
        <v>0</v>
      </c>
      <c r="K249" s="223">
        <f>Table5[[#This Row],[Material Balance Qty]]*Table5[[#This Row],[Material @ Site Rate]]</f>
        <v>0</v>
      </c>
      <c r="L249" s="9"/>
      <c r="M249" s="9">
        <f>Table5[[#This Row],[Cumulative]]-Table5[[#This Row],[Previous Qty]]</f>
        <v>0</v>
      </c>
      <c r="N249" s="9"/>
      <c r="O249" s="9">
        <f>(Table5[[#This Row],[Supply Rate]]+Table5[[#This Row],[Install Rate]])*Table5[[#This Row],[Previous Qty]]</f>
        <v>0</v>
      </c>
      <c r="P249" s="9">
        <f>Table5[[#This Row],[Cumulative Amount]]-Table5[[#This Row],[Previous Amount]]</f>
        <v>0</v>
      </c>
      <c r="Q249" s="9">
        <f>(Table5[[#This Row],[Supply Rate]]+Table5[[#This Row],[Install Rate]])*Table5[[#This Row],[Cumulative]]</f>
        <v>0</v>
      </c>
      <c r="R249" t="s">
        <v>936</v>
      </c>
    </row>
    <row r="250" spans="1:18" ht="43.5" x14ac:dyDescent="0.35">
      <c r="A250" s="6" t="s">
        <v>294</v>
      </c>
      <c r="B250" s="11" t="s">
        <v>446</v>
      </c>
      <c r="C250" s="6"/>
      <c r="D250" s="6"/>
      <c r="E250" s="9"/>
      <c r="F250" s="9"/>
      <c r="G250" s="9"/>
      <c r="H250" s="223"/>
      <c r="I250" s="224"/>
      <c r="J250" s="224"/>
      <c r="K250" s="223"/>
      <c r="L250" s="9"/>
      <c r="M250" s="9"/>
      <c r="N250" s="9"/>
      <c r="O250" s="9"/>
      <c r="P250" s="9"/>
      <c r="Q250" s="9"/>
      <c r="R250" t="s">
        <v>936</v>
      </c>
    </row>
    <row r="251" spans="1:18" x14ac:dyDescent="0.35">
      <c r="A251" s="6">
        <v>1</v>
      </c>
      <c r="B251" s="11" t="s">
        <v>466</v>
      </c>
      <c r="C251" s="6">
        <v>1</v>
      </c>
      <c r="D251" s="6" t="s">
        <v>364</v>
      </c>
      <c r="E251" s="9">
        <v>1429</v>
      </c>
      <c r="F251" s="9">
        <v>388</v>
      </c>
      <c r="G251" s="9">
        <f>(Table5[[#This Row],[Supply Rate]]+Table5[[#This Row],[Install Rate]])*Table5[[#This Row],[Qty]]</f>
        <v>1817</v>
      </c>
      <c r="H251" s="223">
        <f>Table5[[#This Row],[Supply Rate]]*80%</f>
        <v>1143.2</v>
      </c>
      <c r="I251" s="224"/>
      <c r="J251" s="224">
        <f>IF(Table5[[#This Row],[Material Qty]]=0,0,Table5[[#This Row],[Material Qty]]-Table5[[#This Row],[Cumulative]])</f>
        <v>0</v>
      </c>
      <c r="K251" s="223">
        <f>Table5[[#This Row],[Material Balance Qty]]*Table5[[#This Row],[Material @ Site Rate]]</f>
        <v>0</v>
      </c>
      <c r="L251" s="9"/>
      <c r="M251" s="9">
        <f>Table5[[#This Row],[Cumulative]]-Table5[[#This Row],[Previous Qty]]</f>
        <v>0</v>
      </c>
      <c r="N251" s="9"/>
      <c r="O251" s="9">
        <f>(Table5[[#This Row],[Supply Rate]]+Table5[[#This Row],[Install Rate]])*Table5[[#This Row],[Previous Qty]]</f>
        <v>0</v>
      </c>
      <c r="P251" s="9">
        <f>Table5[[#This Row],[Cumulative Amount]]-Table5[[#This Row],[Previous Amount]]</f>
        <v>0</v>
      </c>
      <c r="Q251" s="9">
        <f>(Table5[[#This Row],[Supply Rate]]+Table5[[#This Row],[Install Rate]])*Table5[[#This Row],[Cumulative]]</f>
        <v>0</v>
      </c>
      <c r="R251" t="s">
        <v>936</v>
      </c>
    </row>
    <row r="252" spans="1:18" x14ac:dyDescent="0.35">
      <c r="A252" s="6">
        <v>2</v>
      </c>
      <c r="B252" s="11" t="s">
        <v>466</v>
      </c>
      <c r="C252" s="6">
        <v>1</v>
      </c>
      <c r="D252" s="6" t="s">
        <v>364</v>
      </c>
      <c r="E252" s="9">
        <v>1429</v>
      </c>
      <c r="F252" s="9">
        <v>388</v>
      </c>
      <c r="G252" s="9">
        <f>(Table5[[#This Row],[Supply Rate]]+Table5[[#This Row],[Install Rate]])*Table5[[#This Row],[Qty]]</f>
        <v>1817</v>
      </c>
      <c r="H252" s="223">
        <f>Table5[[#This Row],[Supply Rate]]*80%</f>
        <v>1143.2</v>
      </c>
      <c r="I252" s="224"/>
      <c r="J252" s="224">
        <f>IF(Table5[[#This Row],[Material Qty]]=0,0,Table5[[#This Row],[Material Qty]]-Table5[[#This Row],[Cumulative]])</f>
        <v>0</v>
      </c>
      <c r="K252" s="223">
        <f>Table5[[#This Row],[Material Balance Qty]]*Table5[[#This Row],[Material @ Site Rate]]</f>
        <v>0</v>
      </c>
      <c r="L252" s="9"/>
      <c r="M252" s="9">
        <f>Table5[[#This Row],[Cumulative]]-Table5[[#This Row],[Previous Qty]]</f>
        <v>0</v>
      </c>
      <c r="N252" s="9"/>
      <c r="O252" s="9">
        <f>(Table5[[#This Row],[Supply Rate]]+Table5[[#This Row],[Install Rate]])*Table5[[#This Row],[Previous Qty]]</f>
        <v>0</v>
      </c>
      <c r="P252" s="9">
        <f>Table5[[#This Row],[Cumulative Amount]]-Table5[[#This Row],[Previous Amount]]</f>
        <v>0</v>
      </c>
      <c r="Q252" s="9">
        <f>(Table5[[#This Row],[Supply Rate]]+Table5[[#This Row],[Install Rate]])*Table5[[#This Row],[Cumulative]]</f>
        <v>0</v>
      </c>
      <c r="R252" t="s">
        <v>936</v>
      </c>
    </row>
    <row r="253" spans="1:18" ht="29" x14ac:dyDescent="0.35">
      <c r="A253" s="6">
        <v>3</v>
      </c>
      <c r="B253" s="11" t="s">
        <v>467</v>
      </c>
      <c r="C253" s="6">
        <v>1</v>
      </c>
      <c r="D253" s="6" t="s">
        <v>364</v>
      </c>
      <c r="E253" s="9">
        <v>1560</v>
      </c>
      <c r="F253" s="9">
        <v>467</v>
      </c>
      <c r="G253" s="9">
        <f>(Table5[[#This Row],[Supply Rate]]+Table5[[#This Row],[Install Rate]])*Table5[[#This Row],[Qty]]</f>
        <v>2027</v>
      </c>
      <c r="H253" s="223">
        <f>Table5[[#This Row],[Supply Rate]]*80%</f>
        <v>1248</v>
      </c>
      <c r="I253" s="224"/>
      <c r="J253" s="224">
        <f>IF(Table5[[#This Row],[Material Qty]]=0,0,Table5[[#This Row],[Material Qty]]-Table5[[#This Row],[Cumulative]])</f>
        <v>0</v>
      </c>
      <c r="K253" s="223">
        <f>Table5[[#This Row],[Material Balance Qty]]*Table5[[#This Row],[Material @ Site Rate]]</f>
        <v>0</v>
      </c>
      <c r="L253" s="9"/>
      <c r="M253" s="9">
        <f>Table5[[#This Row],[Cumulative]]-Table5[[#This Row],[Previous Qty]]</f>
        <v>0</v>
      </c>
      <c r="N253" s="9"/>
      <c r="O253" s="9">
        <f>(Table5[[#This Row],[Supply Rate]]+Table5[[#This Row],[Install Rate]])*Table5[[#This Row],[Previous Qty]]</f>
        <v>0</v>
      </c>
      <c r="P253" s="9">
        <f>Table5[[#This Row],[Cumulative Amount]]-Table5[[#This Row],[Previous Amount]]</f>
        <v>0</v>
      </c>
      <c r="Q253" s="9">
        <f>(Table5[[#This Row],[Supply Rate]]+Table5[[#This Row],[Install Rate]])*Table5[[#This Row],[Cumulative]]</f>
        <v>0</v>
      </c>
      <c r="R253" t="s">
        <v>936</v>
      </c>
    </row>
    <row r="254" spans="1:18" ht="29" x14ac:dyDescent="0.35">
      <c r="A254" s="6">
        <v>4</v>
      </c>
      <c r="B254" s="11" t="s">
        <v>468</v>
      </c>
      <c r="C254" s="6">
        <v>1</v>
      </c>
      <c r="D254" s="6" t="s">
        <v>364</v>
      </c>
      <c r="E254" s="9">
        <v>1588</v>
      </c>
      <c r="F254" s="9">
        <v>482</v>
      </c>
      <c r="G254" s="9">
        <f>(Table5[[#This Row],[Supply Rate]]+Table5[[#This Row],[Install Rate]])*Table5[[#This Row],[Qty]]</f>
        <v>2070</v>
      </c>
      <c r="H254" s="223">
        <f>Table5[[#This Row],[Supply Rate]]*80%</f>
        <v>1270.4000000000001</v>
      </c>
      <c r="I254" s="224"/>
      <c r="J254" s="224">
        <f>IF(Table5[[#This Row],[Material Qty]]=0,0,Table5[[#This Row],[Material Qty]]-Table5[[#This Row],[Cumulative]])</f>
        <v>0</v>
      </c>
      <c r="K254" s="223">
        <f>Table5[[#This Row],[Material Balance Qty]]*Table5[[#This Row],[Material @ Site Rate]]</f>
        <v>0</v>
      </c>
      <c r="L254" s="9"/>
      <c r="M254" s="9">
        <f>Table5[[#This Row],[Cumulative]]-Table5[[#This Row],[Previous Qty]]</f>
        <v>0</v>
      </c>
      <c r="N254" s="9"/>
      <c r="O254" s="9">
        <f>(Table5[[#This Row],[Supply Rate]]+Table5[[#This Row],[Install Rate]])*Table5[[#This Row],[Previous Qty]]</f>
        <v>0</v>
      </c>
      <c r="P254" s="9">
        <f>Table5[[#This Row],[Cumulative Amount]]-Table5[[#This Row],[Previous Amount]]</f>
        <v>0</v>
      </c>
      <c r="Q254" s="9">
        <f>(Table5[[#This Row],[Supply Rate]]+Table5[[#This Row],[Install Rate]])*Table5[[#This Row],[Cumulative]]</f>
        <v>0</v>
      </c>
      <c r="R254" t="s">
        <v>936</v>
      </c>
    </row>
    <row r="255" spans="1:18" x14ac:dyDescent="0.35">
      <c r="A255" s="6">
        <v>5</v>
      </c>
      <c r="B255" s="11" t="s">
        <v>469</v>
      </c>
      <c r="C255" s="6">
        <v>1</v>
      </c>
      <c r="D255" s="6" t="s">
        <v>364</v>
      </c>
      <c r="E255" s="9">
        <v>1745</v>
      </c>
      <c r="F255" s="9">
        <v>545</v>
      </c>
      <c r="G255" s="9">
        <f>(Table5[[#This Row],[Supply Rate]]+Table5[[#This Row],[Install Rate]])*Table5[[#This Row],[Qty]]</f>
        <v>2290</v>
      </c>
      <c r="H255" s="223">
        <f>Table5[[#This Row],[Supply Rate]]*80%</f>
        <v>1396</v>
      </c>
      <c r="I255" s="224"/>
      <c r="J255" s="224">
        <f>IF(Table5[[#This Row],[Material Qty]]=0,0,Table5[[#This Row],[Material Qty]]-Table5[[#This Row],[Cumulative]])</f>
        <v>0</v>
      </c>
      <c r="K255" s="223">
        <f>Table5[[#This Row],[Material Balance Qty]]*Table5[[#This Row],[Material @ Site Rate]]</f>
        <v>0</v>
      </c>
      <c r="L255" s="9"/>
      <c r="M255" s="9">
        <f>Table5[[#This Row],[Cumulative]]-Table5[[#This Row],[Previous Qty]]</f>
        <v>0</v>
      </c>
      <c r="N255" s="9"/>
      <c r="O255" s="9">
        <f>(Table5[[#This Row],[Supply Rate]]+Table5[[#This Row],[Install Rate]])*Table5[[#This Row],[Previous Qty]]</f>
        <v>0</v>
      </c>
      <c r="P255" s="9">
        <f>Table5[[#This Row],[Cumulative Amount]]-Table5[[#This Row],[Previous Amount]]</f>
        <v>0</v>
      </c>
      <c r="Q255" s="9">
        <f>(Table5[[#This Row],[Supply Rate]]+Table5[[#This Row],[Install Rate]])*Table5[[#This Row],[Cumulative]]</f>
        <v>0</v>
      </c>
      <c r="R255" t="s">
        <v>936</v>
      </c>
    </row>
    <row r="256" spans="1:18" x14ac:dyDescent="0.35">
      <c r="A256" s="6">
        <v>6</v>
      </c>
      <c r="B256" s="11" t="s">
        <v>470</v>
      </c>
      <c r="C256" s="6">
        <v>1</v>
      </c>
      <c r="D256" s="6" t="s">
        <v>364</v>
      </c>
      <c r="E256" s="9">
        <v>2686</v>
      </c>
      <c r="F256" s="9">
        <v>1066</v>
      </c>
      <c r="G256" s="9">
        <f>(Table5[[#This Row],[Supply Rate]]+Table5[[#This Row],[Install Rate]])*Table5[[#This Row],[Qty]]</f>
        <v>3752</v>
      </c>
      <c r="H256" s="223">
        <f>Table5[[#This Row],[Supply Rate]]*80%</f>
        <v>2148.8000000000002</v>
      </c>
      <c r="I256" s="224"/>
      <c r="J256" s="224">
        <f>IF(Table5[[#This Row],[Material Qty]]=0,0,Table5[[#This Row],[Material Qty]]-Table5[[#This Row],[Cumulative]])</f>
        <v>0</v>
      </c>
      <c r="K256" s="223">
        <f>Table5[[#This Row],[Material Balance Qty]]*Table5[[#This Row],[Material @ Site Rate]]</f>
        <v>0</v>
      </c>
      <c r="L256" s="9"/>
      <c r="M256" s="9">
        <f>Table5[[#This Row],[Cumulative]]-Table5[[#This Row],[Previous Qty]]</f>
        <v>0</v>
      </c>
      <c r="N256" s="9"/>
      <c r="O256" s="9">
        <f>(Table5[[#This Row],[Supply Rate]]+Table5[[#This Row],[Install Rate]])*Table5[[#This Row],[Previous Qty]]</f>
        <v>0</v>
      </c>
      <c r="P256" s="9">
        <f>Table5[[#This Row],[Cumulative Amount]]-Table5[[#This Row],[Previous Amount]]</f>
        <v>0</v>
      </c>
      <c r="Q256" s="9">
        <f>(Table5[[#This Row],[Supply Rate]]+Table5[[#This Row],[Install Rate]])*Table5[[#This Row],[Cumulative]]</f>
        <v>0</v>
      </c>
      <c r="R256" t="s">
        <v>936</v>
      </c>
    </row>
    <row r="257" spans="1:18" ht="43.5" x14ac:dyDescent="0.35">
      <c r="A257" s="6" t="s">
        <v>297</v>
      </c>
      <c r="B257" s="11" t="s">
        <v>471</v>
      </c>
      <c r="C257" s="6"/>
      <c r="D257" s="6"/>
      <c r="E257" s="9"/>
      <c r="F257" s="9"/>
      <c r="G257" s="9"/>
      <c r="H257" s="223"/>
      <c r="I257" s="224"/>
      <c r="J257" s="224"/>
      <c r="K257" s="223"/>
      <c r="L257" s="9"/>
      <c r="M257" s="9"/>
      <c r="N257" s="9"/>
      <c r="O257" s="9"/>
      <c r="P257" s="9"/>
      <c r="Q257" s="9"/>
      <c r="R257" t="s">
        <v>936</v>
      </c>
    </row>
    <row r="258" spans="1:18" x14ac:dyDescent="0.35">
      <c r="A258" s="6">
        <v>1</v>
      </c>
      <c r="B258" s="11" t="s">
        <v>472</v>
      </c>
      <c r="C258" s="6"/>
      <c r="D258" s="6"/>
      <c r="E258" s="9"/>
      <c r="F258" s="9"/>
      <c r="G258" s="9"/>
      <c r="H258" s="223"/>
      <c r="I258" s="224"/>
      <c r="J258" s="224"/>
      <c r="K258" s="223"/>
      <c r="L258" s="9"/>
      <c r="M258" s="9"/>
      <c r="N258" s="9"/>
      <c r="O258" s="9"/>
      <c r="P258" s="9"/>
      <c r="Q258" s="9"/>
      <c r="R258" t="s">
        <v>936</v>
      </c>
    </row>
    <row r="259" spans="1:18" x14ac:dyDescent="0.35">
      <c r="A259" s="6"/>
      <c r="B259" s="11" t="s">
        <v>380</v>
      </c>
      <c r="C259" s="6"/>
      <c r="D259" s="6"/>
      <c r="E259" s="9"/>
      <c r="F259" s="9"/>
      <c r="G259" s="9"/>
      <c r="H259" s="223"/>
      <c r="I259" s="224"/>
      <c r="J259" s="224"/>
      <c r="K259" s="223"/>
      <c r="L259" s="9"/>
      <c r="M259" s="9"/>
      <c r="N259" s="9"/>
      <c r="O259" s="9"/>
      <c r="P259" s="9"/>
      <c r="Q259" s="9"/>
      <c r="R259" t="s">
        <v>936</v>
      </c>
    </row>
    <row r="260" spans="1:18" x14ac:dyDescent="0.35">
      <c r="A260" s="6"/>
      <c r="B260" s="11" t="s">
        <v>473</v>
      </c>
      <c r="C260" s="6"/>
      <c r="D260" s="6"/>
      <c r="E260" s="9"/>
      <c r="F260" s="9"/>
      <c r="G260" s="9"/>
      <c r="H260" s="223"/>
      <c r="I260" s="224"/>
      <c r="J260" s="224"/>
      <c r="K260" s="223"/>
      <c r="L260" s="9"/>
      <c r="M260" s="9"/>
      <c r="N260" s="9"/>
      <c r="O260" s="9"/>
      <c r="P260" s="9"/>
      <c r="Q260" s="9"/>
      <c r="R260" t="s">
        <v>936</v>
      </c>
    </row>
    <row r="261" spans="1:18" ht="29" x14ac:dyDescent="0.35">
      <c r="A261" s="6" t="s">
        <v>292</v>
      </c>
      <c r="B261" s="11" t="s">
        <v>474</v>
      </c>
      <c r="C261" s="6"/>
      <c r="D261" s="6"/>
      <c r="E261" s="9"/>
      <c r="F261" s="9"/>
      <c r="G261" s="9"/>
      <c r="H261" s="223"/>
      <c r="I261" s="224"/>
      <c r="J261" s="224"/>
      <c r="K261" s="223"/>
      <c r="L261" s="9"/>
      <c r="M261" s="9"/>
      <c r="N261" s="9"/>
      <c r="O261" s="9"/>
      <c r="P261" s="9"/>
      <c r="Q261" s="9"/>
      <c r="R261" t="s">
        <v>936</v>
      </c>
    </row>
    <row r="262" spans="1:18" x14ac:dyDescent="0.35">
      <c r="A262" s="6"/>
      <c r="B262" s="11" t="s">
        <v>295</v>
      </c>
      <c r="C262" s="6"/>
      <c r="D262" s="6"/>
      <c r="E262" s="9"/>
      <c r="F262" s="9"/>
      <c r="G262" s="9"/>
      <c r="H262" s="223"/>
      <c r="I262" s="224"/>
      <c r="J262" s="224"/>
      <c r="K262" s="223"/>
      <c r="L262" s="9"/>
      <c r="M262" s="9"/>
      <c r="N262" s="9"/>
      <c r="O262" s="9"/>
      <c r="P262" s="9"/>
      <c r="Q262" s="9"/>
      <c r="R262" t="s">
        <v>936</v>
      </c>
    </row>
    <row r="263" spans="1:18" x14ac:dyDescent="0.35">
      <c r="A263" s="6">
        <v>1</v>
      </c>
      <c r="B263" s="11" t="s">
        <v>475</v>
      </c>
      <c r="C263" s="6">
        <v>1.1599999999999999</v>
      </c>
      <c r="D263" s="6" t="s">
        <v>17</v>
      </c>
      <c r="E263" s="9">
        <v>85</v>
      </c>
      <c r="F263" s="9">
        <v>46</v>
      </c>
      <c r="G263" s="9">
        <f>(Table5[[#This Row],[Supply Rate]]+Table5[[#This Row],[Install Rate]])*Table5[[#This Row],[Qty]]</f>
        <v>151.95999999999998</v>
      </c>
      <c r="H263" s="223">
        <f>Table5[[#This Row],[Supply Rate]]*80%</f>
        <v>68</v>
      </c>
      <c r="I263" s="224"/>
      <c r="J263" s="224">
        <f>IF(Table5[[#This Row],[Material Qty]]=0,0,Table5[[#This Row],[Material Qty]]-Table5[[#This Row],[Cumulative]])</f>
        <v>0</v>
      </c>
      <c r="K263" s="223">
        <f>Table5[[#This Row],[Material Balance Qty]]*Table5[[#This Row],[Material @ Site Rate]]</f>
        <v>0</v>
      </c>
      <c r="L263" s="9"/>
      <c r="M263" s="9">
        <f>Table5[[#This Row],[Cumulative]]-Table5[[#This Row],[Previous Qty]]</f>
        <v>0</v>
      </c>
      <c r="N263" s="9"/>
      <c r="O263" s="9">
        <f>(Table5[[#This Row],[Supply Rate]]+Table5[[#This Row],[Install Rate]])*Table5[[#This Row],[Previous Qty]]</f>
        <v>0</v>
      </c>
      <c r="P263" s="9">
        <f>Table5[[#This Row],[Cumulative Amount]]-Table5[[#This Row],[Previous Amount]]</f>
        <v>0</v>
      </c>
      <c r="Q263" s="9">
        <f>(Table5[[#This Row],[Supply Rate]]+Table5[[#This Row],[Install Rate]])*Table5[[#This Row],[Cumulative]]</f>
        <v>0</v>
      </c>
      <c r="R263" t="s">
        <v>936</v>
      </c>
    </row>
    <row r="264" spans="1:18" x14ac:dyDescent="0.35">
      <c r="A264" s="6"/>
      <c r="B264" s="11" t="s">
        <v>395</v>
      </c>
      <c r="C264" s="6"/>
      <c r="D264" s="6"/>
      <c r="E264" s="9"/>
      <c r="F264" s="9"/>
      <c r="G264" s="9"/>
      <c r="H264" s="223"/>
      <c r="I264" s="224"/>
      <c r="J264" s="224"/>
      <c r="K264" s="223"/>
      <c r="L264" s="9"/>
      <c r="M264" s="9"/>
      <c r="N264" s="9"/>
      <c r="O264" s="9"/>
      <c r="P264" s="9"/>
      <c r="Q264" s="9"/>
      <c r="R264" t="s">
        <v>936</v>
      </c>
    </row>
    <row r="265" spans="1:18" x14ac:dyDescent="0.35">
      <c r="A265" s="6">
        <v>1</v>
      </c>
      <c r="B265" s="11" t="s">
        <v>476</v>
      </c>
      <c r="C265" s="6">
        <v>2.64</v>
      </c>
      <c r="D265" s="6" t="s">
        <v>17</v>
      </c>
      <c r="E265" s="9">
        <v>81</v>
      </c>
      <c r="F265" s="9">
        <v>29</v>
      </c>
      <c r="G265" s="9">
        <f>(Table5[[#This Row],[Supply Rate]]+Table5[[#This Row],[Install Rate]])*Table5[[#This Row],[Qty]]</f>
        <v>290.40000000000003</v>
      </c>
      <c r="H265" s="223">
        <f>Table5[[#This Row],[Supply Rate]]*80%</f>
        <v>64.8</v>
      </c>
      <c r="I265" s="224"/>
      <c r="J265" s="224">
        <f>IF(Table5[[#This Row],[Material Qty]]=0,0,Table5[[#This Row],[Material Qty]]-Table5[[#This Row],[Cumulative]])</f>
        <v>0</v>
      </c>
      <c r="K265" s="223">
        <f>Table5[[#This Row],[Material Balance Qty]]*Table5[[#This Row],[Material @ Site Rate]]</f>
        <v>0</v>
      </c>
      <c r="L265" s="9"/>
      <c r="M265" s="9">
        <f>Table5[[#This Row],[Cumulative]]-Table5[[#This Row],[Previous Qty]]</f>
        <v>0</v>
      </c>
      <c r="N265" s="9"/>
      <c r="O265" s="9">
        <f>(Table5[[#This Row],[Supply Rate]]+Table5[[#This Row],[Install Rate]])*Table5[[#This Row],[Previous Qty]]</f>
        <v>0</v>
      </c>
      <c r="P265" s="9">
        <f>Table5[[#This Row],[Cumulative Amount]]-Table5[[#This Row],[Previous Amount]]</f>
        <v>0</v>
      </c>
      <c r="Q265" s="9">
        <f>(Table5[[#This Row],[Supply Rate]]+Table5[[#This Row],[Install Rate]])*Table5[[#This Row],[Cumulative]]</f>
        <v>0</v>
      </c>
      <c r="R265" t="s">
        <v>936</v>
      </c>
    </row>
    <row r="266" spans="1:18" x14ac:dyDescent="0.35">
      <c r="A266" s="6"/>
      <c r="B266" s="11" t="s">
        <v>477</v>
      </c>
      <c r="C266" s="6"/>
      <c r="D266" s="6"/>
      <c r="E266" s="9"/>
      <c r="F266" s="9"/>
      <c r="G266" s="9"/>
      <c r="H266" s="223"/>
      <c r="I266" s="224"/>
      <c r="J266" s="224"/>
      <c r="K266" s="223"/>
      <c r="L266" s="9"/>
      <c r="M266" s="9"/>
      <c r="N266" s="9"/>
      <c r="O266" s="9"/>
      <c r="P266" s="9"/>
      <c r="Q266" s="9"/>
      <c r="R266" t="s">
        <v>936</v>
      </c>
    </row>
    <row r="267" spans="1:18" ht="29" x14ac:dyDescent="0.35">
      <c r="A267" s="6" t="s">
        <v>294</v>
      </c>
      <c r="B267" s="11" t="s">
        <v>478</v>
      </c>
      <c r="C267" s="6"/>
      <c r="D267" s="6"/>
      <c r="E267" s="9"/>
      <c r="F267" s="9"/>
      <c r="G267" s="9"/>
      <c r="H267" s="223"/>
      <c r="I267" s="224"/>
      <c r="J267" s="224"/>
      <c r="K267" s="223"/>
      <c r="L267" s="9"/>
      <c r="M267" s="9"/>
      <c r="N267" s="9"/>
      <c r="O267" s="9"/>
      <c r="P267" s="9"/>
      <c r="Q267" s="9"/>
      <c r="R267" t="s">
        <v>936</v>
      </c>
    </row>
    <row r="268" spans="1:18" x14ac:dyDescent="0.35">
      <c r="A268" s="6">
        <v>1</v>
      </c>
      <c r="B268" s="11" t="s">
        <v>315</v>
      </c>
      <c r="C268" s="6">
        <v>5.48</v>
      </c>
      <c r="D268" s="6" t="s">
        <v>17</v>
      </c>
      <c r="E268" s="9">
        <v>440</v>
      </c>
      <c r="F268" s="9">
        <v>212</v>
      </c>
      <c r="G268" s="9">
        <f>(Table5[[#This Row],[Supply Rate]]+Table5[[#This Row],[Install Rate]])*Table5[[#This Row],[Qty]]</f>
        <v>3572.9600000000005</v>
      </c>
      <c r="H268" s="223">
        <f>Table5[[#This Row],[Supply Rate]]*80%</f>
        <v>352</v>
      </c>
      <c r="I268" s="224"/>
      <c r="J268" s="224">
        <f>IF(Table5[[#This Row],[Material Qty]]=0,0,Table5[[#This Row],[Material Qty]]-Table5[[#This Row],[Cumulative]])</f>
        <v>0</v>
      </c>
      <c r="K268" s="223">
        <f>Table5[[#This Row],[Material Balance Qty]]*Table5[[#This Row],[Material @ Site Rate]]</f>
        <v>0</v>
      </c>
      <c r="L268" s="9"/>
      <c r="M268" s="9">
        <f>Table5[[#This Row],[Cumulative]]-Table5[[#This Row],[Previous Qty]]</f>
        <v>0</v>
      </c>
      <c r="N268" s="9"/>
      <c r="O268" s="9">
        <f>(Table5[[#This Row],[Supply Rate]]+Table5[[#This Row],[Install Rate]])*Table5[[#This Row],[Previous Qty]]</f>
        <v>0</v>
      </c>
      <c r="P268" s="9">
        <f>Table5[[#This Row],[Cumulative Amount]]-Table5[[#This Row],[Previous Amount]]</f>
        <v>0</v>
      </c>
      <c r="Q268" s="9">
        <f>(Table5[[#This Row],[Supply Rate]]+Table5[[#This Row],[Install Rate]])*Table5[[#This Row],[Cumulative]]</f>
        <v>0</v>
      </c>
      <c r="R268" t="s">
        <v>936</v>
      </c>
    </row>
    <row r="269" spans="1:18" x14ac:dyDescent="0.35">
      <c r="A269" s="6">
        <v>2</v>
      </c>
      <c r="B269" s="11" t="s">
        <v>398</v>
      </c>
      <c r="C269" s="6">
        <v>2.41</v>
      </c>
      <c r="D269" s="6" t="s">
        <v>17</v>
      </c>
      <c r="E269" s="9">
        <v>440</v>
      </c>
      <c r="F269" s="9">
        <v>212</v>
      </c>
      <c r="G269" s="9">
        <f>(Table5[[#This Row],[Supply Rate]]+Table5[[#This Row],[Install Rate]])*Table5[[#This Row],[Qty]]</f>
        <v>1571.3200000000002</v>
      </c>
      <c r="H269" s="223">
        <f>Table5[[#This Row],[Supply Rate]]*80%</f>
        <v>352</v>
      </c>
      <c r="I269" s="224"/>
      <c r="J269" s="224">
        <f>IF(Table5[[#This Row],[Material Qty]]=0,0,Table5[[#This Row],[Material Qty]]-Table5[[#This Row],[Cumulative]])</f>
        <v>0</v>
      </c>
      <c r="K269" s="223">
        <f>Table5[[#This Row],[Material Balance Qty]]*Table5[[#This Row],[Material @ Site Rate]]</f>
        <v>0</v>
      </c>
      <c r="L269" s="9"/>
      <c r="M269" s="9">
        <f>Table5[[#This Row],[Cumulative]]-Table5[[#This Row],[Previous Qty]]</f>
        <v>0</v>
      </c>
      <c r="N269" s="9"/>
      <c r="O269" s="9">
        <f>(Table5[[#This Row],[Supply Rate]]+Table5[[#This Row],[Install Rate]])*Table5[[#This Row],[Previous Qty]]</f>
        <v>0</v>
      </c>
      <c r="P269" s="9">
        <f>Table5[[#This Row],[Cumulative Amount]]-Table5[[#This Row],[Previous Amount]]</f>
        <v>0</v>
      </c>
      <c r="Q269" s="9">
        <f>(Table5[[#This Row],[Supply Rate]]+Table5[[#This Row],[Install Rate]])*Table5[[#This Row],[Cumulative]]</f>
        <v>0</v>
      </c>
      <c r="R269" t="s">
        <v>936</v>
      </c>
    </row>
    <row r="270" spans="1:18" ht="43.5" x14ac:dyDescent="0.35">
      <c r="A270" s="6" t="s">
        <v>297</v>
      </c>
      <c r="B270" s="11" t="s">
        <v>479</v>
      </c>
      <c r="C270" s="6"/>
      <c r="D270" s="6"/>
      <c r="E270" s="9"/>
      <c r="F270" s="9"/>
      <c r="G270" s="9"/>
      <c r="H270" s="223"/>
      <c r="I270" s="224"/>
      <c r="J270" s="224"/>
      <c r="K270" s="223"/>
      <c r="L270" s="9"/>
      <c r="M270" s="9"/>
      <c r="N270" s="9"/>
      <c r="O270" s="9"/>
      <c r="P270" s="9"/>
      <c r="Q270" s="9"/>
      <c r="R270" t="s">
        <v>936</v>
      </c>
    </row>
    <row r="271" spans="1:18" x14ac:dyDescent="0.35">
      <c r="A271" s="6">
        <v>1</v>
      </c>
      <c r="B271" s="11" t="s">
        <v>480</v>
      </c>
      <c r="C271" s="6">
        <v>10.220000000000001</v>
      </c>
      <c r="D271" s="6" t="s">
        <v>10</v>
      </c>
      <c r="E271" s="9">
        <v>80</v>
      </c>
      <c r="F271" s="9">
        <v>25</v>
      </c>
      <c r="G271" s="9">
        <f>(Table5[[#This Row],[Supply Rate]]+Table5[[#This Row],[Install Rate]])*Table5[[#This Row],[Qty]]</f>
        <v>1073.1000000000001</v>
      </c>
      <c r="H271" s="223">
        <f>Table5[[#This Row],[Supply Rate]]*80%</f>
        <v>64</v>
      </c>
      <c r="I271" s="224"/>
      <c r="J271" s="224">
        <f>IF(Table5[[#This Row],[Material Qty]]=0,0,Table5[[#This Row],[Material Qty]]-Table5[[#This Row],[Cumulative]])</f>
        <v>0</v>
      </c>
      <c r="K271" s="223">
        <f>Table5[[#This Row],[Material Balance Qty]]*Table5[[#This Row],[Material @ Site Rate]]</f>
        <v>0</v>
      </c>
      <c r="L271" s="9"/>
      <c r="M271" s="9">
        <f>Table5[[#This Row],[Cumulative]]-Table5[[#This Row],[Previous Qty]]</f>
        <v>0</v>
      </c>
      <c r="N271" s="9"/>
      <c r="O271" s="9">
        <f>(Table5[[#This Row],[Supply Rate]]+Table5[[#This Row],[Install Rate]])*Table5[[#This Row],[Previous Qty]]</f>
        <v>0</v>
      </c>
      <c r="P271" s="9">
        <f>Table5[[#This Row],[Cumulative Amount]]-Table5[[#This Row],[Previous Amount]]</f>
        <v>0</v>
      </c>
      <c r="Q271" s="9">
        <f>(Table5[[#This Row],[Supply Rate]]+Table5[[#This Row],[Install Rate]])*Table5[[#This Row],[Cumulative]]</f>
        <v>0</v>
      </c>
      <c r="R271" t="s">
        <v>936</v>
      </c>
    </row>
    <row r="272" spans="1:18" ht="43.5" x14ac:dyDescent="0.35">
      <c r="A272" s="6" t="s">
        <v>300</v>
      </c>
      <c r="B272" s="11" t="s">
        <v>481</v>
      </c>
      <c r="C272" s="6"/>
      <c r="D272" s="6"/>
      <c r="E272" s="9"/>
      <c r="F272" s="9"/>
      <c r="G272" s="9"/>
      <c r="H272" s="223"/>
      <c r="I272" s="224"/>
      <c r="J272" s="224"/>
      <c r="K272" s="223"/>
      <c r="L272" s="9"/>
      <c r="M272" s="9"/>
      <c r="N272" s="9"/>
      <c r="O272" s="9"/>
      <c r="P272" s="9"/>
      <c r="Q272" s="9"/>
      <c r="R272" t="s">
        <v>936</v>
      </c>
    </row>
    <row r="273" spans="1:18" x14ac:dyDescent="0.35">
      <c r="A273" s="6">
        <v>1</v>
      </c>
      <c r="B273" s="11" t="s">
        <v>482</v>
      </c>
      <c r="C273" s="6">
        <v>6.78</v>
      </c>
      <c r="D273" s="6" t="s">
        <v>10</v>
      </c>
      <c r="E273" s="9">
        <v>60</v>
      </c>
      <c r="F273" s="9">
        <v>30</v>
      </c>
      <c r="G273" s="9">
        <f>(Table5[[#This Row],[Supply Rate]]+Table5[[#This Row],[Install Rate]])*Table5[[#This Row],[Qty]]</f>
        <v>610.20000000000005</v>
      </c>
      <c r="H273" s="223">
        <f>Table5[[#This Row],[Supply Rate]]*80%</f>
        <v>48</v>
      </c>
      <c r="I273" s="224"/>
      <c r="J273" s="224">
        <f>IF(Table5[[#This Row],[Material Qty]]=0,0,Table5[[#This Row],[Material Qty]]-Table5[[#This Row],[Cumulative]])</f>
        <v>0</v>
      </c>
      <c r="K273" s="223">
        <f>Table5[[#This Row],[Material Balance Qty]]*Table5[[#This Row],[Material @ Site Rate]]</f>
        <v>0</v>
      </c>
      <c r="L273" s="9"/>
      <c r="M273" s="9">
        <f>Table5[[#This Row],[Cumulative]]-Table5[[#This Row],[Previous Qty]]</f>
        <v>0</v>
      </c>
      <c r="N273" s="9"/>
      <c r="O273" s="9">
        <f>(Table5[[#This Row],[Supply Rate]]+Table5[[#This Row],[Install Rate]])*Table5[[#This Row],[Previous Qty]]</f>
        <v>0</v>
      </c>
      <c r="P273" s="9">
        <f>Table5[[#This Row],[Cumulative Amount]]-Table5[[#This Row],[Previous Amount]]</f>
        <v>0</v>
      </c>
      <c r="Q273" s="9">
        <f>(Table5[[#This Row],[Supply Rate]]+Table5[[#This Row],[Install Rate]])*Table5[[#This Row],[Cumulative]]</f>
        <v>0</v>
      </c>
      <c r="R273" t="s">
        <v>936</v>
      </c>
    </row>
    <row r="274" spans="1:18" ht="29" x14ac:dyDescent="0.35">
      <c r="A274" s="6" t="s">
        <v>303</v>
      </c>
      <c r="B274" s="11" t="s">
        <v>483</v>
      </c>
      <c r="C274" s="6"/>
      <c r="D274" s="6"/>
      <c r="E274" s="9"/>
      <c r="F274" s="9"/>
      <c r="G274" s="9"/>
      <c r="H274" s="223"/>
      <c r="I274" s="224"/>
      <c r="J274" s="224"/>
      <c r="K274" s="223"/>
      <c r="L274" s="9"/>
      <c r="M274" s="9"/>
      <c r="N274" s="9"/>
      <c r="O274" s="9"/>
      <c r="P274" s="9"/>
      <c r="Q274" s="9"/>
      <c r="R274" t="s">
        <v>936</v>
      </c>
    </row>
    <row r="275" spans="1:18" ht="29" x14ac:dyDescent="0.35">
      <c r="A275" s="6">
        <v>1</v>
      </c>
      <c r="B275" s="11" t="s">
        <v>484</v>
      </c>
      <c r="C275" s="6">
        <v>1</v>
      </c>
      <c r="D275" s="6" t="s">
        <v>364</v>
      </c>
      <c r="E275" s="9">
        <v>4694</v>
      </c>
      <c r="F275" s="9">
        <v>634</v>
      </c>
      <c r="G275" s="9">
        <f>(Table5[[#This Row],[Supply Rate]]+Table5[[#This Row],[Install Rate]])*Table5[[#This Row],[Qty]]</f>
        <v>5328</v>
      </c>
      <c r="H275" s="223">
        <f>Table5[[#This Row],[Supply Rate]]*80%</f>
        <v>3755.2000000000003</v>
      </c>
      <c r="I275" s="224"/>
      <c r="J275" s="224">
        <f>IF(Table5[[#This Row],[Material Qty]]=0,0,Table5[[#This Row],[Material Qty]]-Table5[[#This Row],[Cumulative]])</f>
        <v>0</v>
      </c>
      <c r="K275" s="223">
        <f>Table5[[#This Row],[Material Balance Qty]]*Table5[[#This Row],[Material @ Site Rate]]</f>
        <v>0</v>
      </c>
      <c r="L275" s="9"/>
      <c r="M275" s="9">
        <f>Table5[[#This Row],[Cumulative]]-Table5[[#This Row],[Previous Qty]]</f>
        <v>0</v>
      </c>
      <c r="N275" s="9"/>
      <c r="O275" s="9">
        <f>(Table5[[#This Row],[Supply Rate]]+Table5[[#This Row],[Install Rate]])*Table5[[#This Row],[Previous Qty]]</f>
        <v>0</v>
      </c>
      <c r="P275" s="9">
        <f>Table5[[#This Row],[Cumulative Amount]]-Table5[[#This Row],[Previous Amount]]</f>
        <v>0</v>
      </c>
      <c r="Q275" s="9">
        <f>(Table5[[#This Row],[Supply Rate]]+Table5[[#This Row],[Install Rate]])*Table5[[#This Row],[Cumulative]]</f>
        <v>0</v>
      </c>
      <c r="R275" t="s">
        <v>936</v>
      </c>
    </row>
    <row r="276" spans="1:18" ht="29" x14ac:dyDescent="0.35">
      <c r="A276" s="6">
        <v>2</v>
      </c>
      <c r="B276" s="11" t="s">
        <v>485</v>
      </c>
      <c r="C276" s="6">
        <v>1</v>
      </c>
      <c r="D276" s="6" t="s">
        <v>364</v>
      </c>
      <c r="E276" s="9">
        <v>4694</v>
      </c>
      <c r="F276" s="9">
        <v>634</v>
      </c>
      <c r="G276" s="9">
        <f>(Table5[[#This Row],[Supply Rate]]+Table5[[#This Row],[Install Rate]])*Table5[[#This Row],[Qty]]</f>
        <v>5328</v>
      </c>
      <c r="H276" s="223">
        <f>Table5[[#This Row],[Supply Rate]]*80%</f>
        <v>3755.2000000000003</v>
      </c>
      <c r="I276" s="224"/>
      <c r="J276" s="224">
        <f>IF(Table5[[#This Row],[Material Qty]]=0,0,Table5[[#This Row],[Material Qty]]-Table5[[#This Row],[Cumulative]])</f>
        <v>0</v>
      </c>
      <c r="K276" s="223">
        <f>Table5[[#This Row],[Material Balance Qty]]*Table5[[#This Row],[Material @ Site Rate]]</f>
        <v>0</v>
      </c>
      <c r="L276" s="9"/>
      <c r="M276" s="9">
        <f>Table5[[#This Row],[Cumulative]]-Table5[[#This Row],[Previous Qty]]</f>
        <v>0</v>
      </c>
      <c r="N276" s="9"/>
      <c r="O276" s="9">
        <f>(Table5[[#This Row],[Supply Rate]]+Table5[[#This Row],[Install Rate]])*Table5[[#This Row],[Previous Qty]]</f>
        <v>0</v>
      </c>
      <c r="P276" s="9">
        <f>Table5[[#This Row],[Cumulative Amount]]-Table5[[#This Row],[Previous Amount]]</f>
        <v>0</v>
      </c>
      <c r="Q276" s="9">
        <f>(Table5[[#This Row],[Supply Rate]]+Table5[[#This Row],[Install Rate]])*Table5[[#This Row],[Cumulative]]</f>
        <v>0</v>
      </c>
      <c r="R276" t="s">
        <v>936</v>
      </c>
    </row>
    <row r="277" spans="1:18" ht="29" x14ac:dyDescent="0.35">
      <c r="A277" s="6">
        <v>3</v>
      </c>
      <c r="B277" s="11" t="s">
        <v>486</v>
      </c>
      <c r="C277" s="6">
        <v>1</v>
      </c>
      <c r="D277" s="6" t="s">
        <v>364</v>
      </c>
      <c r="E277" s="9">
        <v>4694</v>
      </c>
      <c r="F277" s="9">
        <v>634</v>
      </c>
      <c r="G277" s="9">
        <f>(Table5[[#This Row],[Supply Rate]]+Table5[[#This Row],[Install Rate]])*Table5[[#This Row],[Qty]]</f>
        <v>5328</v>
      </c>
      <c r="H277" s="223">
        <f>Table5[[#This Row],[Supply Rate]]*80%</f>
        <v>3755.2000000000003</v>
      </c>
      <c r="I277" s="224"/>
      <c r="J277" s="224">
        <f>IF(Table5[[#This Row],[Material Qty]]=0,0,Table5[[#This Row],[Material Qty]]-Table5[[#This Row],[Cumulative]])</f>
        <v>0</v>
      </c>
      <c r="K277" s="223">
        <f>Table5[[#This Row],[Material Balance Qty]]*Table5[[#This Row],[Material @ Site Rate]]</f>
        <v>0</v>
      </c>
      <c r="L277" s="9"/>
      <c r="M277" s="9">
        <f>Table5[[#This Row],[Cumulative]]-Table5[[#This Row],[Previous Qty]]</f>
        <v>0</v>
      </c>
      <c r="N277" s="9"/>
      <c r="O277" s="9">
        <f>(Table5[[#This Row],[Supply Rate]]+Table5[[#This Row],[Install Rate]])*Table5[[#This Row],[Previous Qty]]</f>
        <v>0</v>
      </c>
      <c r="P277" s="9">
        <f>Table5[[#This Row],[Cumulative Amount]]-Table5[[#This Row],[Previous Amount]]</f>
        <v>0</v>
      </c>
      <c r="Q277" s="9">
        <f>(Table5[[#This Row],[Supply Rate]]+Table5[[#This Row],[Install Rate]])*Table5[[#This Row],[Cumulative]]</f>
        <v>0</v>
      </c>
      <c r="R277" t="s">
        <v>936</v>
      </c>
    </row>
    <row r="278" spans="1:18" ht="29" x14ac:dyDescent="0.35">
      <c r="A278" s="6">
        <v>4</v>
      </c>
      <c r="B278" s="11" t="s">
        <v>487</v>
      </c>
      <c r="C278" s="6">
        <v>1</v>
      </c>
      <c r="D278" s="6" t="s">
        <v>364</v>
      </c>
      <c r="E278" s="9">
        <v>3169</v>
      </c>
      <c r="F278" s="9">
        <v>433</v>
      </c>
      <c r="G278" s="9">
        <f>(Table5[[#This Row],[Supply Rate]]+Table5[[#This Row],[Install Rate]])*Table5[[#This Row],[Qty]]</f>
        <v>3602</v>
      </c>
      <c r="H278" s="223">
        <f>Table5[[#This Row],[Supply Rate]]*80%</f>
        <v>2535.2000000000003</v>
      </c>
      <c r="I278" s="224"/>
      <c r="J278" s="224">
        <f>IF(Table5[[#This Row],[Material Qty]]=0,0,Table5[[#This Row],[Material Qty]]-Table5[[#This Row],[Cumulative]])</f>
        <v>0</v>
      </c>
      <c r="K278" s="223">
        <f>Table5[[#This Row],[Material Balance Qty]]*Table5[[#This Row],[Material @ Site Rate]]</f>
        <v>0</v>
      </c>
      <c r="L278" s="9"/>
      <c r="M278" s="9">
        <f>Table5[[#This Row],[Cumulative]]-Table5[[#This Row],[Previous Qty]]</f>
        <v>0</v>
      </c>
      <c r="N278" s="9"/>
      <c r="O278" s="9">
        <f>(Table5[[#This Row],[Supply Rate]]+Table5[[#This Row],[Install Rate]])*Table5[[#This Row],[Previous Qty]]</f>
        <v>0</v>
      </c>
      <c r="P278" s="9">
        <f>Table5[[#This Row],[Cumulative Amount]]-Table5[[#This Row],[Previous Amount]]</f>
        <v>0</v>
      </c>
      <c r="Q278" s="9">
        <f>(Table5[[#This Row],[Supply Rate]]+Table5[[#This Row],[Install Rate]])*Table5[[#This Row],[Cumulative]]</f>
        <v>0</v>
      </c>
      <c r="R278" t="s">
        <v>936</v>
      </c>
    </row>
    <row r="279" spans="1:18" x14ac:dyDescent="0.35">
      <c r="A279" s="6"/>
      <c r="B279" s="7" t="s">
        <v>488</v>
      </c>
      <c r="C279" s="6"/>
      <c r="D279" s="6"/>
      <c r="E279" s="9"/>
      <c r="F279" s="9"/>
      <c r="G279" s="9"/>
      <c r="H279" s="223"/>
      <c r="I279" s="224"/>
      <c r="J279" s="224"/>
      <c r="K279" s="223"/>
      <c r="L279" s="9"/>
      <c r="M279" s="9"/>
      <c r="N279" s="9"/>
      <c r="O279" s="9"/>
      <c r="P279" s="9"/>
      <c r="Q279" s="9"/>
      <c r="R279" t="s">
        <v>936</v>
      </c>
    </row>
    <row r="280" spans="1:18" ht="43.5" x14ac:dyDescent="0.35">
      <c r="A280" s="6" t="s">
        <v>292</v>
      </c>
      <c r="B280" s="11" t="s">
        <v>489</v>
      </c>
      <c r="C280" s="6"/>
      <c r="D280" s="6"/>
      <c r="E280" s="9"/>
      <c r="F280" s="9"/>
      <c r="G280" s="9"/>
      <c r="H280" s="223"/>
      <c r="I280" s="224"/>
      <c r="J280" s="224"/>
      <c r="K280" s="223"/>
      <c r="L280" s="9"/>
      <c r="M280" s="9"/>
      <c r="N280" s="9"/>
      <c r="O280" s="9"/>
      <c r="P280" s="9"/>
      <c r="Q280" s="9"/>
      <c r="R280" t="s">
        <v>936</v>
      </c>
    </row>
    <row r="281" spans="1:18" x14ac:dyDescent="0.35">
      <c r="A281" s="6">
        <v>1</v>
      </c>
      <c r="B281" s="11" t="s">
        <v>490</v>
      </c>
      <c r="C281" s="6">
        <v>2.34</v>
      </c>
      <c r="D281" s="6" t="s">
        <v>17</v>
      </c>
      <c r="E281" s="9">
        <v>916</v>
      </c>
      <c r="F281" s="9">
        <v>237</v>
      </c>
      <c r="G281" s="9">
        <f>(Table5[[#This Row],[Supply Rate]]+Table5[[#This Row],[Install Rate]])*Table5[[#This Row],[Qty]]</f>
        <v>2698.02</v>
      </c>
      <c r="H281" s="223">
        <f>Table5[[#This Row],[Supply Rate]]*80%</f>
        <v>732.80000000000007</v>
      </c>
      <c r="I281" s="224"/>
      <c r="J281" s="224">
        <f>IF(Table5[[#This Row],[Material Qty]]=0,0,Table5[[#This Row],[Material Qty]]-Table5[[#This Row],[Cumulative]])</f>
        <v>0</v>
      </c>
      <c r="K281" s="223">
        <f>Table5[[#This Row],[Material Balance Qty]]*Table5[[#This Row],[Material @ Site Rate]]</f>
        <v>0</v>
      </c>
      <c r="L281" s="9"/>
      <c r="M281" s="9">
        <f>Table5[[#This Row],[Cumulative]]-Table5[[#This Row],[Previous Qty]]</f>
        <v>0</v>
      </c>
      <c r="N281" s="9"/>
      <c r="O281" s="9">
        <f>(Table5[[#This Row],[Supply Rate]]+Table5[[#This Row],[Install Rate]])*Table5[[#This Row],[Previous Qty]]</f>
        <v>0</v>
      </c>
      <c r="P281" s="9">
        <f>Table5[[#This Row],[Cumulative Amount]]-Table5[[#This Row],[Previous Amount]]</f>
        <v>0</v>
      </c>
      <c r="Q281" s="9">
        <f>(Table5[[#This Row],[Supply Rate]]+Table5[[#This Row],[Install Rate]])*Table5[[#This Row],[Cumulative]]</f>
        <v>0</v>
      </c>
      <c r="R281" t="s">
        <v>936</v>
      </c>
    </row>
    <row r="282" spans="1:18" x14ac:dyDescent="0.35">
      <c r="A282" s="6" t="s">
        <v>294</v>
      </c>
      <c r="B282" s="11" t="s">
        <v>491</v>
      </c>
      <c r="C282" s="6"/>
      <c r="D282" s="6"/>
      <c r="E282" s="9"/>
      <c r="F282" s="9"/>
      <c r="G282" s="9"/>
      <c r="H282" s="223"/>
      <c r="I282" s="224"/>
      <c r="J282" s="224"/>
      <c r="K282" s="223"/>
      <c r="L282" s="9"/>
      <c r="M282" s="9"/>
      <c r="N282" s="9"/>
      <c r="O282" s="9"/>
      <c r="P282" s="9"/>
      <c r="Q282" s="9"/>
      <c r="R282" t="s">
        <v>936</v>
      </c>
    </row>
    <row r="283" spans="1:18" x14ac:dyDescent="0.35">
      <c r="A283" s="6">
        <v>1</v>
      </c>
      <c r="B283" s="11" t="s">
        <v>492</v>
      </c>
      <c r="C283" s="6">
        <v>5.16</v>
      </c>
      <c r="D283" s="6" t="s">
        <v>10</v>
      </c>
      <c r="E283" s="9">
        <v>80</v>
      </c>
      <c r="F283" s="9">
        <v>34</v>
      </c>
      <c r="G283" s="9">
        <f>(Table5[[#This Row],[Supply Rate]]+Table5[[#This Row],[Install Rate]])*Table5[[#This Row],[Qty]]</f>
        <v>588.24</v>
      </c>
      <c r="H283" s="223">
        <f>Table5[[#This Row],[Supply Rate]]*80%</f>
        <v>64</v>
      </c>
      <c r="I283" s="224"/>
      <c r="J283" s="224">
        <f>IF(Table5[[#This Row],[Material Qty]]=0,0,Table5[[#This Row],[Material Qty]]-Table5[[#This Row],[Cumulative]])</f>
        <v>0</v>
      </c>
      <c r="K283" s="223">
        <f>Table5[[#This Row],[Material Balance Qty]]*Table5[[#This Row],[Material @ Site Rate]]</f>
        <v>0</v>
      </c>
      <c r="L283" s="9"/>
      <c r="M283" s="9">
        <f>Table5[[#This Row],[Cumulative]]-Table5[[#This Row],[Previous Qty]]</f>
        <v>0</v>
      </c>
      <c r="N283" s="9"/>
      <c r="O283" s="9">
        <f>(Table5[[#This Row],[Supply Rate]]+Table5[[#This Row],[Install Rate]])*Table5[[#This Row],[Previous Qty]]</f>
        <v>0</v>
      </c>
      <c r="P283" s="9">
        <f>Table5[[#This Row],[Cumulative Amount]]-Table5[[#This Row],[Previous Amount]]</f>
        <v>0</v>
      </c>
      <c r="Q283" s="9">
        <f>(Table5[[#This Row],[Supply Rate]]+Table5[[#This Row],[Install Rate]])*Table5[[#This Row],[Cumulative]]</f>
        <v>0</v>
      </c>
      <c r="R283" t="s">
        <v>936</v>
      </c>
    </row>
    <row r="284" spans="1:18" x14ac:dyDescent="0.35">
      <c r="A284" s="6">
        <v>2</v>
      </c>
      <c r="B284" s="11" t="s">
        <v>493</v>
      </c>
      <c r="C284" s="6">
        <v>8.85</v>
      </c>
      <c r="D284" s="6" t="s">
        <v>10</v>
      </c>
      <c r="E284" s="9">
        <v>80</v>
      </c>
      <c r="F284" s="9">
        <v>34</v>
      </c>
      <c r="G284" s="9">
        <f>(Table5[[#This Row],[Supply Rate]]+Table5[[#This Row],[Install Rate]])*Table5[[#This Row],[Qty]]</f>
        <v>1008.9</v>
      </c>
      <c r="H284" s="223">
        <f>Table5[[#This Row],[Supply Rate]]*80%</f>
        <v>64</v>
      </c>
      <c r="I284" s="224"/>
      <c r="J284" s="224">
        <f>IF(Table5[[#This Row],[Material Qty]]=0,0,Table5[[#This Row],[Material Qty]]-Table5[[#This Row],[Cumulative]])</f>
        <v>0</v>
      </c>
      <c r="K284" s="223">
        <f>Table5[[#This Row],[Material Balance Qty]]*Table5[[#This Row],[Material @ Site Rate]]</f>
        <v>0</v>
      </c>
      <c r="L284" s="9"/>
      <c r="M284" s="9">
        <f>Table5[[#This Row],[Cumulative]]-Table5[[#This Row],[Previous Qty]]</f>
        <v>0</v>
      </c>
      <c r="N284" s="9"/>
      <c r="O284" s="9">
        <f>(Table5[[#This Row],[Supply Rate]]+Table5[[#This Row],[Install Rate]])*Table5[[#This Row],[Previous Qty]]</f>
        <v>0</v>
      </c>
      <c r="P284" s="9">
        <f>Table5[[#This Row],[Cumulative Amount]]-Table5[[#This Row],[Previous Amount]]</f>
        <v>0</v>
      </c>
      <c r="Q284" s="9">
        <f>(Table5[[#This Row],[Supply Rate]]+Table5[[#This Row],[Install Rate]])*Table5[[#This Row],[Cumulative]]</f>
        <v>0</v>
      </c>
      <c r="R284" t="s">
        <v>936</v>
      </c>
    </row>
    <row r="285" spans="1:18" ht="29" x14ac:dyDescent="0.35">
      <c r="A285" s="6" t="s">
        <v>297</v>
      </c>
      <c r="B285" s="11" t="s">
        <v>483</v>
      </c>
      <c r="C285" s="6"/>
      <c r="D285" s="6"/>
      <c r="E285" s="9"/>
      <c r="F285" s="9"/>
      <c r="G285" s="9"/>
      <c r="H285" s="223"/>
      <c r="I285" s="224"/>
      <c r="J285" s="224"/>
      <c r="K285" s="223"/>
      <c r="L285" s="9"/>
      <c r="M285" s="9"/>
      <c r="N285" s="9"/>
      <c r="O285" s="9"/>
      <c r="P285" s="9"/>
      <c r="Q285" s="9"/>
      <c r="R285" t="s">
        <v>936</v>
      </c>
    </row>
    <row r="286" spans="1:18" ht="29" x14ac:dyDescent="0.35">
      <c r="A286" s="6">
        <v>1</v>
      </c>
      <c r="B286" s="11" t="s">
        <v>494</v>
      </c>
      <c r="C286" s="6">
        <v>2</v>
      </c>
      <c r="D286" s="6" t="s">
        <v>364</v>
      </c>
      <c r="E286" s="9">
        <v>4694</v>
      </c>
      <c r="F286" s="9">
        <v>634</v>
      </c>
      <c r="G286" s="9">
        <f>(Table5[[#This Row],[Supply Rate]]+Table5[[#This Row],[Install Rate]])*Table5[[#This Row],[Qty]]</f>
        <v>10656</v>
      </c>
      <c r="H286" s="223">
        <f>Table5[[#This Row],[Supply Rate]]*80%</f>
        <v>3755.2000000000003</v>
      </c>
      <c r="I286" s="224"/>
      <c r="J286" s="224">
        <f>IF(Table5[[#This Row],[Material Qty]]=0,0,Table5[[#This Row],[Material Qty]]-Table5[[#This Row],[Cumulative]])</f>
        <v>0</v>
      </c>
      <c r="K286" s="223">
        <f>Table5[[#This Row],[Material Balance Qty]]*Table5[[#This Row],[Material @ Site Rate]]</f>
        <v>0</v>
      </c>
      <c r="L286" s="9"/>
      <c r="M286" s="9">
        <f>Table5[[#This Row],[Cumulative]]-Table5[[#This Row],[Previous Qty]]</f>
        <v>0</v>
      </c>
      <c r="N286" s="9"/>
      <c r="O286" s="9">
        <f>(Table5[[#This Row],[Supply Rate]]+Table5[[#This Row],[Install Rate]])*Table5[[#This Row],[Previous Qty]]</f>
        <v>0</v>
      </c>
      <c r="P286" s="9">
        <f>Table5[[#This Row],[Cumulative Amount]]-Table5[[#This Row],[Previous Amount]]</f>
        <v>0</v>
      </c>
      <c r="Q286" s="9">
        <f>(Table5[[#This Row],[Supply Rate]]+Table5[[#This Row],[Install Rate]])*Table5[[#This Row],[Cumulative]]</f>
        <v>0</v>
      </c>
      <c r="R286" t="s">
        <v>936</v>
      </c>
    </row>
    <row r="287" spans="1:18" ht="29" x14ac:dyDescent="0.35">
      <c r="A287" s="6">
        <v>2</v>
      </c>
      <c r="B287" s="11" t="s">
        <v>495</v>
      </c>
      <c r="C287" s="6">
        <v>1</v>
      </c>
      <c r="D287" s="6" t="s">
        <v>364</v>
      </c>
      <c r="E287" s="9">
        <v>4694</v>
      </c>
      <c r="F287" s="9">
        <v>634</v>
      </c>
      <c r="G287" s="9">
        <f>(Table5[[#This Row],[Supply Rate]]+Table5[[#This Row],[Install Rate]])*Table5[[#This Row],[Qty]]</f>
        <v>5328</v>
      </c>
      <c r="H287" s="223">
        <f>Table5[[#This Row],[Supply Rate]]*80%</f>
        <v>3755.2000000000003</v>
      </c>
      <c r="I287" s="224"/>
      <c r="J287" s="224">
        <f>IF(Table5[[#This Row],[Material Qty]]=0,0,Table5[[#This Row],[Material Qty]]-Table5[[#This Row],[Cumulative]])</f>
        <v>0</v>
      </c>
      <c r="K287" s="223">
        <f>Table5[[#This Row],[Material Balance Qty]]*Table5[[#This Row],[Material @ Site Rate]]</f>
        <v>0</v>
      </c>
      <c r="L287" s="9"/>
      <c r="M287" s="9">
        <f>Table5[[#This Row],[Cumulative]]-Table5[[#This Row],[Previous Qty]]</f>
        <v>0</v>
      </c>
      <c r="N287" s="9"/>
      <c r="O287" s="9">
        <f>(Table5[[#This Row],[Supply Rate]]+Table5[[#This Row],[Install Rate]])*Table5[[#This Row],[Previous Qty]]</f>
        <v>0</v>
      </c>
      <c r="P287" s="9">
        <f>Table5[[#This Row],[Cumulative Amount]]-Table5[[#This Row],[Previous Amount]]</f>
        <v>0</v>
      </c>
      <c r="Q287" s="9">
        <f>(Table5[[#This Row],[Supply Rate]]+Table5[[#This Row],[Install Rate]])*Table5[[#This Row],[Cumulative]]</f>
        <v>0</v>
      </c>
      <c r="R287" t="s">
        <v>936</v>
      </c>
    </row>
    <row r="288" spans="1:18" ht="29" x14ac:dyDescent="0.35">
      <c r="A288" s="6">
        <v>3</v>
      </c>
      <c r="B288" s="11" t="s">
        <v>496</v>
      </c>
      <c r="C288" s="6">
        <v>1</v>
      </c>
      <c r="D288" s="6" t="s">
        <v>364</v>
      </c>
      <c r="E288" s="9">
        <v>4694</v>
      </c>
      <c r="F288" s="9">
        <v>634</v>
      </c>
      <c r="G288" s="9">
        <f>(Table5[[#This Row],[Supply Rate]]+Table5[[#This Row],[Install Rate]])*Table5[[#This Row],[Qty]]</f>
        <v>5328</v>
      </c>
      <c r="H288" s="223">
        <f>Table5[[#This Row],[Supply Rate]]*80%</f>
        <v>3755.2000000000003</v>
      </c>
      <c r="I288" s="224"/>
      <c r="J288" s="224">
        <f>IF(Table5[[#This Row],[Material Qty]]=0,0,Table5[[#This Row],[Material Qty]]-Table5[[#This Row],[Cumulative]])</f>
        <v>0</v>
      </c>
      <c r="K288" s="223">
        <f>Table5[[#This Row],[Material Balance Qty]]*Table5[[#This Row],[Material @ Site Rate]]</f>
        <v>0</v>
      </c>
      <c r="L288" s="9"/>
      <c r="M288" s="9">
        <f>Table5[[#This Row],[Cumulative]]-Table5[[#This Row],[Previous Qty]]</f>
        <v>0</v>
      </c>
      <c r="N288" s="9"/>
      <c r="O288" s="9">
        <f>(Table5[[#This Row],[Supply Rate]]+Table5[[#This Row],[Install Rate]])*Table5[[#This Row],[Previous Qty]]</f>
        <v>0</v>
      </c>
      <c r="P288" s="9">
        <f>Table5[[#This Row],[Cumulative Amount]]-Table5[[#This Row],[Previous Amount]]</f>
        <v>0</v>
      </c>
      <c r="Q288" s="9">
        <f>(Table5[[#This Row],[Supply Rate]]+Table5[[#This Row],[Install Rate]])*Table5[[#This Row],[Cumulative]]</f>
        <v>0</v>
      </c>
      <c r="R288" t="s">
        <v>936</v>
      </c>
    </row>
    <row r="289" spans="1:18" ht="29" x14ac:dyDescent="0.35">
      <c r="A289" s="6">
        <v>4</v>
      </c>
      <c r="B289" s="11" t="s">
        <v>497</v>
      </c>
      <c r="C289" s="6">
        <v>1</v>
      </c>
      <c r="D289" s="6" t="s">
        <v>364</v>
      </c>
      <c r="E289" s="9">
        <v>4907</v>
      </c>
      <c r="F289" s="9">
        <v>739</v>
      </c>
      <c r="G289" s="9">
        <f>(Table5[[#This Row],[Supply Rate]]+Table5[[#This Row],[Install Rate]])*Table5[[#This Row],[Qty]]</f>
        <v>5646</v>
      </c>
      <c r="H289" s="223">
        <f>Table5[[#This Row],[Supply Rate]]*80%</f>
        <v>3925.6000000000004</v>
      </c>
      <c r="I289" s="224"/>
      <c r="J289" s="224">
        <f>IF(Table5[[#This Row],[Material Qty]]=0,0,Table5[[#This Row],[Material Qty]]-Table5[[#This Row],[Cumulative]])</f>
        <v>0</v>
      </c>
      <c r="K289" s="223">
        <f>Table5[[#This Row],[Material Balance Qty]]*Table5[[#This Row],[Material @ Site Rate]]</f>
        <v>0</v>
      </c>
      <c r="L289" s="9"/>
      <c r="M289" s="9">
        <f>Table5[[#This Row],[Cumulative]]-Table5[[#This Row],[Previous Qty]]</f>
        <v>0</v>
      </c>
      <c r="N289" s="9"/>
      <c r="O289" s="9">
        <f>(Table5[[#This Row],[Supply Rate]]+Table5[[#This Row],[Install Rate]])*Table5[[#This Row],[Previous Qty]]</f>
        <v>0</v>
      </c>
      <c r="P289" s="9">
        <f>Table5[[#This Row],[Cumulative Amount]]-Table5[[#This Row],[Previous Amount]]</f>
        <v>0</v>
      </c>
      <c r="Q289" s="9">
        <f>(Table5[[#This Row],[Supply Rate]]+Table5[[#This Row],[Install Rate]])*Table5[[#This Row],[Cumulative]]</f>
        <v>0</v>
      </c>
      <c r="R289" t="s">
        <v>936</v>
      </c>
    </row>
    <row r="290" spans="1:18" x14ac:dyDescent="0.35">
      <c r="A290" s="6"/>
      <c r="B290" s="7" t="s">
        <v>498</v>
      </c>
      <c r="C290" s="6"/>
      <c r="D290" s="6"/>
      <c r="E290" s="9"/>
      <c r="F290" s="9"/>
      <c r="G290" s="9"/>
      <c r="H290" s="223"/>
      <c r="I290" s="224"/>
      <c r="J290" s="224"/>
      <c r="K290" s="223"/>
      <c r="L290" s="9"/>
      <c r="M290" s="9"/>
      <c r="N290" s="9"/>
      <c r="O290" s="9"/>
      <c r="P290" s="9"/>
      <c r="Q290" s="9"/>
      <c r="R290" t="s">
        <v>936</v>
      </c>
    </row>
    <row r="291" spans="1:18" ht="29" x14ac:dyDescent="0.35">
      <c r="A291" s="6">
        <v>1</v>
      </c>
      <c r="B291" s="11" t="s">
        <v>391</v>
      </c>
      <c r="C291" s="6"/>
      <c r="D291" s="6" t="s">
        <v>392</v>
      </c>
      <c r="E291" s="9"/>
      <c r="F291" s="9"/>
      <c r="G291" s="9">
        <v>82621.8</v>
      </c>
      <c r="H291" s="223">
        <f>Table5[[#This Row],[Supply Rate]]*80%</f>
        <v>0</v>
      </c>
      <c r="I291" s="224"/>
      <c r="J291" s="224">
        <f>IF(Table5[[#This Row],[Material Qty]]=0,0,Table5[[#This Row],[Material Qty]]-Table5[[#This Row],[Cumulative]])</f>
        <v>0</v>
      </c>
      <c r="K291" s="223">
        <f>Table5[[#This Row],[Material Balance Qty]]*Table5[[#This Row],[Material @ Site Rate]]</f>
        <v>0</v>
      </c>
      <c r="L291" s="9"/>
      <c r="M291" s="9">
        <f>Table5[[#This Row],[Cumulative]]-Table5[[#This Row],[Previous Qty]]</f>
        <v>0</v>
      </c>
      <c r="N291" s="9"/>
      <c r="O291" s="9">
        <f>(Table5[[#This Row],[Supply Rate]]+Table5[[#This Row],[Install Rate]])*Table5[[#This Row],[Previous Qty]]</f>
        <v>0</v>
      </c>
      <c r="P291" s="9">
        <f>Table5[[#This Row],[Cumulative Amount]]-Table5[[#This Row],[Previous Amount]]</f>
        <v>0</v>
      </c>
      <c r="Q291" s="9">
        <f>(Table5[[#This Row],[Supply Rate]]+Table5[[#This Row],[Install Rate]])*Table5[[#This Row],[Cumulative]]</f>
        <v>0</v>
      </c>
      <c r="R291" t="s">
        <v>936</v>
      </c>
    </row>
    <row r="292" spans="1:18" s="198" customFormat="1" x14ac:dyDescent="0.35">
      <c r="A292" s="201" t="s">
        <v>499</v>
      </c>
      <c r="B292" s="202"/>
      <c r="C292" s="203"/>
      <c r="D292" s="203"/>
      <c r="E292" s="204"/>
      <c r="F292" s="204"/>
      <c r="G292" s="204"/>
      <c r="H292" s="223"/>
      <c r="I292" s="224"/>
      <c r="J292" s="224"/>
      <c r="K292" s="223"/>
      <c r="L292" s="204"/>
      <c r="M292" s="204"/>
      <c r="N292" s="204"/>
      <c r="O292" s="204"/>
      <c r="P292" s="204"/>
      <c r="Q292" s="204"/>
      <c r="R292" t="s">
        <v>936</v>
      </c>
    </row>
    <row r="293" spans="1:18" x14ac:dyDescent="0.35">
      <c r="A293" s="6"/>
      <c r="B293" s="7" t="s">
        <v>500</v>
      </c>
      <c r="C293" s="6"/>
      <c r="D293" s="6"/>
      <c r="E293" s="9"/>
      <c r="F293" s="9"/>
      <c r="G293" s="9"/>
      <c r="H293" s="223"/>
      <c r="I293" s="224"/>
      <c r="J293" s="224"/>
      <c r="K293" s="223"/>
      <c r="L293" s="9"/>
      <c r="M293" s="9"/>
      <c r="N293" s="9"/>
      <c r="O293" s="9"/>
      <c r="P293" s="9"/>
      <c r="Q293" s="9"/>
      <c r="R293" t="s">
        <v>936</v>
      </c>
    </row>
    <row r="294" spans="1:18" x14ac:dyDescent="0.35">
      <c r="A294" s="6"/>
      <c r="B294" s="11" t="s">
        <v>501</v>
      </c>
      <c r="C294" s="6"/>
      <c r="D294" s="6"/>
      <c r="E294" s="9"/>
      <c r="F294" s="9"/>
      <c r="G294" s="9"/>
      <c r="H294" s="223"/>
      <c r="I294" s="224"/>
      <c r="J294" s="224"/>
      <c r="K294" s="223"/>
      <c r="L294" s="9"/>
      <c r="M294" s="9"/>
      <c r="N294" s="9"/>
      <c r="O294" s="9"/>
      <c r="P294" s="9"/>
      <c r="Q294" s="9"/>
      <c r="R294" t="s">
        <v>936</v>
      </c>
    </row>
    <row r="295" spans="1:18" ht="29" x14ac:dyDescent="0.35">
      <c r="A295" s="6" t="s">
        <v>294</v>
      </c>
      <c r="B295" s="11" t="s">
        <v>502</v>
      </c>
      <c r="C295" s="6">
        <v>33</v>
      </c>
      <c r="D295" s="6" t="s">
        <v>10</v>
      </c>
      <c r="E295" s="9">
        <v>241</v>
      </c>
      <c r="F295" s="9">
        <v>35</v>
      </c>
      <c r="G295" s="9">
        <f>(Table5[[#This Row],[Supply Rate]]+Table5[[#This Row],[Install Rate]])*Table5[[#This Row],[Qty]]</f>
        <v>9108</v>
      </c>
      <c r="H295" s="223">
        <f>Table5[[#This Row],[Supply Rate]]*80%</f>
        <v>192.8</v>
      </c>
      <c r="I295" s="224"/>
      <c r="J295" s="224">
        <f>IF(Table5[[#This Row],[Material Qty]]=0,0,Table5[[#This Row],[Material Qty]]-Table5[[#This Row],[Cumulative]])</f>
        <v>0</v>
      </c>
      <c r="K295" s="223">
        <f>Table5[[#This Row],[Material Balance Qty]]*Table5[[#This Row],[Material @ Site Rate]]</f>
        <v>0</v>
      </c>
      <c r="L295" s="9"/>
      <c r="M295" s="9">
        <f>Table5[[#This Row],[Cumulative]]-Table5[[#This Row],[Previous Qty]]</f>
        <v>0</v>
      </c>
      <c r="N295" s="9"/>
      <c r="O295" s="9">
        <f>(Table5[[#This Row],[Supply Rate]]+Table5[[#This Row],[Install Rate]])*Table5[[#This Row],[Previous Qty]]</f>
        <v>0</v>
      </c>
      <c r="P295" s="9">
        <f>Table5[[#This Row],[Cumulative Amount]]-Table5[[#This Row],[Previous Amount]]</f>
        <v>0</v>
      </c>
      <c r="Q295" s="9">
        <f>(Table5[[#This Row],[Supply Rate]]+Table5[[#This Row],[Install Rate]])*Table5[[#This Row],[Cumulative]]</f>
        <v>0</v>
      </c>
      <c r="R295" t="s">
        <v>936</v>
      </c>
    </row>
    <row r="296" spans="1:18" ht="29" x14ac:dyDescent="0.35">
      <c r="A296" s="6" t="s">
        <v>297</v>
      </c>
      <c r="B296" s="11" t="s">
        <v>503</v>
      </c>
      <c r="C296" s="6">
        <v>8.31</v>
      </c>
      <c r="D296" s="6" t="s">
        <v>10</v>
      </c>
      <c r="E296" s="9">
        <v>241</v>
      </c>
      <c r="F296" s="9">
        <v>35</v>
      </c>
      <c r="G296" s="9">
        <f>(Table5[[#This Row],[Supply Rate]]+Table5[[#This Row],[Install Rate]])*Table5[[#This Row],[Qty]]</f>
        <v>2293.56</v>
      </c>
      <c r="H296" s="223">
        <f>Table5[[#This Row],[Supply Rate]]*80%</f>
        <v>192.8</v>
      </c>
      <c r="I296" s="224"/>
      <c r="J296" s="224">
        <f>IF(Table5[[#This Row],[Material Qty]]=0,0,Table5[[#This Row],[Material Qty]]-Table5[[#This Row],[Cumulative]])</f>
        <v>0</v>
      </c>
      <c r="K296" s="223">
        <f>Table5[[#This Row],[Material Balance Qty]]*Table5[[#This Row],[Material @ Site Rate]]</f>
        <v>0</v>
      </c>
      <c r="L296" s="9"/>
      <c r="M296" s="9">
        <f>Table5[[#This Row],[Cumulative]]-Table5[[#This Row],[Previous Qty]]</f>
        <v>0</v>
      </c>
      <c r="N296" s="9"/>
      <c r="O296" s="9">
        <f>(Table5[[#This Row],[Supply Rate]]+Table5[[#This Row],[Install Rate]])*Table5[[#This Row],[Previous Qty]]</f>
        <v>0</v>
      </c>
      <c r="P296" s="9">
        <f>Table5[[#This Row],[Cumulative Amount]]-Table5[[#This Row],[Previous Amount]]</f>
        <v>0</v>
      </c>
      <c r="Q296" s="9">
        <f>(Table5[[#This Row],[Supply Rate]]+Table5[[#This Row],[Install Rate]])*Table5[[#This Row],[Cumulative]]</f>
        <v>0</v>
      </c>
      <c r="R296" t="s">
        <v>936</v>
      </c>
    </row>
    <row r="297" spans="1:18" x14ac:dyDescent="0.35">
      <c r="A297" s="6"/>
      <c r="B297" s="11" t="s">
        <v>504</v>
      </c>
      <c r="C297" s="6"/>
      <c r="D297" s="6"/>
      <c r="E297" s="9"/>
      <c r="F297" s="9"/>
      <c r="G297" s="9"/>
      <c r="H297" s="223"/>
      <c r="I297" s="224"/>
      <c r="J297" s="224"/>
      <c r="K297" s="223"/>
      <c r="L297" s="9"/>
      <c r="M297" s="9"/>
      <c r="N297" s="9"/>
      <c r="O297" s="9"/>
      <c r="P297" s="9"/>
      <c r="Q297" s="9"/>
      <c r="R297" t="s">
        <v>936</v>
      </c>
    </row>
    <row r="298" spans="1:18" x14ac:dyDescent="0.35">
      <c r="A298" s="6"/>
      <c r="B298" s="7" t="s">
        <v>505</v>
      </c>
      <c r="C298" s="6"/>
      <c r="D298" s="6"/>
      <c r="E298" s="9"/>
      <c r="F298" s="9"/>
      <c r="G298" s="9"/>
      <c r="H298" s="223"/>
      <c r="I298" s="224"/>
      <c r="J298" s="224"/>
      <c r="K298" s="223"/>
      <c r="L298" s="9"/>
      <c r="M298" s="9"/>
      <c r="N298" s="9"/>
      <c r="O298" s="9"/>
      <c r="P298" s="9"/>
      <c r="Q298" s="9"/>
      <c r="R298" t="s">
        <v>936</v>
      </c>
    </row>
    <row r="299" spans="1:18" ht="145" x14ac:dyDescent="0.35">
      <c r="A299" s="6"/>
      <c r="B299" s="11" t="s">
        <v>506</v>
      </c>
      <c r="C299" s="6"/>
      <c r="D299" s="6"/>
      <c r="E299" s="9"/>
      <c r="F299" s="9"/>
      <c r="G299" s="9"/>
      <c r="H299" s="223"/>
      <c r="I299" s="224"/>
      <c r="J299" s="224"/>
      <c r="K299" s="223"/>
      <c r="L299" s="9"/>
      <c r="M299" s="9"/>
      <c r="N299" s="9"/>
      <c r="O299" s="9"/>
      <c r="P299" s="9"/>
      <c r="Q299" s="9"/>
      <c r="R299" t="s">
        <v>936</v>
      </c>
    </row>
    <row r="300" spans="1:18" ht="29" x14ac:dyDescent="0.35">
      <c r="A300" s="6" t="s">
        <v>292</v>
      </c>
      <c r="B300" s="11" t="s">
        <v>507</v>
      </c>
      <c r="C300" s="6">
        <v>1.5</v>
      </c>
      <c r="D300" s="6" t="s">
        <v>10</v>
      </c>
      <c r="E300" s="9">
        <v>215</v>
      </c>
      <c r="F300" s="9">
        <v>45</v>
      </c>
      <c r="G300" s="9">
        <f>(Table5[[#This Row],[Supply Rate]]+Table5[[#This Row],[Install Rate]])*Table5[[#This Row],[Qty]]</f>
        <v>390</v>
      </c>
      <c r="H300" s="223">
        <f>Table5[[#This Row],[Supply Rate]]*80%</f>
        <v>172</v>
      </c>
      <c r="I300" s="224"/>
      <c r="J300" s="224">
        <f>IF(Table5[[#This Row],[Material Qty]]=0,0,Table5[[#This Row],[Material Qty]]-Table5[[#This Row],[Cumulative]])</f>
        <v>0</v>
      </c>
      <c r="K300" s="223">
        <f>Table5[[#This Row],[Material Balance Qty]]*Table5[[#This Row],[Material @ Site Rate]]</f>
        <v>0</v>
      </c>
      <c r="L300" s="9"/>
      <c r="M300" s="9">
        <f>Table5[[#This Row],[Cumulative]]-Table5[[#This Row],[Previous Qty]]</f>
        <v>0</v>
      </c>
      <c r="N300" s="9"/>
      <c r="O300" s="9">
        <f>(Table5[[#This Row],[Supply Rate]]+Table5[[#This Row],[Install Rate]])*Table5[[#This Row],[Previous Qty]]</f>
        <v>0</v>
      </c>
      <c r="P300" s="9">
        <f>Table5[[#This Row],[Cumulative Amount]]-Table5[[#This Row],[Previous Amount]]</f>
        <v>0</v>
      </c>
      <c r="Q300" s="9">
        <f>(Table5[[#This Row],[Supply Rate]]+Table5[[#This Row],[Install Rate]])*Table5[[#This Row],[Cumulative]]</f>
        <v>0</v>
      </c>
      <c r="R300" t="s">
        <v>936</v>
      </c>
    </row>
    <row r="301" spans="1:18" ht="58" x14ac:dyDescent="0.35">
      <c r="A301" s="6" t="s">
        <v>294</v>
      </c>
      <c r="B301" s="11" t="s">
        <v>508</v>
      </c>
      <c r="C301" s="6">
        <v>1</v>
      </c>
      <c r="D301" s="6" t="s">
        <v>0</v>
      </c>
      <c r="E301" s="9">
        <v>2582</v>
      </c>
      <c r="F301" s="9">
        <v>443</v>
      </c>
      <c r="G301" s="9">
        <f>(Table5[[#This Row],[Supply Rate]]+Table5[[#This Row],[Install Rate]])*Table5[[#This Row],[Qty]]</f>
        <v>3025</v>
      </c>
      <c r="H301" s="223">
        <f>Table5[[#This Row],[Supply Rate]]*80%</f>
        <v>2065.6</v>
      </c>
      <c r="I301" s="224"/>
      <c r="J301" s="224">
        <f>IF(Table5[[#This Row],[Material Qty]]=0,0,Table5[[#This Row],[Material Qty]]-Table5[[#This Row],[Cumulative]])</f>
        <v>0</v>
      </c>
      <c r="K301" s="223">
        <f>Table5[[#This Row],[Material Balance Qty]]*Table5[[#This Row],[Material @ Site Rate]]</f>
        <v>0</v>
      </c>
      <c r="L301" s="9"/>
      <c r="M301" s="9">
        <f>Table5[[#This Row],[Cumulative]]-Table5[[#This Row],[Previous Qty]]</f>
        <v>0</v>
      </c>
      <c r="N301" s="9"/>
      <c r="O301" s="9">
        <f>(Table5[[#This Row],[Supply Rate]]+Table5[[#This Row],[Install Rate]])*Table5[[#This Row],[Previous Qty]]</f>
        <v>0</v>
      </c>
      <c r="P301" s="9">
        <f>Table5[[#This Row],[Cumulative Amount]]-Table5[[#This Row],[Previous Amount]]</f>
        <v>0</v>
      </c>
      <c r="Q301" s="9">
        <f>(Table5[[#This Row],[Supply Rate]]+Table5[[#This Row],[Install Rate]])*Table5[[#This Row],[Cumulative]]</f>
        <v>0</v>
      </c>
      <c r="R301" t="s">
        <v>936</v>
      </c>
    </row>
    <row r="302" spans="1:18" x14ac:dyDescent="0.35">
      <c r="A302" s="6"/>
      <c r="B302" s="7" t="s">
        <v>380</v>
      </c>
      <c r="C302" s="6"/>
      <c r="D302" s="6"/>
      <c r="E302" s="9"/>
      <c r="F302" s="9"/>
      <c r="G302" s="9"/>
      <c r="H302" s="223"/>
      <c r="I302" s="224"/>
      <c r="J302" s="224"/>
      <c r="K302" s="223"/>
      <c r="L302" s="9"/>
      <c r="M302" s="9"/>
      <c r="N302" s="9"/>
      <c r="O302" s="9"/>
      <c r="P302" s="9"/>
      <c r="Q302" s="9"/>
      <c r="R302" t="s">
        <v>936</v>
      </c>
    </row>
    <row r="303" spans="1:18" x14ac:dyDescent="0.35">
      <c r="A303" s="6"/>
      <c r="B303" s="11" t="s">
        <v>509</v>
      </c>
      <c r="C303" s="6"/>
      <c r="D303" s="6"/>
      <c r="E303" s="9"/>
      <c r="F303" s="9"/>
      <c r="G303" s="9"/>
      <c r="H303" s="223"/>
      <c r="I303" s="224"/>
      <c r="J303" s="224"/>
      <c r="K303" s="223"/>
      <c r="L303" s="9"/>
      <c r="M303" s="9"/>
      <c r="N303" s="9"/>
      <c r="O303" s="9"/>
      <c r="P303" s="9"/>
      <c r="Q303" s="9"/>
      <c r="R303" t="s">
        <v>936</v>
      </c>
    </row>
    <row r="304" spans="1:18" ht="29" x14ac:dyDescent="0.35">
      <c r="A304" s="6" t="s">
        <v>297</v>
      </c>
      <c r="B304" s="11" t="s">
        <v>510</v>
      </c>
      <c r="C304" s="6">
        <v>5.33</v>
      </c>
      <c r="D304" s="6" t="s">
        <v>17</v>
      </c>
      <c r="E304" s="9">
        <v>459</v>
      </c>
      <c r="F304" s="9">
        <v>210</v>
      </c>
      <c r="G304" s="9">
        <f>(Table5[[#This Row],[Supply Rate]]+Table5[[#This Row],[Install Rate]])*Table5[[#This Row],[Qty]]</f>
        <v>3565.77</v>
      </c>
      <c r="H304" s="223">
        <f>Table5[[#This Row],[Supply Rate]]*80%</f>
        <v>367.20000000000005</v>
      </c>
      <c r="I304" s="224"/>
      <c r="J304" s="224">
        <f>IF(Table5[[#This Row],[Material Qty]]=0,0,Table5[[#This Row],[Material Qty]]-Table5[[#This Row],[Cumulative]])</f>
        <v>0</v>
      </c>
      <c r="K304" s="223">
        <f>Table5[[#This Row],[Material Balance Qty]]*Table5[[#This Row],[Material @ Site Rate]]</f>
        <v>0</v>
      </c>
      <c r="L304" s="9"/>
      <c r="M304" s="9">
        <f>Table5[[#This Row],[Cumulative]]-Table5[[#This Row],[Previous Qty]]</f>
        <v>0</v>
      </c>
      <c r="N304" s="9"/>
      <c r="O304" s="9">
        <f>(Table5[[#This Row],[Supply Rate]]+Table5[[#This Row],[Install Rate]])*Table5[[#This Row],[Previous Qty]]</f>
        <v>0</v>
      </c>
      <c r="P304" s="9">
        <f>Table5[[#This Row],[Cumulative Amount]]-Table5[[#This Row],[Previous Amount]]</f>
        <v>0</v>
      </c>
      <c r="Q304" s="9">
        <f>(Table5[[#This Row],[Supply Rate]]+Table5[[#This Row],[Install Rate]])*Table5[[#This Row],[Cumulative]]</f>
        <v>0</v>
      </c>
      <c r="R304" t="s">
        <v>936</v>
      </c>
    </row>
    <row r="305" spans="1:18" ht="29" x14ac:dyDescent="0.35">
      <c r="A305" s="6" t="s">
        <v>300</v>
      </c>
      <c r="B305" s="11" t="s">
        <v>511</v>
      </c>
      <c r="C305" s="6">
        <v>18</v>
      </c>
      <c r="D305" s="6" t="s">
        <v>17</v>
      </c>
      <c r="E305" s="9">
        <v>485</v>
      </c>
      <c r="F305" s="9">
        <v>195</v>
      </c>
      <c r="G305" s="9">
        <f>(Table5[[#This Row],[Supply Rate]]+Table5[[#This Row],[Install Rate]])*Table5[[#This Row],[Qty]]</f>
        <v>12240</v>
      </c>
      <c r="H305" s="223">
        <f>Table5[[#This Row],[Supply Rate]]*80%</f>
        <v>388</v>
      </c>
      <c r="I305" s="224"/>
      <c r="J305" s="224">
        <f>IF(Table5[[#This Row],[Material Qty]]=0,0,Table5[[#This Row],[Material Qty]]-Table5[[#This Row],[Cumulative]])</f>
        <v>0</v>
      </c>
      <c r="K305" s="223">
        <f>Table5[[#This Row],[Material Balance Qty]]*Table5[[#This Row],[Material @ Site Rate]]</f>
        <v>0</v>
      </c>
      <c r="L305" s="9"/>
      <c r="M305" s="9">
        <f>Table5[[#This Row],[Cumulative]]-Table5[[#This Row],[Previous Qty]]</f>
        <v>0</v>
      </c>
      <c r="N305" s="9"/>
      <c r="O305" s="9">
        <f>(Table5[[#This Row],[Supply Rate]]+Table5[[#This Row],[Install Rate]])*Table5[[#This Row],[Previous Qty]]</f>
        <v>0</v>
      </c>
      <c r="P305" s="9">
        <f>Table5[[#This Row],[Cumulative Amount]]-Table5[[#This Row],[Previous Amount]]</f>
        <v>0</v>
      </c>
      <c r="Q305" s="9">
        <f>(Table5[[#This Row],[Supply Rate]]+Table5[[#This Row],[Install Rate]])*Table5[[#This Row],[Cumulative]]</f>
        <v>0</v>
      </c>
      <c r="R305" t="s">
        <v>936</v>
      </c>
    </row>
    <row r="306" spans="1:18" ht="29" x14ac:dyDescent="0.35">
      <c r="A306" s="6" t="s">
        <v>303</v>
      </c>
      <c r="B306" s="11" t="s">
        <v>512</v>
      </c>
      <c r="C306" s="6">
        <v>8.7200000000000006</v>
      </c>
      <c r="D306" s="6" t="s">
        <v>10</v>
      </c>
      <c r="E306" s="9">
        <v>43</v>
      </c>
      <c r="F306" s="9">
        <v>23</v>
      </c>
      <c r="G306" s="9">
        <f>(Table5[[#This Row],[Supply Rate]]+Table5[[#This Row],[Install Rate]])*Table5[[#This Row],[Qty]]</f>
        <v>575.5200000000001</v>
      </c>
      <c r="H306" s="223">
        <f>Table5[[#This Row],[Supply Rate]]*80%</f>
        <v>34.4</v>
      </c>
      <c r="I306" s="224"/>
      <c r="J306" s="224">
        <f>IF(Table5[[#This Row],[Material Qty]]=0,0,Table5[[#This Row],[Material Qty]]-Table5[[#This Row],[Cumulative]])</f>
        <v>0</v>
      </c>
      <c r="K306" s="223">
        <f>Table5[[#This Row],[Material Balance Qty]]*Table5[[#This Row],[Material @ Site Rate]]</f>
        <v>0</v>
      </c>
      <c r="L306" s="9"/>
      <c r="M306" s="9">
        <f>Table5[[#This Row],[Cumulative]]-Table5[[#This Row],[Previous Qty]]</f>
        <v>0</v>
      </c>
      <c r="N306" s="9"/>
      <c r="O306" s="9">
        <f>(Table5[[#This Row],[Supply Rate]]+Table5[[#This Row],[Install Rate]])*Table5[[#This Row],[Previous Qty]]</f>
        <v>0</v>
      </c>
      <c r="P306" s="9">
        <f>Table5[[#This Row],[Cumulative Amount]]-Table5[[#This Row],[Previous Amount]]</f>
        <v>0</v>
      </c>
      <c r="Q306" s="9">
        <f>(Table5[[#This Row],[Supply Rate]]+Table5[[#This Row],[Install Rate]])*Table5[[#This Row],[Cumulative]]</f>
        <v>0</v>
      </c>
      <c r="R306" t="s">
        <v>936</v>
      </c>
    </row>
    <row r="307" spans="1:18" ht="29" x14ac:dyDescent="0.35">
      <c r="A307" s="6" t="s">
        <v>325</v>
      </c>
      <c r="B307" s="11" t="s">
        <v>513</v>
      </c>
      <c r="C307" s="6">
        <v>8.7200000000000006</v>
      </c>
      <c r="D307" s="6" t="s">
        <v>10</v>
      </c>
      <c r="E307" s="9">
        <v>50</v>
      </c>
      <c r="F307" s="9">
        <v>22</v>
      </c>
      <c r="G307" s="9">
        <f>(Table5[[#This Row],[Supply Rate]]+Table5[[#This Row],[Install Rate]])*Table5[[#This Row],[Qty]]</f>
        <v>627.84</v>
      </c>
      <c r="H307" s="223">
        <f>Table5[[#This Row],[Supply Rate]]*80%</f>
        <v>40</v>
      </c>
      <c r="I307" s="224"/>
      <c r="J307" s="224">
        <f>IF(Table5[[#This Row],[Material Qty]]=0,0,Table5[[#This Row],[Material Qty]]-Table5[[#This Row],[Cumulative]])</f>
        <v>0</v>
      </c>
      <c r="K307" s="223">
        <f>Table5[[#This Row],[Material Balance Qty]]*Table5[[#This Row],[Material @ Site Rate]]</f>
        <v>0</v>
      </c>
      <c r="L307" s="9"/>
      <c r="M307" s="9">
        <f>Table5[[#This Row],[Cumulative]]-Table5[[#This Row],[Previous Qty]]</f>
        <v>0</v>
      </c>
      <c r="N307" s="9"/>
      <c r="O307" s="9">
        <f>(Table5[[#This Row],[Supply Rate]]+Table5[[#This Row],[Install Rate]])*Table5[[#This Row],[Previous Qty]]</f>
        <v>0</v>
      </c>
      <c r="P307" s="9">
        <f>Table5[[#This Row],[Cumulative Amount]]-Table5[[#This Row],[Previous Amount]]</f>
        <v>0</v>
      </c>
      <c r="Q307" s="9">
        <f>(Table5[[#This Row],[Supply Rate]]+Table5[[#This Row],[Install Rate]])*Table5[[#This Row],[Cumulative]]</f>
        <v>0</v>
      </c>
      <c r="R307" t="s">
        <v>936</v>
      </c>
    </row>
    <row r="308" spans="1:18" s="198" customFormat="1" x14ac:dyDescent="0.35">
      <c r="A308" s="201" t="s">
        <v>514</v>
      </c>
      <c r="B308" s="202"/>
      <c r="C308" s="203"/>
      <c r="D308" s="203"/>
      <c r="E308" s="204"/>
      <c r="F308" s="204"/>
      <c r="G308" s="204"/>
      <c r="H308" s="223"/>
      <c r="I308" s="224"/>
      <c r="J308" s="224"/>
      <c r="K308" s="223"/>
      <c r="L308" s="204"/>
      <c r="M308" s="204"/>
      <c r="N308" s="204"/>
      <c r="O308" s="204"/>
      <c r="P308" s="204"/>
      <c r="Q308" s="204"/>
      <c r="R308" t="s">
        <v>936</v>
      </c>
    </row>
    <row r="309" spans="1:18" x14ac:dyDescent="0.35">
      <c r="A309" s="6"/>
      <c r="B309" s="7" t="s">
        <v>515</v>
      </c>
      <c r="C309" s="6"/>
      <c r="D309" s="6"/>
      <c r="E309" s="9"/>
      <c r="F309" s="9"/>
      <c r="G309" s="9"/>
      <c r="H309" s="223"/>
      <c r="I309" s="224"/>
      <c r="J309" s="224"/>
      <c r="K309" s="223"/>
      <c r="L309" s="9"/>
      <c r="M309" s="9"/>
      <c r="N309" s="9"/>
      <c r="O309" s="9"/>
      <c r="P309" s="9"/>
      <c r="Q309" s="9"/>
      <c r="R309" t="s">
        <v>936</v>
      </c>
    </row>
    <row r="310" spans="1:18" x14ac:dyDescent="0.35">
      <c r="A310" s="6"/>
      <c r="B310" s="11" t="s">
        <v>289</v>
      </c>
      <c r="C310" s="6"/>
      <c r="D310" s="6"/>
      <c r="E310" s="9"/>
      <c r="F310" s="9"/>
      <c r="G310" s="9"/>
      <c r="H310" s="223"/>
      <c r="I310" s="224"/>
      <c r="J310" s="224"/>
      <c r="K310" s="223"/>
      <c r="L310" s="9"/>
      <c r="M310" s="9"/>
      <c r="N310" s="9"/>
      <c r="O310" s="9"/>
      <c r="P310" s="9"/>
      <c r="Q310" s="9"/>
      <c r="R310" t="s">
        <v>936</v>
      </c>
    </row>
    <row r="311" spans="1:18" ht="72.5" x14ac:dyDescent="0.35">
      <c r="A311" s="6"/>
      <c r="B311" s="11" t="s">
        <v>290</v>
      </c>
      <c r="C311" s="6"/>
      <c r="D311" s="6"/>
      <c r="E311" s="9"/>
      <c r="F311" s="9"/>
      <c r="G311" s="9"/>
      <c r="H311" s="223"/>
      <c r="I311" s="224"/>
      <c r="J311" s="224"/>
      <c r="K311" s="223"/>
      <c r="L311" s="9"/>
      <c r="M311" s="9"/>
      <c r="N311" s="9"/>
      <c r="O311" s="9"/>
      <c r="P311" s="9"/>
      <c r="Q311" s="9"/>
      <c r="R311" t="s">
        <v>936</v>
      </c>
    </row>
    <row r="312" spans="1:18" ht="43.5" x14ac:dyDescent="0.35">
      <c r="A312" s="6" t="s">
        <v>292</v>
      </c>
      <c r="B312" s="11" t="s">
        <v>516</v>
      </c>
      <c r="C312" s="6"/>
      <c r="D312" s="6"/>
      <c r="E312" s="9"/>
      <c r="F312" s="9"/>
      <c r="G312" s="9"/>
      <c r="H312" s="223"/>
      <c r="I312" s="224"/>
      <c r="J312" s="224"/>
      <c r="K312" s="223"/>
      <c r="L312" s="9"/>
      <c r="M312" s="9"/>
      <c r="N312" s="9"/>
      <c r="O312" s="9"/>
      <c r="P312" s="9"/>
      <c r="Q312" s="9"/>
      <c r="R312" t="s">
        <v>936</v>
      </c>
    </row>
    <row r="313" spans="1:18" x14ac:dyDescent="0.35">
      <c r="A313" s="6">
        <v>1</v>
      </c>
      <c r="B313" s="11" t="s">
        <v>517</v>
      </c>
      <c r="C313" s="6">
        <v>8.7799999999999994</v>
      </c>
      <c r="D313" s="6" t="s">
        <v>17</v>
      </c>
      <c r="E313" s="9">
        <v>455</v>
      </c>
      <c r="F313" s="9">
        <v>200</v>
      </c>
      <c r="G313" s="9">
        <f>(Table5[[#This Row],[Supply Rate]]+Table5[[#This Row],[Install Rate]])*Table5[[#This Row],[Qty]]</f>
        <v>5750.9</v>
      </c>
      <c r="H313" s="223">
        <f>Table5[[#This Row],[Supply Rate]]*80%</f>
        <v>364</v>
      </c>
      <c r="I313" s="224"/>
      <c r="J313" s="224">
        <f>IF(Table5[[#This Row],[Material Qty]]=0,0,Table5[[#This Row],[Material Qty]]-Table5[[#This Row],[Cumulative]])</f>
        <v>0</v>
      </c>
      <c r="K313" s="223">
        <f>Table5[[#This Row],[Material Balance Qty]]*Table5[[#This Row],[Material @ Site Rate]]</f>
        <v>0</v>
      </c>
      <c r="L313" s="9">
        <v>8.7799999999999994</v>
      </c>
      <c r="M313" s="9">
        <f>Table5[[#This Row],[Cumulative]]-Table5[[#This Row],[Previous Qty]]</f>
        <v>0</v>
      </c>
      <c r="N313" s="9">
        <v>8.7799999999999994</v>
      </c>
      <c r="O313" s="9">
        <f>(Table5[[#This Row],[Supply Rate]]+Table5[[#This Row],[Install Rate]])*Table5[[#This Row],[Previous Qty]]</f>
        <v>5750.9</v>
      </c>
      <c r="P313" s="9">
        <f>Table5[[#This Row],[Cumulative Amount]]-Table5[[#This Row],[Previous Amount]]</f>
        <v>0</v>
      </c>
      <c r="Q313" s="9">
        <f>(Table5[[#This Row],[Supply Rate]]+Table5[[#This Row],[Install Rate]])*Table5[[#This Row],[Cumulative]]</f>
        <v>5750.9</v>
      </c>
      <c r="R313" t="s">
        <v>936</v>
      </c>
    </row>
    <row r="314" spans="1:18" x14ac:dyDescent="0.35">
      <c r="A314" s="6">
        <v>2</v>
      </c>
      <c r="B314" s="11" t="s">
        <v>518</v>
      </c>
      <c r="C314" s="6">
        <v>10.55</v>
      </c>
      <c r="D314" s="6" t="s">
        <v>17</v>
      </c>
      <c r="E314" s="9">
        <v>455</v>
      </c>
      <c r="F314" s="9">
        <v>200</v>
      </c>
      <c r="G314" s="9">
        <f>(Table5[[#This Row],[Supply Rate]]+Table5[[#This Row],[Install Rate]])*Table5[[#This Row],[Qty]]</f>
        <v>6910.2500000000009</v>
      </c>
      <c r="H314" s="223">
        <f>Table5[[#This Row],[Supply Rate]]*80%</f>
        <v>364</v>
      </c>
      <c r="I314" s="224"/>
      <c r="J314" s="224">
        <f>IF(Table5[[#This Row],[Material Qty]]=0,0,Table5[[#This Row],[Material Qty]]-Table5[[#This Row],[Cumulative]])</f>
        <v>0</v>
      </c>
      <c r="K314" s="223">
        <f>Table5[[#This Row],[Material Balance Qty]]*Table5[[#This Row],[Material @ Site Rate]]</f>
        <v>0</v>
      </c>
      <c r="L314" s="9">
        <v>10.55</v>
      </c>
      <c r="M314" s="9">
        <f>Table5[[#This Row],[Cumulative]]-Table5[[#This Row],[Previous Qty]]</f>
        <v>0</v>
      </c>
      <c r="N314" s="9">
        <v>10.55</v>
      </c>
      <c r="O314" s="9">
        <f>(Table5[[#This Row],[Supply Rate]]+Table5[[#This Row],[Install Rate]])*Table5[[#This Row],[Previous Qty]]</f>
        <v>6910.2500000000009</v>
      </c>
      <c r="P314" s="9">
        <f>Table5[[#This Row],[Cumulative Amount]]-Table5[[#This Row],[Previous Amount]]</f>
        <v>0</v>
      </c>
      <c r="Q314" s="9">
        <f>(Table5[[#This Row],[Supply Rate]]+Table5[[#This Row],[Install Rate]])*Table5[[#This Row],[Cumulative]]</f>
        <v>6910.2500000000009</v>
      </c>
      <c r="R314" t="s">
        <v>936</v>
      </c>
    </row>
    <row r="315" spans="1:18" ht="29" x14ac:dyDescent="0.35">
      <c r="A315" s="6" t="s">
        <v>294</v>
      </c>
      <c r="B315" s="11" t="s">
        <v>519</v>
      </c>
      <c r="C315" s="6"/>
      <c r="D315" s="6"/>
      <c r="E315" s="9"/>
      <c r="F315" s="9"/>
      <c r="G315" s="9"/>
      <c r="H315" s="223"/>
      <c r="I315" s="224"/>
      <c r="J315" s="224"/>
      <c r="K315" s="223"/>
      <c r="L315" s="9"/>
      <c r="M315" s="9"/>
      <c r="N315" s="9"/>
      <c r="O315" s="9"/>
      <c r="P315" s="9"/>
      <c r="Q315" s="9"/>
      <c r="R315" t="s">
        <v>936</v>
      </c>
    </row>
    <row r="316" spans="1:18" x14ac:dyDescent="0.35">
      <c r="A316" s="6">
        <v>1</v>
      </c>
      <c r="B316" s="11" t="s">
        <v>517</v>
      </c>
      <c r="C316" s="6">
        <v>1.63</v>
      </c>
      <c r="D316" s="6" t="s">
        <v>17</v>
      </c>
      <c r="E316" s="9">
        <v>516</v>
      </c>
      <c r="F316" s="9">
        <v>183</v>
      </c>
      <c r="G316" s="9">
        <f>(Table5[[#This Row],[Supply Rate]]+Table5[[#This Row],[Install Rate]])*Table5[[#This Row],[Qty]]</f>
        <v>1139.3699999999999</v>
      </c>
      <c r="H316" s="223">
        <f>Table5[[#This Row],[Supply Rate]]*80%</f>
        <v>412.8</v>
      </c>
      <c r="I316" s="224"/>
      <c r="J316" s="224">
        <f>IF(Table5[[#This Row],[Material Qty]]=0,0,Table5[[#This Row],[Material Qty]]-Table5[[#This Row],[Cumulative]])</f>
        <v>0</v>
      </c>
      <c r="K316" s="223">
        <f>Table5[[#This Row],[Material Balance Qty]]*Table5[[#This Row],[Material @ Site Rate]]</f>
        <v>0</v>
      </c>
      <c r="L316" s="9">
        <v>1.63</v>
      </c>
      <c r="M316" s="9">
        <f>Table5[[#This Row],[Cumulative]]-Table5[[#This Row],[Previous Qty]]</f>
        <v>0</v>
      </c>
      <c r="N316" s="9">
        <v>1.63</v>
      </c>
      <c r="O316" s="9">
        <f>(Table5[[#This Row],[Supply Rate]]+Table5[[#This Row],[Install Rate]])*Table5[[#This Row],[Previous Qty]]</f>
        <v>1139.3699999999999</v>
      </c>
      <c r="P316" s="9">
        <f>Table5[[#This Row],[Cumulative Amount]]-Table5[[#This Row],[Previous Amount]]</f>
        <v>0</v>
      </c>
      <c r="Q316" s="9">
        <f>(Table5[[#This Row],[Supply Rate]]+Table5[[#This Row],[Install Rate]])*Table5[[#This Row],[Cumulative]]</f>
        <v>1139.3699999999999</v>
      </c>
      <c r="R316" t="s">
        <v>936</v>
      </c>
    </row>
    <row r="317" spans="1:18" x14ac:dyDescent="0.35">
      <c r="A317" s="6">
        <v>2</v>
      </c>
      <c r="B317" s="11" t="s">
        <v>518</v>
      </c>
      <c r="C317" s="6">
        <v>1.0900000000000001</v>
      </c>
      <c r="D317" s="6" t="s">
        <v>17</v>
      </c>
      <c r="E317" s="9">
        <v>516</v>
      </c>
      <c r="F317" s="9">
        <v>183</v>
      </c>
      <c r="G317" s="9">
        <f>(Table5[[#This Row],[Supply Rate]]+Table5[[#This Row],[Install Rate]])*Table5[[#This Row],[Qty]]</f>
        <v>761.91000000000008</v>
      </c>
      <c r="H317" s="223">
        <f>Table5[[#This Row],[Supply Rate]]*80%</f>
        <v>412.8</v>
      </c>
      <c r="I317" s="224"/>
      <c r="J317" s="224">
        <f>IF(Table5[[#This Row],[Material Qty]]=0,0,Table5[[#This Row],[Material Qty]]-Table5[[#This Row],[Cumulative]])</f>
        <v>0</v>
      </c>
      <c r="K317" s="223">
        <f>Table5[[#This Row],[Material Balance Qty]]*Table5[[#This Row],[Material @ Site Rate]]</f>
        <v>0</v>
      </c>
      <c r="L317" s="9">
        <v>1.0900000000000001</v>
      </c>
      <c r="M317" s="9">
        <f>Table5[[#This Row],[Cumulative]]-Table5[[#This Row],[Previous Qty]]</f>
        <v>0</v>
      </c>
      <c r="N317" s="9">
        <v>1.0900000000000001</v>
      </c>
      <c r="O317" s="9">
        <f>(Table5[[#This Row],[Supply Rate]]+Table5[[#This Row],[Install Rate]])*Table5[[#This Row],[Previous Qty]]</f>
        <v>761.91000000000008</v>
      </c>
      <c r="P317" s="9">
        <f>Table5[[#This Row],[Cumulative Amount]]-Table5[[#This Row],[Previous Amount]]</f>
        <v>0</v>
      </c>
      <c r="Q317" s="9">
        <f>(Table5[[#This Row],[Supply Rate]]+Table5[[#This Row],[Install Rate]])*Table5[[#This Row],[Cumulative]]</f>
        <v>761.91000000000008</v>
      </c>
      <c r="R317" t="s">
        <v>936</v>
      </c>
    </row>
    <row r="318" spans="1:18" ht="29" x14ac:dyDescent="0.35">
      <c r="A318" s="6" t="s">
        <v>297</v>
      </c>
      <c r="B318" s="11" t="s">
        <v>520</v>
      </c>
      <c r="C318" s="6"/>
      <c r="D318" s="6"/>
      <c r="E318" s="9"/>
      <c r="F318" s="9"/>
      <c r="G318" s="9"/>
      <c r="H318" s="223"/>
      <c r="I318" s="224"/>
      <c r="J318" s="224"/>
      <c r="K318" s="223"/>
      <c r="L318" s="9"/>
      <c r="M318" s="9"/>
      <c r="N318" s="9"/>
      <c r="O318" s="9"/>
      <c r="P318" s="9"/>
      <c r="Q318" s="9"/>
      <c r="R318" t="s">
        <v>936</v>
      </c>
    </row>
    <row r="319" spans="1:18" x14ac:dyDescent="0.35">
      <c r="A319" s="6">
        <v>1</v>
      </c>
      <c r="B319" s="11" t="s">
        <v>517</v>
      </c>
      <c r="C319" s="6">
        <v>2.1</v>
      </c>
      <c r="D319" s="6" t="s">
        <v>17</v>
      </c>
      <c r="E319" s="9">
        <v>490</v>
      </c>
      <c r="F319" s="9">
        <v>208</v>
      </c>
      <c r="G319" s="9">
        <f>(Table5[[#This Row],[Supply Rate]]+Table5[[#This Row],[Install Rate]])*Table5[[#This Row],[Qty]]</f>
        <v>1465.8</v>
      </c>
      <c r="H319" s="223">
        <f>Table5[[#This Row],[Supply Rate]]*80%</f>
        <v>392</v>
      </c>
      <c r="I319" s="224"/>
      <c r="J319" s="224">
        <f>IF(Table5[[#This Row],[Material Qty]]=0,0,Table5[[#This Row],[Material Qty]]-Table5[[#This Row],[Cumulative]])</f>
        <v>0</v>
      </c>
      <c r="K319" s="223">
        <f>Table5[[#This Row],[Material Balance Qty]]*Table5[[#This Row],[Material @ Site Rate]]</f>
        <v>0</v>
      </c>
      <c r="L319" s="9">
        <v>2.1</v>
      </c>
      <c r="M319" s="9">
        <f>Table5[[#This Row],[Cumulative]]-Table5[[#This Row],[Previous Qty]]</f>
        <v>0</v>
      </c>
      <c r="N319" s="9">
        <v>2.1</v>
      </c>
      <c r="O319" s="9">
        <f>(Table5[[#This Row],[Supply Rate]]+Table5[[#This Row],[Install Rate]])*Table5[[#This Row],[Previous Qty]]</f>
        <v>1465.8</v>
      </c>
      <c r="P319" s="9">
        <f>Table5[[#This Row],[Cumulative Amount]]-Table5[[#This Row],[Previous Amount]]</f>
        <v>0</v>
      </c>
      <c r="Q319" s="9">
        <f>(Table5[[#This Row],[Supply Rate]]+Table5[[#This Row],[Install Rate]])*Table5[[#This Row],[Cumulative]]</f>
        <v>1465.8</v>
      </c>
      <c r="R319" t="s">
        <v>936</v>
      </c>
    </row>
    <row r="320" spans="1:18" x14ac:dyDescent="0.35">
      <c r="A320" s="6">
        <v>2</v>
      </c>
      <c r="B320" s="11" t="s">
        <v>518</v>
      </c>
      <c r="C320" s="6">
        <v>1.4</v>
      </c>
      <c r="D320" s="6" t="s">
        <v>17</v>
      </c>
      <c r="E320" s="9">
        <v>490</v>
      </c>
      <c r="F320" s="9">
        <v>208</v>
      </c>
      <c r="G320" s="9">
        <f>(Table5[[#This Row],[Supply Rate]]+Table5[[#This Row],[Install Rate]])*Table5[[#This Row],[Qty]]</f>
        <v>977.19999999999993</v>
      </c>
      <c r="H320" s="223">
        <f>Table5[[#This Row],[Supply Rate]]*80%</f>
        <v>392</v>
      </c>
      <c r="I320" s="224"/>
      <c r="J320" s="224">
        <f>IF(Table5[[#This Row],[Material Qty]]=0,0,Table5[[#This Row],[Material Qty]]-Table5[[#This Row],[Cumulative]])</f>
        <v>0</v>
      </c>
      <c r="K320" s="223">
        <f>Table5[[#This Row],[Material Balance Qty]]*Table5[[#This Row],[Material @ Site Rate]]</f>
        <v>0</v>
      </c>
      <c r="L320" s="9">
        <v>1.4</v>
      </c>
      <c r="M320" s="9">
        <f>Table5[[#This Row],[Cumulative]]-Table5[[#This Row],[Previous Qty]]</f>
        <v>0</v>
      </c>
      <c r="N320" s="9">
        <v>1.4</v>
      </c>
      <c r="O320" s="9">
        <f>(Table5[[#This Row],[Supply Rate]]+Table5[[#This Row],[Install Rate]])*Table5[[#This Row],[Previous Qty]]</f>
        <v>977.19999999999993</v>
      </c>
      <c r="P320" s="9">
        <f>Table5[[#This Row],[Cumulative Amount]]-Table5[[#This Row],[Previous Amount]]</f>
        <v>0</v>
      </c>
      <c r="Q320" s="9">
        <f>(Table5[[#This Row],[Supply Rate]]+Table5[[#This Row],[Install Rate]])*Table5[[#This Row],[Cumulative]]</f>
        <v>977.19999999999993</v>
      </c>
      <c r="R320" t="s">
        <v>936</v>
      </c>
    </row>
    <row r="321" spans="1:18" x14ac:dyDescent="0.35">
      <c r="A321" s="6"/>
      <c r="B321" s="11" t="s">
        <v>302</v>
      </c>
      <c r="C321" s="6"/>
      <c r="D321" s="6"/>
      <c r="E321" s="9"/>
      <c r="F321" s="9"/>
      <c r="G321" s="9"/>
      <c r="H321" s="223"/>
      <c r="I321" s="224"/>
      <c r="J321" s="224"/>
      <c r="K321" s="223"/>
      <c r="L321" s="9"/>
      <c r="M321" s="9"/>
      <c r="N321" s="9"/>
      <c r="O321" s="9"/>
      <c r="P321" s="9"/>
      <c r="Q321" s="9"/>
      <c r="R321" t="s">
        <v>936</v>
      </c>
    </row>
    <row r="322" spans="1:18" ht="58" x14ac:dyDescent="0.35">
      <c r="A322" s="6" t="s">
        <v>300</v>
      </c>
      <c r="B322" s="11" t="s">
        <v>304</v>
      </c>
      <c r="C322" s="6"/>
      <c r="D322" s="6"/>
      <c r="E322" s="9"/>
      <c r="F322" s="9"/>
      <c r="G322" s="9"/>
      <c r="H322" s="223"/>
      <c r="I322" s="224"/>
      <c r="J322" s="224"/>
      <c r="K322" s="223"/>
      <c r="L322" s="9"/>
      <c r="M322" s="9"/>
      <c r="N322" s="9"/>
      <c r="O322" s="9"/>
      <c r="P322" s="9"/>
      <c r="Q322" s="9"/>
      <c r="R322" t="s">
        <v>936</v>
      </c>
    </row>
    <row r="323" spans="1:18" ht="29" x14ac:dyDescent="0.35">
      <c r="A323" s="6">
        <v>1</v>
      </c>
      <c r="B323" s="11" t="s">
        <v>521</v>
      </c>
      <c r="C323" s="6">
        <v>2.4</v>
      </c>
      <c r="D323" s="6" t="s">
        <v>10</v>
      </c>
      <c r="E323" s="9">
        <v>98</v>
      </c>
      <c r="F323" s="9">
        <v>41</v>
      </c>
      <c r="G323" s="9">
        <f>(Table5[[#This Row],[Supply Rate]]+Table5[[#This Row],[Install Rate]])*Table5[[#This Row],[Qty]]</f>
        <v>333.59999999999997</v>
      </c>
      <c r="H323" s="223">
        <f>Table5[[#This Row],[Supply Rate]]*80%</f>
        <v>78.400000000000006</v>
      </c>
      <c r="I323" s="224"/>
      <c r="J323" s="224">
        <f>IF(Table5[[#This Row],[Material Qty]]=0,0,Table5[[#This Row],[Material Qty]]-Table5[[#This Row],[Cumulative]])</f>
        <v>0</v>
      </c>
      <c r="K323" s="223">
        <f>Table5[[#This Row],[Material Balance Qty]]*Table5[[#This Row],[Material @ Site Rate]]</f>
        <v>0</v>
      </c>
      <c r="L323" s="9"/>
      <c r="M323" s="9">
        <f>Table5[[#This Row],[Cumulative]]-Table5[[#This Row],[Previous Qty]]</f>
        <v>0</v>
      </c>
      <c r="N323" s="9"/>
      <c r="O323" s="9">
        <f>(Table5[[#This Row],[Supply Rate]]+Table5[[#This Row],[Install Rate]])*Table5[[#This Row],[Previous Qty]]</f>
        <v>0</v>
      </c>
      <c r="P323" s="9">
        <f>Table5[[#This Row],[Cumulative Amount]]-Table5[[#This Row],[Previous Amount]]</f>
        <v>0</v>
      </c>
      <c r="Q323" s="9">
        <f>(Table5[[#This Row],[Supply Rate]]+Table5[[#This Row],[Install Rate]])*Table5[[#This Row],[Cumulative]]</f>
        <v>0</v>
      </c>
      <c r="R323" t="s">
        <v>936</v>
      </c>
    </row>
    <row r="324" spans="1:18" ht="29" x14ac:dyDescent="0.35">
      <c r="A324" s="6">
        <v>2</v>
      </c>
      <c r="B324" s="11" t="s">
        <v>522</v>
      </c>
      <c r="C324" s="6">
        <v>2.4</v>
      </c>
      <c r="D324" s="6" t="s">
        <v>10</v>
      </c>
      <c r="E324" s="9">
        <v>118</v>
      </c>
      <c r="F324" s="9">
        <v>42</v>
      </c>
      <c r="G324" s="9">
        <f>(Table5[[#This Row],[Supply Rate]]+Table5[[#This Row],[Install Rate]])*Table5[[#This Row],[Qty]]</f>
        <v>384</v>
      </c>
      <c r="H324" s="223">
        <f>Table5[[#This Row],[Supply Rate]]*80%</f>
        <v>94.4</v>
      </c>
      <c r="I324" s="224"/>
      <c r="J324" s="224">
        <f>IF(Table5[[#This Row],[Material Qty]]=0,0,Table5[[#This Row],[Material Qty]]-Table5[[#This Row],[Cumulative]])</f>
        <v>0</v>
      </c>
      <c r="K324" s="223">
        <f>Table5[[#This Row],[Material Balance Qty]]*Table5[[#This Row],[Material @ Site Rate]]</f>
        <v>0</v>
      </c>
      <c r="L324" s="9"/>
      <c r="M324" s="9">
        <f>Table5[[#This Row],[Cumulative]]-Table5[[#This Row],[Previous Qty]]</f>
        <v>0</v>
      </c>
      <c r="N324" s="9"/>
      <c r="O324" s="9">
        <f>(Table5[[#This Row],[Supply Rate]]+Table5[[#This Row],[Install Rate]])*Table5[[#This Row],[Previous Qty]]</f>
        <v>0</v>
      </c>
      <c r="P324" s="9">
        <f>Table5[[#This Row],[Cumulative Amount]]-Table5[[#This Row],[Previous Amount]]</f>
        <v>0</v>
      </c>
      <c r="Q324" s="9">
        <f>(Table5[[#This Row],[Supply Rate]]+Table5[[#This Row],[Install Rate]])*Table5[[#This Row],[Cumulative]]</f>
        <v>0</v>
      </c>
      <c r="R324" t="s">
        <v>936</v>
      </c>
    </row>
    <row r="325" spans="1:18" x14ac:dyDescent="0.35">
      <c r="A325" s="6"/>
      <c r="B325" s="11" t="s">
        <v>351</v>
      </c>
      <c r="C325" s="6"/>
      <c r="D325" s="6"/>
      <c r="E325" s="9"/>
      <c r="F325" s="9"/>
      <c r="G325" s="9"/>
      <c r="H325" s="223"/>
      <c r="I325" s="224"/>
      <c r="J325" s="224"/>
      <c r="K325" s="223"/>
      <c r="L325" s="9"/>
      <c r="M325" s="9"/>
      <c r="N325" s="9"/>
      <c r="O325" s="9"/>
      <c r="P325" s="9"/>
      <c r="Q325" s="9"/>
      <c r="R325" t="s">
        <v>936</v>
      </c>
    </row>
    <row r="326" spans="1:18" ht="87" x14ac:dyDescent="0.35">
      <c r="A326" s="6"/>
      <c r="B326" s="11" t="s">
        <v>352</v>
      </c>
      <c r="C326" s="6"/>
      <c r="D326" s="6"/>
      <c r="E326" s="9"/>
      <c r="F326" s="9"/>
      <c r="G326" s="9"/>
      <c r="H326" s="223"/>
      <c r="I326" s="224"/>
      <c r="J326" s="224"/>
      <c r="K326" s="223"/>
      <c r="L326" s="9"/>
      <c r="M326" s="9"/>
      <c r="N326" s="9"/>
      <c r="O326" s="9"/>
      <c r="P326" s="9"/>
      <c r="Q326" s="9"/>
      <c r="R326" t="s">
        <v>936</v>
      </c>
    </row>
    <row r="327" spans="1:18" ht="29" x14ac:dyDescent="0.35">
      <c r="A327" s="6" t="s">
        <v>292</v>
      </c>
      <c r="B327" s="11" t="s">
        <v>523</v>
      </c>
      <c r="C327" s="6"/>
      <c r="D327" s="6"/>
      <c r="E327" s="9"/>
      <c r="F327" s="9"/>
      <c r="G327" s="9"/>
      <c r="H327" s="223"/>
      <c r="I327" s="224"/>
      <c r="J327" s="224"/>
      <c r="K327" s="223"/>
      <c r="L327" s="9"/>
      <c r="M327" s="9"/>
      <c r="N327" s="9"/>
      <c r="O327" s="9"/>
      <c r="P327" s="9"/>
      <c r="Q327" s="9"/>
      <c r="R327" t="s">
        <v>936</v>
      </c>
    </row>
    <row r="328" spans="1:18" x14ac:dyDescent="0.35">
      <c r="A328" s="6">
        <v>1</v>
      </c>
      <c r="B328" s="11" t="s">
        <v>517</v>
      </c>
      <c r="C328" s="6">
        <v>7.39</v>
      </c>
      <c r="D328" s="6" t="s">
        <v>10</v>
      </c>
      <c r="E328" s="9">
        <v>42</v>
      </c>
      <c r="F328" s="9">
        <v>23</v>
      </c>
      <c r="G328" s="9">
        <f>(Table5[[#This Row],[Supply Rate]]+Table5[[#This Row],[Install Rate]])*Table5[[#This Row],[Qty]]</f>
        <v>480.34999999999997</v>
      </c>
      <c r="H328" s="223">
        <f>Table5[[#This Row],[Supply Rate]]*80%</f>
        <v>33.6</v>
      </c>
      <c r="I328" s="224"/>
      <c r="J328" s="224">
        <f>IF(Table5[[#This Row],[Material Qty]]=0,0,Table5[[#This Row],[Material Qty]]-Table5[[#This Row],[Cumulative]])</f>
        <v>0</v>
      </c>
      <c r="K328" s="223">
        <f>Table5[[#This Row],[Material Balance Qty]]*Table5[[#This Row],[Material @ Site Rate]]</f>
        <v>0</v>
      </c>
      <c r="L328" s="9"/>
      <c r="M328" s="9">
        <f>Table5[[#This Row],[Cumulative]]-Table5[[#This Row],[Previous Qty]]</f>
        <v>0</v>
      </c>
      <c r="N328" s="9"/>
      <c r="O328" s="9">
        <f>(Table5[[#This Row],[Supply Rate]]+Table5[[#This Row],[Install Rate]])*Table5[[#This Row],[Previous Qty]]</f>
        <v>0</v>
      </c>
      <c r="P328" s="9">
        <f>Table5[[#This Row],[Cumulative Amount]]-Table5[[#This Row],[Previous Amount]]</f>
        <v>0</v>
      </c>
      <c r="Q328" s="9">
        <f>(Table5[[#This Row],[Supply Rate]]+Table5[[#This Row],[Install Rate]])*Table5[[#This Row],[Cumulative]]</f>
        <v>0</v>
      </c>
      <c r="R328" t="s">
        <v>936</v>
      </c>
    </row>
    <row r="329" spans="1:18" x14ac:dyDescent="0.35">
      <c r="A329" s="6">
        <v>2</v>
      </c>
      <c r="B329" s="11" t="s">
        <v>518</v>
      </c>
      <c r="C329" s="6">
        <v>7.76</v>
      </c>
      <c r="D329" s="6" t="s">
        <v>10</v>
      </c>
      <c r="E329" s="9">
        <v>42</v>
      </c>
      <c r="F329" s="9">
        <v>23</v>
      </c>
      <c r="G329" s="9">
        <f>(Table5[[#This Row],[Supply Rate]]+Table5[[#This Row],[Install Rate]])*Table5[[#This Row],[Qty]]</f>
        <v>504.4</v>
      </c>
      <c r="H329" s="223">
        <f>Table5[[#This Row],[Supply Rate]]*80%</f>
        <v>33.6</v>
      </c>
      <c r="I329" s="224"/>
      <c r="J329" s="224">
        <f>IF(Table5[[#This Row],[Material Qty]]=0,0,Table5[[#This Row],[Material Qty]]-Table5[[#This Row],[Cumulative]])</f>
        <v>0</v>
      </c>
      <c r="K329" s="223">
        <f>Table5[[#This Row],[Material Balance Qty]]*Table5[[#This Row],[Material @ Site Rate]]</f>
        <v>0</v>
      </c>
      <c r="L329" s="9"/>
      <c r="M329" s="9">
        <f>Table5[[#This Row],[Cumulative]]-Table5[[#This Row],[Previous Qty]]</f>
        <v>0</v>
      </c>
      <c r="N329" s="9"/>
      <c r="O329" s="9">
        <f>(Table5[[#This Row],[Supply Rate]]+Table5[[#This Row],[Install Rate]])*Table5[[#This Row],[Previous Qty]]</f>
        <v>0</v>
      </c>
      <c r="P329" s="9">
        <f>Table5[[#This Row],[Cumulative Amount]]-Table5[[#This Row],[Previous Amount]]</f>
        <v>0</v>
      </c>
      <c r="Q329" s="9">
        <f>(Table5[[#This Row],[Supply Rate]]+Table5[[#This Row],[Install Rate]])*Table5[[#This Row],[Cumulative]]</f>
        <v>0</v>
      </c>
      <c r="R329" t="s">
        <v>936</v>
      </c>
    </row>
    <row r="330" spans="1:18" x14ac:dyDescent="0.35">
      <c r="A330" s="6"/>
      <c r="B330" s="11" t="s">
        <v>524</v>
      </c>
      <c r="C330" s="6"/>
      <c r="D330" s="6"/>
      <c r="E330" s="9"/>
      <c r="F330" s="9"/>
      <c r="G330" s="9"/>
      <c r="H330" s="223"/>
      <c r="I330" s="224"/>
      <c r="J330" s="224"/>
      <c r="K330" s="223"/>
      <c r="L330" s="9"/>
      <c r="M330" s="9"/>
      <c r="N330" s="9"/>
      <c r="O330" s="9"/>
      <c r="P330" s="9"/>
      <c r="Q330" s="9"/>
      <c r="R330" t="s">
        <v>936</v>
      </c>
    </row>
    <row r="331" spans="1:18" x14ac:dyDescent="0.35">
      <c r="A331" s="6"/>
      <c r="B331" s="11" t="s">
        <v>289</v>
      </c>
      <c r="C331" s="6"/>
      <c r="D331" s="6"/>
      <c r="E331" s="9"/>
      <c r="F331" s="9"/>
      <c r="G331" s="9"/>
      <c r="H331" s="223"/>
      <c r="I331" s="224"/>
      <c r="J331" s="224"/>
      <c r="K331" s="223"/>
      <c r="L331" s="9"/>
      <c r="M331" s="9"/>
      <c r="N331" s="9"/>
      <c r="O331" s="9"/>
      <c r="P331" s="9"/>
      <c r="Q331" s="9"/>
      <c r="R331" t="s">
        <v>936</v>
      </c>
    </row>
    <row r="332" spans="1:18" ht="58" x14ac:dyDescent="0.35">
      <c r="A332" s="6"/>
      <c r="B332" s="11" t="s">
        <v>344</v>
      </c>
      <c r="C332" s="6"/>
      <c r="D332" s="6"/>
      <c r="E332" s="9"/>
      <c r="F332" s="9"/>
      <c r="G332" s="9"/>
      <c r="H332" s="223"/>
      <c r="I332" s="224"/>
      <c r="J332" s="224"/>
      <c r="K332" s="223"/>
      <c r="L332" s="9"/>
      <c r="M332" s="9"/>
      <c r="N332" s="9"/>
      <c r="O332" s="9"/>
      <c r="P332" s="9"/>
      <c r="Q332" s="9"/>
      <c r="R332" t="s">
        <v>936</v>
      </c>
    </row>
    <row r="333" spans="1:18" ht="29" x14ac:dyDescent="0.35">
      <c r="A333" s="6" t="s">
        <v>292</v>
      </c>
      <c r="B333" s="11" t="s">
        <v>525</v>
      </c>
      <c r="C333" s="6"/>
      <c r="D333" s="6"/>
      <c r="E333" s="9"/>
      <c r="F333" s="9"/>
      <c r="G333" s="9"/>
      <c r="H333" s="223"/>
      <c r="I333" s="224"/>
      <c r="J333" s="224"/>
      <c r="K333" s="223"/>
      <c r="L333" s="9"/>
      <c r="M333" s="9"/>
      <c r="N333" s="9"/>
      <c r="O333" s="9"/>
      <c r="P333" s="9"/>
      <c r="Q333" s="9"/>
      <c r="R333" t="s">
        <v>936</v>
      </c>
    </row>
    <row r="334" spans="1:18" x14ac:dyDescent="0.35">
      <c r="A334" s="6">
        <v>1</v>
      </c>
      <c r="B334" s="11" t="s">
        <v>517</v>
      </c>
      <c r="C334" s="6">
        <v>13.54</v>
      </c>
      <c r="D334" s="6" t="s">
        <v>17</v>
      </c>
      <c r="E334" s="9">
        <v>436</v>
      </c>
      <c r="F334" s="9">
        <v>178</v>
      </c>
      <c r="G334" s="9">
        <f>(Table5[[#This Row],[Supply Rate]]+Table5[[#This Row],[Install Rate]])*Table5[[#This Row],[Qty]]</f>
        <v>8313.56</v>
      </c>
      <c r="H334" s="223">
        <f>Table5[[#This Row],[Supply Rate]]*80%</f>
        <v>348.8</v>
      </c>
      <c r="I334" s="224"/>
      <c r="J334" s="224">
        <f>IF(Table5[[#This Row],[Material Qty]]=0,0,Table5[[#This Row],[Material Qty]]-Table5[[#This Row],[Cumulative]])</f>
        <v>0</v>
      </c>
      <c r="K334" s="223">
        <f>Table5[[#This Row],[Material Balance Qty]]*Table5[[#This Row],[Material @ Site Rate]]</f>
        <v>0</v>
      </c>
      <c r="L334" s="9">
        <v>13.54</v>
      </c>
      <c r="M334" s="9">
        <f>Table5[[#This Row],[Cumulative]]-Table5[[#This Row],[Previous Qty]]</f>
        <v>0</v>
      </c>
      <c r="N334" s="9">
        <v>13.54</v>
      </c>
      <c r="O334" s="9">
        <f>(Table5[[#This Row],[Supply Rate]]+Table5[[#This Row],[Install Rate]])*Table5[[#This Row],[Previous Qty]]</f>
        <v>8313.56</v>
      </c>
      <c r="P334" s="9">
        <f>Table5[[#This Row],[Cumulative Amount]]-Table5[[#This Row],[Previous Amount]]</f>
        <v>0</v>
      </c>
      <c r="Q334" s="9">
        <f>(Table5[[#This Row],[Supply Rate]]+Table5[[#This Row],[Install Rate]])*Table5[[#This Row],[Cumulative]]</f>
        <v>8313.56</v>
      </c>
      <c r="R334" t="s">
        <v>936</v>
      </c>
    </row>
    <row r="335" spans="1:18" x14ac:dyDescent="0.35">
      <c r="A335" s="6">
        <v>2</v>
      </c>
      <c r="B335" s="11" t="s">
        <v>518</v>
      </c>
      <c r="C335" s="6">
        <v>7.31</v>
      </c>
      <c r="D335" s="6" t="s">
        <v>17</v>
      </c>
      <c r="E335" s="9">
        <v>436</v>
      </c>
      <c r="F335" s="9">
        <v>178</v>
      </c>
      <c r="G335" s="9">
        <f>(Table5[[#This Row],[Supply Rate]]+Table5[[#This Row],[Install Rate]])*Table5[[#This Row],[Qty]]</f>
        <v>4488.34</v>
      </c>
      <c r="H335" s="223">
        <f>Table5[[#This Row],[Supply Rate]]*80%</f>
        <v>348.8</v>
      </c>
      <c r="I335" s="224"/>
      <c r="J335" s="224">
        <f>IF(Table5[[#This Row],[Material Qty]]=0,0,Table5[[#This Row],[Material Qty]]-Table5[[#This Row],[Cumulative]])</f>
        <v>0</v>
      </c>
      <c r="K335" s="223">
        <f>Table5[[#This Row],[Material Balance Qty]]*Table5[[#This Row],[Material @ Site Rate]]</f>
        <v>0</v>
      </c>
      <c r="L335" s="9">
        <v>7.31</v>
      </c>
      <c r="M335" s="9">
        <f>Table5[[#This Row],[Cumulative]]-Table5[[#This Row],[Previous Qty]]</f>
        <v>0</v>
      </c>
      <c r="N335" s="9">
        <v>7.31</v>
      </c>
      <c r="O335" s="9">
        <f>(Table5[[#This Row],[Supply Rate]]+Table5[[#This Row],[Install Rate]])*Table5[[#This Row],[Previous Qty]]</f>
        <v>4488.34</v>
      </c>
      <c r="P335" s="9">
        <f>Table5[[#This Row],[Cumulative Amount]]-Table5[[#This Row],[Previous Amount]]</f>
        <v>0</v>
      </c>
      <c r="Q335" s="9">
        <f>(Table5[[#This Row],[Supply Rate]]+Table5[[#This Row],[Install Rate]])*Table5[[#This Row],[Cumulative]]</f>
        <v>4488.34</v>
      </c>
      <c r="R335" t="s">
        <v>936</v>
      </c>
    </row>
    <row r="336" spans="1:18" ht="29" x14ac:dyDescent="0.35">
      <c r="A336" s="6" t="s">
        <v>294</v>
      </c>
      <c r="B336" s="11" t="s">
        <v>526</v>
      </c>
      <c r="C336" s="6"/>
      <c r="D336" s="6"/>
      <c r="E336" s="9"/>
      <c r="F336" s="9"/>
      <c r="G336" s="9"/>
      <c r="H336" s="223"/>
      <c r="I336" s="224"/>
      <c r="J336" s="224"/>
      <c r="K336" s="223"/>
      <c r="L336" s="9"/>
      <c r="M336" s="9"/>
      <c r="N336" s="9"/>
      <c r="O336" s="9"/>
      <c r="P336" s="9"/>
      <c r="Q336" s="9"/>
      <c r="R336" t="s">
        <v>936</v>
      </c>
    </row>
    <row r="337" spans="1:18" x14ac:dyDescent="0.35">
      <c r="A337" s="6">
        <v>1</v>
      </c>
      <c r="B337" s="11" t="s">
        <v>517</v>
      </c>
      <c r="C337" s="6">
        <v>2.34</v>
      </c>
      <c r="D337" s="6" t="s">
        <v>17</v>
      </c>
      <c r="E337" s="9">
        <v>696</v>
      </c>
      <c r="F337" s="9">
        <v>234</v>
      </c>
      <c r="G337" s="9">
        <f>(Table5[[#This Row],[Supply Rate]]+Table5[[#This Row],[Install Rate]])*Table5[[#This Row],[Qty]]</f>
        <v>2176.1999999999998</v>
      </c>
      <c r="H337" s="223">
        <f>Table5[[#This Row],[Supply Rate]]*80%</f>
        <v>556.80000000000007</v>
      </c>
      <c r="I337" s="224"/>
      <c r="J337" s="224">
        <f>IF(Table5[[#This Row],[Material Qty]]=0,0,Table5[[#This Row],[Material Qty]]-Table5[[#This Row],[Cumulative]])</f>
        <v>0</v>
      </c>
      <c r="K337" s="223">
        <f>Table5[[#This Row],[Material Balance Qty]]*Table5[[#This Row],[Material @ Site Rate]]</f>
        <v>0</v>
      </c>
      <c r="L337" s="9"/>
      <c r="M337" s="9">
        <f>Table5[[#This Row],[Cumulative]]-Table5[[#This Row],[Previous Qty]]</f>
        <v>0</v>
      </c>
      <c r="N337" s="9"/>
      <c r="O337" s="9">
        <f>(Table5[[#This Row],[Supply Rate]]+Table5[[#This Row],[Install Rate]])*Table5[[#This Row],[Previous Qty]]</f>
        <v>0</v>
      </c>
      <c r="P337" s="9">
        <f>Table5[[#This Row],[Cumulative Amount]]-Table5[[#This Row],[Previous Amount]]</f>
        <v>0</v>
      </c>
      <c r="Q337" s="9">
        <f>(Table5[[#This Row],[Supply Rate]]+Table5[[#This Row],[Install Rate]])*Table5[[#This Row],[Cumulative]]</f>
        <v>0</v>
      </c>
      <c r="R337" t="s">
        <v>936</v>
      </c>
    </row>
    <row r="338" spans="1:18" x14ac:dyDescent="0.35">
      <c r="A338" s="6">
        <v>2</v>
      </c>
      <c r="B338" s="11" t="s">
        <v>518</v>
      </c>
      <c r="C338" s="6">
        <v>1.38</v>
      </c>
      <c r="D338" s="6" t="s">
        <v>17</v>
      </c>
      <c r="E338" s="9">
        <v>696</v>
      </c>
      <c r="F338" s="9">
        <v>234</v>
      </c>
      <c r="G338" s="9">
        <f>(Table5[[#This Row],[Supply Rate]]+Table5[[#This Row],[Install Rate]])*Table5[[#This Row],[Qty]]</f>
        <v>1283.3999999999999</v>
      </c>
      <c r="H338" s="223">
        <f>Table5[[#This Row],[Supply Rate]]*80%</f>
        <v>556.80000000000007</v>
      </c>
      <c r="I338" s="224"/>
      <c r="J338" s="224">
        <f>IF(Table5[[#This Row],[Material Qty]]=0,0,Table5[[#This Row],[Material Qty]]-Table5[[#This Row],[Cumulative]])</f>
        <v>0</v>
      </c>
      <c r="K338" s="223">
        <f>Table5[[#This Row],[Material Balance Qty]]*Table5[[#This Row],[Material @ Site Rate]]</f>
        <v>0</v>
      </c>
      <c r="L338" s="9"/>
      <c r="M338" s="9">
        <f>Table5[[#This Row],[Cumulative]]-Table5[[#This Row],[Previous Qty]]</f>
        <v>0</v>
      </c>
      <c r="N338" s="9"/>
      <c r="O338" s="9">
        <f>(Table5[[#This Row],[Supply Rate]]+Table5[[#This Row],[Install Rate]])*Table5[[#This Row],[Previous Qty]]</f>
        <v>0</v>
      </c>
      <c r="P338" s="9">
        <f>Table5[[#This Row],[Cumulative Amount]]-Table5[[#This Row],[Previous Amount]]</f>
        <v>0</v>
      </c>
      <c r="Q338" s="9">
        <f>(Table5[[#This Row],[Supply Rate]]+Table5[[#This Row],[Install Rate]])*Table5[[#This Row],[Cumulative]]</f>
        <v>0</v>
      </c>
      <c r="R338" t="s">
        <v>936</v>
      </c>
    </row>
    <row r="339" spans="1:18" x14ac:dyDescent="0.35">
      <c r="A339" s="6"/>
      <c r="B339" s="7" t="s">
        <v>380</v>
      </c>
      <c r="C339" s="6"/>
      <c r="D339" s="6"/>
      <c r="E339" s="9"/>
      <c r="F339" s="9"/>
      <c r="G339" s="9"/>
      <c r="H339" s="223"/>
      <c r="I339" s="224"/>
      <c r="J339" s="224"/>
      <c r="K339" s="223"/>
      <c r="L339" s="9"/>
      <c r="M339" s="9"/>
      <c r="N339" s="9"/>
      <c r="O339" s="9"/>
      <c r="P339" s="9"/>
      <c r="Q339" s="9"/>
      <c r="R339" t="s">
        <v>936</v>
      </c>
    </row>
    <row r="340" spans="1:18" x14ac:dyDescent="0.35">
      <c r="A340" s="6"/>
      <c r="B340" s="7" t="s">
        <v>527</v>
      </c>
      <c r="C340" s="6"/>
      <c r="D340" s="6"/>
      <c r="E340" s="9"/>
      <c r="F340" s="9"/>
      <c r="G340" s="9"/>
      <c r="H340" s="223"/>
      <c r="I340" s="224"/>
      <c r="J340" s="224"/>
      <c r="K340" s="223"/>
      <c r="L340" s="9"/>
      <c r="M340" s="9"/>
      <c r="N340" s="9"/>
      <c r="O340" s="9"/>
      <c r="P340" s="9"/>
      <c r="Q340" s="9"/>
      <c r="R340" t="s">
        <v>936</v>
      </c>
    </row>
    <row r="341" spans="1:18" ht="29" x14ac:dyDescent="0.35">
      <c r="A341" s="6" t="s">
        <v>292</v>
      </c>
      <c r="B341" s="11" t="s">
        <v>528</v>
      </c>
      <c r="C341" s="6"/>
      <c r="D341" s="6"/>
      <c r="E341" s="9"/>
      <c r="F341" s="9"/>
      <c r="G341" s="9"/>
      <c r="H341" s="223"/>
      <c r="I341" s="224"/>
      <c r="J341" s="224"/>
      <c r="K341" s="223"/>
      <c r="L341" s="9"/>
      <c r="M341" s="9"/>
      <c r="N341" s="9"/>
      <c r="O341" s="9"/>
      <c r="P341" s="9"/>
      <c r="Q341" s="9"/>
      <c r="R341" t="s">
        <v>936</v>
      </c>
    </row>
    <row r="342" spans="1:18" x14ac:dyDescent="0.35">
      <c r="A342" s="6">
        <v>1</v>
      </c>
      <c r="B342" s="11" t="s">
        <v>529</v>
      </c>
      <c r="C342" s="6">
        <v>2.15</v>
      </c>
      <c r="D342" s="6" t="s">
        <v>17</v>
      </c>
      <c r="E342" s="9">
        <v>1532</v>
      </c>
      <c r="F342" s="9">
        <v>258</v>
      </c>
      <c r="G342" s="9">
        <f>(Table5[[#This Row],[Supply Rate]]+Table5[[#This Row],[Install Rate]])*Table5[[#This Row],[Qty]]</f>
        <v>3848.5</v>
      </c>
      <c r="H342" s="223">
        <f>Table5[[#This Row],[Supply Rate]]*80%</f>
        <v>1225.6000000000001</v>
      </c>
      <c r="I342" s="224"/>
      <c r="J342" s="224">
        <f>IF(Table5[[#This Row],[Material Qty]]=0,0,Table5[[#This Row],[Material Qty]]-Table5[[#This Row],[Cumulative]])</f>
        <v>0</v>
      </c>
      <c r="K342" s="223">
        <f>Table5[[#This Row],[Material Balance Qty]]*Table5[[#This Row],[Material @ Site Rate]]</f>
        <v>0</v>
      </c>
      <c r="L342" s="9"/>
      <c r="M342" s="9">
        <f>Table5[[#This Row],[Cumulative]]-Table5[[#This Row],[Previous Qty]]</f>
        <v>0</v>
      </c>
      <c r="N342" s="9"/>
      <c r="O342" s="9">
        <f>(Table5[[#This Row],[Supply Rate]]+Table5[[#This Row],[Install Rate]])*Table5[[#This Row],[Previous Qty]]</f>
        <v>0</v>
      </c>
      <c r="P342" s="9">
        <f>Table5[[#This Row],[Cumulative Amount]]-Table5[[#This Row],[Previous Amount]]</f>
        <v>0</v>
      </c>
      <c r="Q342" s="9">
        <f>(Table5[[#This Row],[Supply Rate]]+Table5[[#This Row],[Install Rate]])*Table5[[#This Row],[Cumulative]]</f>
        <v>0</v>
      </c>
      <c r="R342" t="s">
        <v>936</v>
      </c>
    </row>
    <row r="343" spans="1:18" x14ac:dyDescent="0.35">
      <c r="A343" s="6">
        <v>2</v>
      </c>
      <c r="B343" s="11" t="s">
        <v>530</v>
      </c>
      <c r="C343" s="6">
        <v>2.15</v>
      </c>
      <c r="D343" s="6" t="s">
        <v>17</v>
      </c>
      <c r="E343" s="9">
        <v>1532</v>
      </c>
      <c r="F343" s="9">
        <v>258</v>
      </c>
      <c r="G343" s="9">
        <f>(Table5[[#This Row],[Supply Rate]]+Table5[[#This Row],[Install Rate]])*Table5[[#This Row],[Qty]]</f>
        <v>3848.5</v>
      </c>
      <c r="H343" s="223">
        <f>Table5[[#This Row],[Supply Rate]]*80%</f>
        <v>1225.6000000000001</v>
      </c>
      <c r="I343" s="224"/>
      <c r="J343" s="224">
        <f>IF(Table5[[#This Row],[Material Qty]]=0,0,Table5[[#This Row],[Material Qty]]-Table5[[#This Row],[Cumulative]])</f>
        <v>0</v>
      </c>
      <c r="K343" s="223">
        <f>Table5[[#This Row],[Material Balance Qty]]*Table5[[#This Row],[Material @ Site Rate]]</f>
        <v>0</v>
      </c>
      <c r="L343" s="9"/>
      <c r="M343" s="9">
        <f>Table5[[#This Row],[Cumulative]]-Table5[[#This Row],[Previous Qty]]</f>
        <v>0</v>
      </c>
      <c r="N343" s="9"/>
      <c r="O343" s="9">
        <f>(Table5[[#This Row],[Supply Rate]]+Table5[[#This Row],[Install Rate]])*Table5[[#This Row],[Previous Qty]]</f>
        <v>0</v>
      </c>
      <c r="P343" s="9">
        <f>Table5[[#This Row],[Cumulative Amount]]-Table5[[#This Row],[Previous Amount]]</f>
        <v>0</v>
      </c>
      <c r="Q343" s="9">
        <f>(Table5[[#This Row],[Supply Rate]]+Table5[[#This Row],[Install Rate]])*Table5[[#This Row],[Cumulative]]</f>
        <v>0</v>
      </c>
      <c r="R343" t="s">
        <v>936</v>
      </c>
    </row>
    <row r="344" spans="1:18" x14ac:dyDescent="0.35">
      <c r="A344" s="205" t="s">
        <v>531</v>
      </c>
      <c r="B344" s="11"/>
      <c r="C344" s="6"/>
      <c r="D344" s="6"/>
      <c r="E344" s="9"/>
      <c r="F344" s="9"/>
      <c r="G344" s="9"/>
      <c r="H344" s="223"/>
      <c r="I344" s="224"/>
      <c r="J344" s="224"/>
      <c r="K344" s="223"/>
      <c r="L344" s="9"/>
      <c r="M344" s="9"/>
      <c r="N344" s="9"/>
      <c r="O344" s="9"/>
      <c r="P344" s="9"/>
      <c r="Q344" s="9"/>
      <c r="R344" t="s">
        <v>936</v>
      </c>
    </row>
    <row r="345" spans="1:18" x14ac:dyDescent="0.35">
      <c r="A345" s="6"/>
      <c r="B345" s="7" t="s">
        <v>515</v>
      </c>
      <c r="C345" s="6"/>
      <c r="D345" s="6"/>
      <c r="E345" s="9"/>
      <c r="F345" s="9"/>
      <c r="G345" s="9"/>
      <c r="H345" s="223"/>
      <c r="I345" s="224"/>
      <c r="J345" s="224"/>
      <c r="K345" s="223"/>
      <c r="L345" s="9"/>
      <c r="M345" s="9"/>
      <c r="N345" s="9"/>
      <c r="O345" s="9"/>
      <c r="P345" s="9"/>
      <c r="Q345" s="9"/>
      <c r="R345" t="s">
        <v>936</v>
      </c>
    </row>
    <row r="346" spans="1:18" x14ac:dyDescent="0.35">
      <c r="A346" s="6"/>
      <c r="B346" s="11" t="s">
        <v>289</v>
      </c>
      <c r="C346" s="6"/>
      <c r="D346" s="6"/>
      <c r="E346" s="9"/>
      <c r="F346" s="9"/>
      <c r="G346" s="9"/>
      <c r="H346" s="223"/>
      <c r="I346" s="224"/>
      <c r="J346" s="224"/>
      <c r="K346" s="223"/>
      <c r="L346" s="9"/>
      <c r="M346" s="9"/>
      <c r="N346" s="9"/>
      <c r="O346" s="9"/>
      <c r="P346" s="9"/>
      <c r="Q346" s="9"/>
      <c r="R346" t="s">
        <v>936</v>
      </c>
    </row>
    <row r="347" spans="1:18" ht="72.5" x14ac:dyDescent="0.35">
      <c r="A347" s="6"/>
      <c r="B347" s="11" t="s">
        <v>532</v>
      </c>
      <c r="C347" s="6"/>
      <c r="D347" s="6"/>
      <c r="E347" s="9"/>
      <c r="F347" s="9"/>
      <c r="G347" s="9"/>
      <c r="H347" s="223"/>
      <c r="I347" s="224"/>
      <c r="J347" s="224"/>
      <c r="K347" s="223"/>
      <c r="L347" s="9"/>
      <c r="M347" s="9"/>
      <c r="N347" s="9"/>
      <c r="O347" s="9"/>
      <c r="P347" s="9"/>
      <c r="Q347" s="9"/>
      <c r="R347" t="s">
        <v>936</v>
      </c>
    </row>
    <row r="348" spans="1:18" ht="29" x14ac:dyDescent="0.35">
      <c r="A348" s="6">
        <v>1</v>
      </c>
      <c r="B348" s="11" t="s">
        <v>533</v>
      </c>
      <c r="C348" s="6">
        <v>25</v>
      </c>
      <c r="D348" s="6" t="s">
        <v>17</v>
      </c>
      <c r="E348" s="9">
        <v>549</v>
      </c>
      <c r="F348" s="9">
        <v>140</v>
      </c>
      <c r="G348" s="9">
        <f>(Table5[[#This Row],[Supply Rate]]+Table5[[#This Row],[Install Rate]])*Table5[[#This Row],[Qty]]</f>
        <v>17225</v>
      </c>
      <c r="H348" s="223">
        <f>Table5[[#This Row],[Supply Rate]]*80%</f>
        <v>439.20000000000005</v>
      </c>
      <c r="I348" s="224"/>
      <c r="J348" s="224">
        <f>IF(Table5[[#This Row],[Material Qty]]=0,0,Table5[[#This Row],[Material Qty]]-Table5[[#This Row],[Cumulative]])</f>
        <v>0</v>
      </c>
      <c r="K348" s="223">
        <f>Table5[[#This Row],[Material Balance Qty]]*Table5[[#This Row],[Material @ Site Rate]]</f>
        <v>0</v>
      </c>
      <c r="L348" s="9"/>
      <c r="M348" s="9">
        <f>Table5[[#This Row],[Cumulative]]-Table5[[#This Row],[Previous Qty]]</f>
        <v>0</v>
      </c>
      <c r="N348" s="9"/>
      <c r="O348" s="9">
        <f>(Table5[[#This Row],[Supply Rate]]+Table5[[#This Row],[Install Rate]])*Table5[[#This Row],[Previous Qty]]</f>
        <v>0</v>
      </c>
      <c r="P348" s="9">
        <f>Table5[[#This Row],[Cumulative Amount]]-Table5[[#This Row],[Previous Amount]]</f>
        <v>0</v>
      </c>
      <c r="Q348" s="9">
        <f>(Table5[[#This Row],[Supply Rate]]+Table5[[#This Row],[Install Rate]])*Table5[[#This Row],[Cumulative]]</f>
        <v>0</v>
      </c>
      <c r="R348" t="s">
        <v>936</v>
      </c>
    </row>
    <row r="349" spans="1:18" ht="29" x14ac:dyDescent="0.35">
      <c r="A349" s="6">
        <v>2</v>
      </c>
      <c r="B349" s="11" t="s">
        <v>534</v>
      </c>
      <c r="C349" s="6">
        <v>13</v>
      </c>
      <c r="D349" s="6" t="s">
        <v>17</v>
      </c>
      <c r="E349" s="9">
        <v>372</v>
      </c>
      <c r="F349" s="9">
        <v>134</v>
      </c>
      <c r="G349" s="9">
        <f>(Table5[[#This Row],[Supply Rate]]+Table5[[#This Row],[Install Rate]])*Table5[[#This Row],[Qty]]</f>
        <v>6578</v>
      </c>
      <c r="H349" s="223">
        <f>Table5[[#This Row],[Supply Rate]]*80%</f>
        <v>297.60000000000002</v>
      </c>
      <c r="I349" s="224"/>
      <c r="J349" s="224">
        <f>IF(Table5[[#This Row],[Material Qty]]=0,0,Table5[[#This Row],[Material Qty]]-Table5[[#This Row],[Cumulative]])</f>
        <v>0</v>
      </c>
      <c r="K349" s="223">
        <f>Table5[[#This Row],[Material Balance Qty]]*Table5[[#This Row],[Material @ Site Rate]]</f>
        <v>0</v>
      </c>
      <c r="L349" s="9"/>
      <c r="M349" s="9">
        <f>Table5[[#This Row],[Cumulative]]-Table5[[#This Row],[Previous Qty]]</f>
        <v>0</v>
      </c>
      <c r="N349" s="9"/>
      <c r="O349" s="9">
        <f>(Table5[[#This Row],[Supply Rate]]+Table5[[#This Row],[Install Rate]])*Table5[[#This Row],[Previous Qty]]</f>
        <v>0</v>
      </c>
      <c r="P349" s="9">
        <f>Table5[[#This Row],[Cumulative Amount]]-Table5[[#This Row],[Previous Amount]]</f>
        <v>0</v>
      </c>
      <c r="Q349" s="9">
        <f>(Table5[[#This Row],[Supply Rate]]+Table5[[#This Row],[Install Rate]])*Table5[[#This Row],[Cumulative]]</f>
        <v>0</v>
      </c>
      <c r="R349" t="s">
        <v>936</v>
      </c>
    </row>
    <row r="350" spans="1:18" ht="29" x14ac:dyDescent="0.35">
      <c r="A350" s="6">
        <v>3</v>
      </c>
      <c r="B350" s="11" t="s">
        <v>535</v>
      </c>
      <c r="C350" s="6">
        <v>8</v>
      </c>
      <c r="D350" s="6" t="s">
        <v>17</v>
      </c>
      <c r="E350" s="9">
        <v>473</v>
      </c>
      <c r="F350" s="9">
        <v>201</v>
      </c>
      <c r="G350" s="9">
        <f>(Table5[[#This Row],[Supply Rate]]+Table5[[#This Row],[Install Rate]])*Table5[[#This Row],[Qty]]</f>
        <v>5392</v>
      </c>
      <c r="H350" s="223">
        <f>Table5[[#This Row],[Supply Rate]]*80%</f>
        <v>378.40000000000003</v>
      </c>
      <c r="I350" s="224"/>
      <c r="J350" s="224">
        <f>IF(Table5[[#This Row],[Material Qty]]=0,0,Table5[[#This Row],[Material Qty]]-Table5[[#This Row],[Cumulative]])</f>
        <v>0</v>
      </c>
      <c r="K350" s="223">
        <f>Table5[[#This Row],[Material Balance Qty]]*Table5[[#This Row],[Material @ Site Rate]]</f>
        <v>0</v>
      </c>
      <c r="L350" s="9">
        <v>8</v>
      </c>
      <c r="M350" s="9">
        <f>Table5[[#This Row],[Cumulative]]-Table5[[#This Row],[Previous Qty]]</f>
        <v>0</v>
      </c>
      <c r="N350" s="9">
        <v>8</v>
      </c>
      <c r="O350" s="9">
        <f>(Table5[[#This Row],[Supply Rate]]+Table5[[#This Row],[Install Rate]])*Table5[[#This Row],[Previous Qty]]</f>
        <v>5392</v>
      </c>
      <c r="P350" s="9">
        <f>Table5[[#This Row],[Cumulative Amount]]-Table5[[#This Row],[Previous Amount]]</f>
        <v>0</v>
      </c>
      <c r="Q350" s="9">
        <f>(Table5[[#This Row],[Supply Rate]]+Table5[[#This Row],[Install Rate]])*Table5[[#This Row],[Cumulative]]</f>
        <v>5392</v>
      </c>
      <c r="R350" t="s">
        <v>936</v>
      </c>
    </row>
    <row r="351" spans="1:18" x14ac:dyDescent="0.35">
      <c r="A351" s="6"/>
      <c r="B351" s="11" t="s">
        <v>302</v>
      </c>
      <c r="C351" s="6"/>
      <c r="D351" s="6"/>
      <c r="E351" s="9"/>
      <c r="F351" s="9"/>
      <c r="G351" s="9"/>
      <c r="H351" s="223"/>
      <c r="I351" s="224"/>
      <c r="J351" s="224"/>
      <c r="K351" s="223"/>
      <c r="L351" s="9"/>
      <c r="M351" s="9"/>
      <c r="N351" s="9"/>
      <c r="O351" s="9"/>
      <c r="P351" s="9"/>
      <c r="Q351" s="9"/>
      <c r="R351" t="s">
        <v>936</v>
      </c>
    </row>
    <row r="352" spans="1:18" ht="58" x14ac:dyDescent="0.35">
      <c r="A352" s="6"/>
      <c r="B352" s="11" t="s">
        <v>536</v>
      </c>
      <c r="C352" s="6"/>
      <c r="D352" s="6"/>
      <c r="E352" s="9"/>
      <c r="F352" s="9"/>
      <c r="G352" s="9"/>
      <c r="H352" s="223"/>
      <c r="I352" s="224"/>
      <c r="J352" s="224"/>
      <c r="K352" s="223"/>
      <c r="L352" s="9"/>
      <c r="M352" s="9"/>
      <c r="N352" s="9"/>
      <c r="O352" s="9"/>
      <c r="P352" s="9"/>
      <c r="Q352" s="9"/>
      <c r="R352" t="s">
        <v>936</v>
      </c>
    </row>
    <row r="353" spans="1:18" x14ac:dyDescent="0.35">
      <c r="A353" s="6">
        <v>4</v>
      </c>
      <c r="B353" s="11" t="s">
        <v>537</v>
      </c>
      <c r="C353" s="6">
        <v>1</v>
      </c>
      <c r="D353" s="6" t="s">
        <v>0</v>
      </c>
      <c r="E353" s="9">
        <v>898</v>
      </c>
      <c r="F353" s="9">
        <v>329</v>
      </c>
      <c r="G353" s="9">
        <f>(Table5[[#This Row],[Supply Rate]]+Table5[[#This Row],[Install Rate]])*Table5[[#This Row],[Qty]]</f>
        <v>1227</v>
      </c>
      <c r="H353" s="223">
        <f>Table5[[#This Row],[Supply Rate]]*80%</f>
        <v>718.40000000000009</v>
      </c>
      <c r="I353" s="224"/>
      <c r="J353" s="224">
        <f>IF(Table5[[#This Row],[Material Qty]]=0,0,Table5[[#This Row],[Material Qty]]-Table5[[#This Row],[Cumulative]])</f>
        <v>0</v>
      </c>
      <c r="K353" s="223">
        <f>Table5[[#This Row],[Material Balance Qty]]*Table5[[#This Row],[Material @ Site Rate]]</f>
        <v>0</v>
      </c>
      <c r="L353" s="9"/>
      <c r="M353" s="9">
        <f>Table5[[#This Row],[Cumulative]]-Table5[[#This Row],[Previous Qty]]</f>
        <v>0</v>
      </c>
      <c r="N353" s="9"/>
      <c r="O353" s="9">
        <f>(Table5[[#This Row],[Supply Rate]]+Table5[[#This Row],[Install Rate]])*Table5[[#This Row],[Previous Qty]]</f>
        <v>0</v>
      </c>
      <c r="P353" s="9">
        <f>Table5[[#This Row],[Cumulative Amount]]-Table5[[#This Row],[Previous Amount]]</f>
        <v>0</v>
      </c>
      <c r="Q353" s="9">
        <f>(Table5[[#This Row],[Supply Rate]]+Table5[[#This Row],[Install Rate]])*Table5[[#This Row],[Cumulative]]</f>
        <v>0</v>
      </c>
      <c r="R353" t="s">
        <v>936</v>
      </c>
    </row>
    <row r="354" spans="1:18" x14ac:dyDescent="0.35">
      <c r="A354" s="6"/>
      <c r="B354" s="11" t="s">
        <v>309</v>
      </c>
      <c r="C354" s="6"/>
      <c r="D354" s="6"/>
      <c r="E354" s="9"/>
      <c r="F354" s="9"/>
      <c r="G354" s="9"/>
      <c r="H354" s="223"/>
      <c r="I354" s="224"/>
      <c r="J354" s="224"/>
      <c r="K354" s="223"/>
      <c r="L354" s="9"/>
      <c r="M354" s="9"/>
      <c r="N354" s="9"/>
      <c r="O354" s="9"/>
      <c r="P354" s="9"/>
      <c r="Q354" s="9"/>
      <c r="R354" t="s">
        <v>936</v>
      </c>
    </row>
    <row r="355" spans="1:18" ht="29" x14ac:dyDescent="0.35">
      <c r="A355" s="6"/>
      <c r="B355" s="11" t="s">
        <v>538</v>
      </c>
      <c r="C355" s="6"/>
      <c r="D355" s="6"/>
      <c r="E355" s="9"/>
      <c r="F355" s="9"/>
      <c r="G355" s="9"/>
      <c r="H355" s="223"/>
      <c r="I355" s="224"/>
      <c r="J355" s="224"/>
      <c r="K355" s="223"/>
      <c r="L355" s="9"/>
      <c r="M355" s="9"/>
      <c r="N355" s="9"/>
      <c r="O355" s="9"/>
      <c r="P355" s="9"/>
      <c r="Q355" s="9"/>
      <c r="R355" t="s">
        <v>936</v>
      </c>
    </row>
    <row r="356" spans="1:18" ht="29" x14ac:dyDescent="0.35">
      <c r="A356" s="6">
        <v>7</v>
      </c>
      <c r="B356" s="11" t="s">
        <v>539</v>
      </c>
      <c r="C356" s="6">
        <v>21</v>
      </c>
      <c r="D356" s="6" t="s">
        <v>10</v>
      </c>
      <c r="E356" s="9">
        <v>208</v>
      </c>
      <c r="F356" s="9">
        <v>21</v>
      </c>
      <c r="G356" s="9">
        <f>(Table5[[#This Row],[Supply Rate]]+Table5[[#This Row],[Install Rate]])*Table5[[#This Row],[Qty]]</f>
        <v>4809</v>
      </c>
      <c r="H356" s="223">
        <f>Table5[[#This Row],[Supply Rate]]*80%</f>
        <v>166.4</v>
      </c>
      <c r="I356" s="224"/>
      <c r="J356" s="224">
        <f>IF(Table5[[#This Row],[Material Qty]]=0,0,Table5[[#This Row],[Material Qty]]-Table5[[#This Row],[Cumulative]])</f>
        <v>0</v>
      </c>
      <c r="K356" s="223">
        <f>Table5[[#This Row],[Material Balance Qty]]*Table5[[#This Row],[Material @ Site Rate]]</f>
        <v>0</v>
      </c>
      <c r="L356" s="9"/>
      <c r="M356" s="9">
        <f>Table5[[#This Row],[Cumulative]]-Table5[[#This Row],[Previous Qty]]</f>
        <v>0</v>
      </c>
      <c r="N356" s="9"/>
      <c r="O356" s="9">
        <f>(Table5[[#This Row],[Supply Rate]]+Table5[[#This Row],[Install Rate]])*Table5[[#This Row],[Previous Qty]]</f>
        <v>0</v>
      </c>
      <c r="P356" s="9">
        <f>Table5[[#This Row],[Cumulative Amount]]-Table5[[#This Row],[Previous Amount]]</f>
        <v>0</v>
      </c>
      <c r="Q356" s="9">
        <f>(Table5[[#This Row],[Supply Rate]]+Table5[[#This Row],[Install Rate]])*Table5[[#This Row],[Cumulative]]</f>
        <v>0</v>
      </c>
      <c r="R356" t="s">
        <v>936</v>
      </c>
    </row>
    <row r="357" spans="1:18" ht="29" x14ac:dyDescent="0.35">
      <c r="A357" s="6">
        <v>8</v>
      </c>
      <c r="B357" s="11" t="s">
        <v>540</v>
      </c>
      <c r="C357" s="6">
        <v>21</v>
      </c>
      <c r="D357" s="6" t="s">
        <v>10</v>
      </c>
      <c r="E357" s="9">
        <v>208</v>
      </c>
      <c r="F357" s="9">
        <v>21</v>
      </c>
      <c r="G357" s="9">
        <f>(Table5[[#This Row],[Supply Rate]]+Table5[[#This Row],[Install Rate]])*Table5[[#This Row],[Qty]]</f>
        <v>4809</v>
      </c>
      <c r="H357" s="223">
        <f>Table5[[#This Row],[Supply Rate]]*80%</f>
        <v>166.4</v>
      </c>
      <c r="I357" s="224"/>
      <c r="J357" s="224">
        <f>IF(Table5[[#This Row],[Material Qty]]=0,0,Table5[[#This Row],[Material Qty]]-Table5[[#This Row],[Cumulative]])</f>
        <v>0</v>
      </c>
      <c r="K357" s="223">
        <f>Table5[[#This Row],[Material Balance Qty]]*Table5[[#This Row],[Material @ Site Rate]]</f>
        <v>0</v>
      </c>
      <c r="L357" s="9"/>
      <c r="M357" s="9">
        <f>Table5[[#This Row],[Cumulative]]-Table5[[#This Row],[Previous Qty]]</f>
        <v>0</v>
      </c>
      <c r="N357" s="9"/>
      <c r="O357" s="9">
        <f>(Table5[[#This Row],[Supply Rate]]+Table5[[#This Row],[Install Rate]])*Table5[[#This Row],[Previous Qty]]</f>
        <v>0</v>
      </c>
      <c r="P357" s="9">
        <f>Table5[[#This Row],[Cumulative Amount]]-Table5[[#This Row],[Previous Amount]]</f>
        <v>0</v>
      </c>
      <c r="Q357" s="9">
        <f>(Table5[[#This Row],[Supply Rate]]+Table5[[#This Row],[Install Rate]])*Table5[[#This Row],[Cumulative]]</f>
        <v>0</v>
      </c>
      <c r="R357" t="s">
        <v>936</v>
      </c>
    </row>
    <row r="358" spans="1:18" x14ac:dyDescent="0.35">
      <c r="A358" s="6"/>
      <c r="B358" s="11" t="s">
        <v>351</v>
      </c>
      <c r="C358" s="6"/>
      <c r="D358" s="6"/>
      <c r="E358" s="9"/>
      <c r="F358" s="9"/>
      <c r="G358" s="9"/>
      <c r="H358" s="223"/>
      <c r="I358" s="224"/>
      <c r="J358" s="224"/>
      <c r="K358" s="223"/>
      <c r="L358" s="9"/>
      <c r="M358" s="9"/>
      <c r="N358" s="9"/>
      <c r="O358" s="9"/>
      <c r="P358" s="9"/>
      <c r="Q358" s="9"/>
      <c r="R358" t="s">
        <v>936</v>
      </c>
    </row>
    <row r="359" spans="1:18" ht="87" x14ac:dyDescent="0.35">
      <c r="A359" s="6"/>
      <c r="B359" s="11" t="s">
        <v>541</v>
      </c>
      <c r="C359" s="6"/>
      <c r="D359" s="6"/>
      <c r="E359" s="9"/>
      <c r="F359" s="9"/>
      <c r="G359" s="9"/>
      <c r="H359" s="223"/>
      <c r="I359" s="224"/>
      <c r="J359" s="224"/>
      <c r="K359" s="223"/>
      <c r="L359" s="9"/>
      <c r="M359" s="9"/>
      <c r="N359" s="9"/>
      <c r="O359" s="9"/>
      <c r="P359" s="9"/>
      <c r="Q359" s="9"/>
      <c r="R359" t="s">
        <v>936</v>
      </c>
    </row>
    <row r="360" spans="1:18" ht="43.5" x14ac:dyDescent="0.35">
      <c r="A360" s="6">
        <v>11</v>
      </c>
      <c r="B360" s="11" t="s">
        <v>542</v>
      </c>
      <c r="C360" s="6">
        <v>22</v>
      </c>
      <c r="D360" s="6" t="s">
        <v>10</v>
      </c>
      <c r="E360" s="9">
        <v>56</v>
      </c>
      <c r="F360" s="9">
        <v>23</v>
      </c>
      <c r="G360" s="9">
        <f>(Table5[[#This Row],[Supply Rate]]+Table5[[#This Row],[Install Rate]])*Table5[[#This Row],[Qty]]</f>
        <v>1738</v>
      </c>
      <c r="H360" s="223">
        <f>Table5[[#This Row],[Supply Rate]]*80%</f>
        <v>44.800000000000004</v>
      </c>
      <c r="I360" s="224"/>
      <c r="J360" s="224">
        <f>IF(Table5[[#This Row],[Material Qty]]=0,0,Table5[[#This Row],[Material Qty]]-Table5[[#This Row],[Cumulative]])</f>
        <v>0</v>
      </c>
      <c r="K360" s="223">
        <f>Table5[[#This Row],[Material Balance Qty]]*Table5[[#This Row],[Material @ Site Rate]]</f>
        <v>0</v>
      </c>
      <c r="L360" s="9"/>
      <c r="M360" s="9">
        <f>Table5[[#This Row],[Cumulative]]-Table5[[#This Row],[Previous Qty]]</f>
        <v>0</v>
      </c>
      <c r="N360" s="9"/>
      <c r="O360" s="9">
        <f>(Table5[[#This Row],[Supply Rate]]+Table5[[#This Row],[Install Rate]])*Table5[[#This Row],[Previous Qty]]</f>
        <v>0</v>
      </c>
      <c r="P360" s="9">
        <f>Table5[[#This Row],[Cumulative Amount]]-Table5[[#This Row],[Previous Amount]]</f>
        <v>0</v>
      </c>
      <c r="Q360" s="9">
        <f>(Table5[[#This Row],[Supply Rate]]+Table5[[#This Row],[Install Rate]])*Table5[[#This Row],[Cumulative]]</f>
        <v>0</v>
      </c>
      <c r="R360" t="s">
        <v>936</v>
      </c>
    </row>
    <row r="361" spans="1:18" ht="29" x14ac:dyDescent="0.35">
      <c r="A361" s="6">
        <v>12</v>
      </c>
      <c r="B361" s="11" t="s">
        <v>543</v>
      </c>
      <c r="C361" s="6">
        <v>120</v>
      </c>
      <c r="D361" s="6" t="s">
        <v>10</v>
      </c>
      <c r="E361" s="9">
        <v>56</v>
      </c>
      <c r="F361" s="9">
        <v>23</v>
      </c>
      <c r="G361" s="9">
        <f>(Table5[[#This Row],[Supply Rate]]+Table5[[#This Row],[Install Rate]])*Table5[[#This Row],[Qty]]</f>
        <v>9480</v>
      </c>
      <c r="H361" s="223">
        <f>Table5[[#This Row],[Supply Rate]]*80%</f>
        <v>44.800000000000004</v>
      </c>
      <c r="I361" s="224"/>
      <c r="J361" s="224">
        <f>IF(Table5[[#This Row],[Material Qty]]=0,0,Table5[[#This Row],[Material Qty]]-Table5[[#This Row],[Cumulative]])</f>
        <v>0</v>
      </c>
      <c r="K361" s="223">
        <f>Table5[[#This Row],[Material Balance Qty]]*Table5[[#This Row],[Material @ Site Rate]]</f>
        <v>0</v>
      </c>
      <c r="L361" s="9"/>
      <c r="M361" s="9">
        <f>Table5[[#This Row],[Cumulative]]-Table5[[#This Row],[Previous Qty]]</f>
        <v>0</v>
      </c>
      <c r="N361" s="9"/>
      <c r="O361" s="9">
        <f>(Table5[[#This Row],[Supply Rate]]+Table5[[#This Row],[Install Rate]])*Table5[[#This Row],[Previous Qty]]</f>
        <v>0</v>
      </c>
      <c r="P361" s="9">
        <f>Table5[[#This Row],[Cumulative Amount]]-Table5[[#This Row],[Previous Amount]]</f>
        <v>0</v>
      </c>
      <c r="Q361" s="9">
        <f>(Table5[[#This Row],[Supply Rate]]+Table5[[#This Row],[Install Rate]])*Table5[[#This Row],[Cumulative]]</f>
        <v>0</v>
      </c>
      <c r="R361" t="s">
        <v>936</v>
      </c>
    </row>
    <row r="362" spans="1:18" x14ac:dyDescent="0.35">
      <c r="A362" s="6"/>
      <c r="B362" s="11" t="s">
        <v>524</v>
      </c>
      <c r="C362" s="6"/>
      <c r="D362" s="6"/>
      <c r="E362" s="9"/>
      <c r="F362" s="9"/>
      <c r="G362" s="9"/>
      <c r="H362" s="223"/>
      <c r="I362" s="224"/>
      <c r="J362" s="224"/>
      <c r="K362" s="223"/>
      <c r="L362" s="9"/>
      <c r="M362" s="9"/>
      <c r="N362" s="9"/>
      <c r="O362" s="9"/>
      <c r="P362" s="9"/>
      <c r="Q362" s="9"/>
      <c r="R362" t="s">
        <v>936</v>
      </c>
    </row>
    <row r="363" spans="1:18" x14ac:dyDescent="0.35">
      <c r="A363" s="6"/>
      <c r="B363" s="11" t="s">
        <v>289</v>
      </c>
      <c r="C363" s="6"/>
      <c r="D363" s="6"/>
      <c r="E363" s="9"/>
      <c r="F363" s="9"/>
      <c r="G363" s="9"/>
      <c r="H363" s="223"/>
      <c r="I363" s="224"/>
      <c r="J363" s="224"/>
      <c r="K363" s="223"/>
      <c r="L363" s="9"/>
      <c r="M363" s="9"/>
      <c r="N363" s="9"/>
      <c r="O363" s="9"/>
      <c r="P363" s="9"/>
      <c r="Q363" s="9"/>
      <c r="R363" t="s">
        <v>936</v>
      </c>
    </row>
    <row r="364" spans="1:18" ht="72.5" x14ac:dyDescent="0.35">
      <c r="A364" s="6"/>
      <c r="B364" s="11" t="s">
        <v>544</v>
      </c>
      <c r="C364" s="6"/>
      <c r="D364" s="6"/>
      <c r="E364" s="9"/>
      <c r="F364" s="9"/>
      <c r="G364" s="9"/>
      <c r="H364" s="223"/>
      <c r="I364" s="224"/>
      <c r="J364" s="224"/>
      <c r="K364" s="223"/>
      <c r="L364" s="9"/>
      <c r="M364" s="9"/>
      <c r="N364" s="9"/>
      <c r="O364" s="9"/>
      <c r="P364" s="9"/>
      <c r="Q364" s="9"/>
      <c r="R364" t="s">
        <v>936</v>
      </c>
    </row>
    <row r="365" spans="1:18" ht="29" x14ac:dyDescent="0.35">
      <c r="A365" s="6">
        <v>1</v>
      </c>
      <c r="B365" s="11" t="s">
        <v>545</v>
      </c>
      <c r="C365" s="6">
        <v>17</v>
      </c>
      <c r="D365" s="6" t="s">
        <v>17</v>
      </c>
      <c r="E365" s="9">
        <v>542</v>
      </c>
      <c r="F365" s="9">
        <v>226</v>
      </c>
      <c r="G365" s="9">
        <f>(Table5[[#This Row],[Supply Rate]]+Table5[[#This Row],[Install Rate]])*Table5[[#This Row],[Qty]]</f>
        <v>13056</v>
      </c>
      <c r="H365" s="223">
        <f>Table5[[#This Row],[Supply Rate]]*80%</f>
        <v>433.6</v>
      </c>
      <c r="I365" s="224"/>
      <c r="J365" s="224">
        <f>IF(Table5[[#This Row],[Material Qty]]=0,0,Table5[[#This Row],[Material Qty]]-Table5[[#This Row],[Cumulative]])</f>
        <v>0</v>
      </c>
      <c r="K365" s="223">
        <f>Table5[[#This Row],[Material Balance Qty]]*Table5[[#This Row],[Material @ Site Rate]]</f>
        <v>0</v>
      </c>
      <c r="L365" s="9"/>
      <c r="M365" s="9">
        <f>Table5[[#This Row],[Cumulative]]-Table5[[#This Row],[Previous Qty]]</f>
        <v>0</v>
      </c>
      <c r="N365" s="9"/>
      <c r="O365" s="9">
        <f>(Table5[[#This Row],[Supply Rate]]+Table5[[#This Row],[Install Rate]])*Table5[[#This Row],[Previous Qty]]</f>
        <v>0</v>
      </c>
      <c r="P365" s="9">
        <f>Table5[[#This Row],[Cumulative Amount]]-Table5[[#This Row],[Previous Amount]]</f>
        <v>0</v>
      </c>
      <c r="Q365" s="9">
        <f>(Table5[[#This Row],[Supply Rate]]+Table5[[#This Row],[Install Rate]])*Table5[[#This Row],[Cumulative]]</f>
        <v>0</v>
      </c>
      <c r="R365" t="s">
        <v>936</v>
      </c>
    </row>
    <row r="366" spans="1:18" s="198" customFormat="1" x14ac:dyDescent="0.35">
      <c r="A366" s="201" t="s">
        <v>546</v>
      </c>
      <c r="B366" s="202"/>
      <c r="C366" s="203"/>
      <c r="D366" s="203"/>
      <c r="E366" s="204"/>
      <c r="F366" s="204"/>
      <c r="G366" s="204"/>
      <c r="H366" s="223"/>
      <c r="I366" s="224"/>
      <c r="J366" s="224"/>
      <c r="K366" s="223"/>
      <c r="L366" s="204"/>
      <c r="M366" s="204"/>
      <c r="N366" s="204"/>
      <c r="O366" s="204"/>
      <c r="P366" s="204"/>
      <c r="Q366" s="204"/>
      <c r="R366" t="s">
        <v>936</v>
      </c>
    </row>
    <row r="367" spans="1:18" x14ac:dyDescent="0.35">
      <c r="A367" s="6"/>
      <c r="B367" s="7" t="s">
        <v>547</v>
      </c>
      <c r="C367" s="6"/>
      <c r="D367" s="6"/>
      <c r="E367" s="9"/>
      <c r="F367" s="9"/>
      <c r="G367" s="9"/>
      <c r="H367" s="223"/>
      <c r="I367" s="224"/>
      <c r="J367" s="224"/>
      <c r="K367" s="223"/>
      <c r="L367" s="9"/>
      <c r="M367" s="9"/>
      <c r="N367" s="9"/>
      <c r="O367" s="9"/>
      <c r="P367" s="9"/>
      <c r="Q367" s="9"/>
      <c r="R367" t="s">
        <v>936</v>
      </c>
    </row>
    <row r="368" spans="1:18" x14ac:dyDescent="0.35">
      <c r="A368" s="6"/>
      <c r="B368" s="11" t="s">
        <v>548</v>
      </c>
      <c r="C368" s="6"/>
      <c r="D368" s="6"/>
      <c r="E368" s="9"/>
      <c r="F368" s="9"/>
      <c r="G368" s="9"/>
      <c r="H368" s="223"/>
      <c r="I368" s="224"/>
      <c r="J368" s="224"/>
      <c r="K368" s="223"/>
      <c r="L368" s="9"/>
      <c r="M368" s="9"/>
      <c r="N368" s="9"/>
      <c r="O368" s="9"/>
      <c r="P368" s="9"/>
      <c r="Q368" s="9"/>
      <c r="R368" t="s">
        <v>936</v>
      </c>
    </row>
    <row r="369" spans="1:18" ht="87" x14ac:dyDescent="0.35">
      <c r="A369" s="6"/>
      <c r="B369" s="11" t="s">
        <v>549</v>
      </c>
      <c r="C369" s="6"/>
      <c r="D369" s="6"/>
      <c r="E369" s="9"/>
      <c r="F369" s="9"/>
      <c r="G369" s="9"/>
      <c r="H369" s="223"/>
      <c r="I369" s="224"/>
      <c r="J369" s="224"/>
      <c r="K369" s="223"/>
      <c r="L369" s="9"/>
      <c r="M369" s="9"/>
      <c r="N369" s="9"/>
      <c r="O369" s="9"/>
      <c r="P369" s="9"/>
      <c r="Q369" s="9"/>
      <c r="R369" t="s">
        <v>936</v>
      </c>
    </row>
    <row r="370" spans="1:18" x14ac:dyDescent="0.35">
      <c r="A370" s="6"/>
      <c r="B370" s="11" t="s">
        <v>550</v>
      </c>
      <c r="C370" s="6"/>
      <c r="D370" s="6"/>
      <c r="E370" s="9"/>
      <c r="F370" s="9"/>
      <c r="G370" s="9"/>
      <c r="H370" s="223"/>
      <c r="I370" s="224"/>
      <c r="J370" s="224"/>
      <c r="K370" s="223"/>
      <c r="L370" s="9"/>
      <c r="M370" s="9"/>
      <c r="N370" s="9"/>
      <c r="O370" s="9"/>
      <c r="P370" s="9"/>
      <c r="Q370" s="9"/>
      <c r="R370" t="s">
        <v>936</v>
      </c>
    </row>
    <row r="371" spans="1:18" x14ac:dyDescent="0.35">
      <c r="A371" s="6"/>
      <c r="B371" s="11" t="s">
        <v>551</v>
      </c>
      <c r="C371" s="6"/>
      <c r="D371" s="6"/>
      <c r="E371" s="9"/>
      <c r="F371" s="9"/>
      <c r="G371" s="9"/>
      <c r="H371" s="223"/>
      <c r="I371" s="224"/>
      <c r="J371" s="224"/>
      <c r="K371" s="223"/>
      <c r="L371" s="9"/>
      <c r="M371" s="9"/>
      <c r="N371" s="9"/>
      <c r="O371" s="9"/>
      <c r="P371" s="9"/>
      <c r="Q371" s="9"/>
      <c r="R371" t="s">
        <v>936</v>
      </c>
    </row>
    <row r="372" spans="1:18" x14ac:dyDescent="0.35">
      <c r="A372" s="6" t="s">
        <v>292</v>
      </c>
      <c r="B372" s="11" t="s">
        <v>552</v>
      </c>
      <c r="C372" s="6">
        <v>138</v>
      </c>
      <c r="D372" s="6" t="s">
        <v>17</v>
      </c>
      <c r="E372" s="9">
        <v>305</v>
      </c>
      <c r="F372" s="9">
        <v>202</v>
      </c>
      <c r="G372" s="9">
        <f>(Table5[[#This Row],[Supply Rate]]+Table5[[#This Row],[Install Rate]])*Table5[[#This Row],[Qty]]</f>
        <v>69966</v>
      </c>
      <c r="H372" s="223">
        <f>Table5[[#This Row],[Supply Rate]]*80%</f>
        <v>244</v>
      </c>
      <c r="I372" s="224"/>
      <c r="J372" s="224">
        <f>IF(Table5[[#This Row],[Material Qty]]=0,0,Table5[[#This Row],[Material Qty]]-Table5[[#This Row],[Cumulative]])</f>
        <v>0</v>
      </c>
      <c r="K372" s="223">
        <f>Table5[[#This Row],[Material Balance Qty]]*Table5[[#This Row],[Material @ Site Rate]]</f>
        <v>0</v>
      </c>
      <c r="L372" s="9">
        <v>100</v>
      </c>
      <c r="M372" s="9">
        <f>Table5[[#This Row],[Cumulative]]-Table5[[#This Row],[Previous Qty]]</f>
        <v>10.400000000000006</v>
      </c>
      <c r="N372" s="9">
        <f>138*0.8</f>
        <v>110.4</v>
      </c>
      <c r="O372" s="9">
        <f>(Table5[[#This Row],[Supply Rate]]+Table5[[#This Row],[Install Rate]])*Table5[[#This Row],[Previous Qty]]</f>
        <v>50700</v>
      </c>
      <c r="P372" s="9">
        <f>Table5[[#This Row],[Cumulative Amount]]-Table5[[#This Row],[Previous Amount]]</f>
        <v>5272.8000000000029</v>
      </c>
      <c r="Q372" s="9">
        <f>(Table5[[#This Row],[Supply Rate]]+Table5[[#This Row],[Install Rate]])*Table5[[#This Row],[Cumulative]]</f>
        <v>55972.800000000003</v>
      </c>
      <c r="R372" t="s">
        <v>936</v>
      </c>
    </row>
    <row r="373" spans="1:18" ht="29" x14ac:dyDescent="0.35">
      <c r="A373" s="6"/>
      <c r="B373" s="11" t="s">
        <v>553</v>
      </c>
      <c r="C373" s="6"/>
      <c r="D373" s="6"/>
      <c r="E373" s="9"/>
      <c r="F373" s="9"/>
      <c r="G373" s="9"/>
      <c r="H373" s="223"/>
      <c r="I373" s="224"/>
      <c r="J373" s="224"/>
      <c r="K373" s="223"/>
      <c r="L373" s="9"/>
      <c r="M373" s="9"/>
      <c r="N373" s="9"/>
      <c r="O373" s="9"/>
      <c r="P373" s="9"/>
      <c r="Q373" s="9"/>
      <c r="R373" t="s">
        <v>936</v>
      </c>
    </row>
    <row r="374" spans="1:18" x14ac:dyDescent="0.35">
      <c r="A374" s="6" t="s">
        <v>294</v>
      </c>
      <c r="B374" s="11" t="s">
        <v>554</v>
      </c>
      <c r="C374" s="6">
        <v>307.64999999999998</v>
      </c>
      <c r="D374" s="6" t="s">
        <v>17</v>
      </c>
      <c r="E374" s="9">
        <v>305</v>
      </c>
      <c r="F374" s="9">
        <v>202</v>
      </c>
      <c r="G374" s="9">
        <f>(Table5[[#This Row],[Supply Rate]]+Table5[[#This Row],[Install Rate]])*Table5[[#This Row],[Qty]]</f>
        <v>155978.54999999999</v>
      </c>
      <c r="H374" s="223">
        <f>Table5[[#This Row],[Supply Rate]]*80%</f>
        <v>244</v>
      </c>
      <c r="I374" s="224"/>
      <c r="J374" s="224">
        <f>IF(Table5[[#This Row],[Material Qty]]=0,0,Table5[[#This Row],[Material Qty]]-Table5[[#This Row],[Cumulative]])</f>
        <v>0</v>
      </c>
      <c r="K374" s="223">
        <f>Table5[[#This Row],[Material Balance Qty]]*Table5[[#This Row],[Material @ Site Rate]]</f>
        <v>0</v>
      </c>
      <c r="L374" s="9">
        <v>307.64999999999998</v>
      </c>
      <c r="M374" s="9">
        <f>Table5[[#This Row],[Cumulative]]-Table5[[#This Row],[Previous Qty]]</f>
        <v>0</v>
      </c>
      <c r="N374" s="9">
        <v>307.64999999999998</v>
      </c>
      <c r="O374" s="9">
        <f>(Table5[[#This Row],[Supply Rate]]+Table5[[#This Row],[Install Rate]])*Table5[[#This Row],[Previous Qty]]</f>
        <v>155978.54999999999</v>
      </c>
      <c r="P374" s="9">
        <f>Table5[[#This Row],[Cumulative Amount]]-Table5[[#This Row],[Previous Amount]]</f>
        <v>0</v>
      </c>
      <c r="Q374" s="9">
        <f>(Table5[[#This Row],[Supply Rate]]+Table5[[#This Row],[Install Rate]])*Table5[[#This Row],[Cumulative]]</f>
        <v>155978.54999999999</v>
      </c>
      <c r="R374" t="s">
        <v>936</v>
      </c>
    </row>
    <row r="375" spans="1:18" x14ac:dyDescent="0.35">
      <c r="A375" s="6"/>
      <c r="B375" s="11" t="s">
        <v>555</v>
      </c>
      <c r="C375" s="6"/>
      <c r="D375" s="6"/>
      <c r="E375" s="9"/>
      <c r="F375" s="9"/>
      <c r="G375" s="9"/>
      <c r="H375" s="223"/>
      <c r="I375" s="224"/>
      <c r="J375" s="224"/>
      <c r="K375" s="223"/>
      <c r="L375" s="9"/>
      <c r="M375" s="9"/>
      <c r="N375" s="9"/>
      <c r="O375" s="9"/>
      <c r="P375" s="9"/>
      <c r="Q375" s="9"/>
      <c r="R375" t="s">
        <v>936</v>
      </c>
    </row>
    <row r="376" spans="1:18" x14ac:dyDescent="0.35">
      <c r="A376" s="6" t="s">
        <v>297</v>
      </c>
      <c r="B376" s="11" t="s">
        <v>554</v>
      </c>
      <c r="C376" s="6">
        <v>21</v>
      </c>
      <c r="D376" s="6" t="s">
        <v>17</v>
      </c>
      <c r="E376" s="9">
        <v>305</v>
      </c>
      <c r="F376" s="9">
        <v>202</v>
      </c>
      <c r="G376" s="9">
        <f>(Table5[[#This Row],[Supply Rate]]+Table5[[#This Row],[Install Rate]])*Table5[[#This Row],[Qty]]</f>
        <v>10647</v>
      </c>
      <c r="H376" s="223">
        <f>Table5[[#This Row],[Supply Rate]]*80%</f>
        <v>244</v>
      </c>
      <c r="I376" s="224"/>
      <c r="J376" s="224">
        <f>IF(Table5[[#This Row],[Material Qty]]=0,0,Table5[[#This Row],[Material Qty]]-Table5[[#This Row],[Cumulative]])</f>
        <v>0</v>
      </c>
      <c r="K376" s="223">
        <f>Table5[[#This Row],[Material Balance Qty]]*Table5[[#This Row],[Material @ Site Rate]]</f>
        <v>0</v>
      </c>
      <c r="L376" s="9">
        <v>21</v>
      </c>
      <c r="M376" s="9">
        <f>Table5[[#This Row],[Cumulative]]-Table5[[#This Row],[Previous Qty]]</f>
        <v>0</v>
      </c>
      <c r="N376" s="9">
        <v>21</v>
      </c>
      <c r="O376" s="9">
        <f>(Table5[[#This Row],[Supply Rate]]+Table5[[#This Row],[Install Rate]])*Table5[[#This Row],[Previous Qty]]</f>
        <v>10647</v>
      </c>
      <c r="P376" s="9">
        <f>Table5[[#This Row],[Cumulative Amount]]-Table5[[#This Row],[Previous Amount]]</f>
        <v>0</v>
      </c>
      <c r="Q376" s="9">
        <f>(Table5[[#This Row],[Supply Rate]]+Table5[[#This Row],[Install Rate]])*Table5[[#This Row],[Cumulative]]</f>
        <v>10647</v>
      </c>
      <c r="R376" t="s">
        <v>936</v>
      </c>
    </row>
    <row r="377" spans="1:18" x14ac:dyDescent="0.35">
      <c r="A377" s="6"/>
      <c r="B377" s="11" t="s">
        <v>556</v>
      </c>
      <c r="C377" s="6"/>
      <c r="D377" s="6"/>
      <c r="E377" s="9"/>
      <c r="F377" s="9"/>
      <c r="G377" s="9"/>
      <c r="H377" s="223"/>
      <c r="I377" s="224"/>
      <c r="J377" s="224"/>
      <c r="K377" s="223"/>
      <c r="L377" s="9"/>
      <c r="M377" s="9"/>
      <c r="N377" s="9"/>
      <c r="O377" s="9"/>
      <c r="P377" s="9"/>
      <c r="Q377" s="9"/>
      <c r="R377" t="s">
        <v>936</v>
      </c>
    </row>
    <row r="378" spans="1:18" x14ac:dyDescent="0.35">
      <c r="A378" s="6" t="s">
        <v>300</v>
      </c>
      <c r="B378" s="11" t="s">
        <v>557</v>
      </c>
      <c r="C378" s="6">
        <v>54</v>
      </c>
      <c r="D378" s="6" t="s">
        <v>17</v>
      </c>
      <c r="E378" s="9">
        <v>301</v>
      </c>
      <c r="F378" s="9">
        <v>215</v>
      </c>
      <c r="G378" s="9">
        <f>(Table5[[#This Row],[Supply Rate]]+Table5[[#This Row],[Install Rate]])*Table5[[#This Row],[Qty]]</f>
        <v>27864</v>
      </c>
      <c r="H378" s="223">
        <f>Table5[[#This Row],[Supply Rate]]*80%</f>
        <v>240.8</v>
      </c>
      <c r="I378" s="224"/>
      <c r="J378" s="224">
        <f>IF(Table5[[#This Row],[Material Qty]]=0,0,Table5[[#This Row],[Material Qty]]-Table5[[#This Row],[Cumulative]])</f>
        <v>0</v>
      </c>
      <c r="K378" s="223">
        <f>Table5[[#This Row],[Material Balance Qty]]*Table5[[#This Row],[Material @ Site Rate]]</f>
        <v>0</v>
      </c>
      <c r="L378" s="9">
        <v>54</v>
      </c>
      <c r="M378" s="9">
        <f>Table5[[#This Row],[Cumulative]]-Table5[[#This Row],[Previous Qty]]</f>
        <v>0</v>
      </c>
      <c r="N378" s="9">
        <v>54</v>
      </c>
      <c r="O378" s="9">
        <f>(Table5[[#This Row],[Supply Rate]]+Table5[[#This Row],[Install Rate]])*Table5[[#This Row],[Previous Qty]]</f>
        <v>27864</v>
      </c>
      <c r="P378" s="9">
        <f>Table5[[#This Row],[Cumulative Amount]]-Table5[[#This Row],[Previous Amount]]</f>
        <v>0</v>
      </c>
      <c r="Q378" s="9">
        <f>(Table5[[#This Row],[Supply Rate]]+Table5[[#This Row],[Install Rate]])*Table5[[#This Row],[Cumulative]]</f>
        <v>27864</v>
      </c>
      <c r="R378" t="s">
        <v>936</v>
      </c>
    </row>
    <row r="379" spans="1:18" ht="29" x14ac:dyDescent="0.35">
      <c r="A379" s="6" t="s">
        <v>300</v>
      </c>
      <c r="B379" s="11" t="s">
        <v>558</v>
      </c>
      <c r="C379" s="6">
        <v>61.33</v>
      </c>
      <c r="D379" s="6" t="s">
        <v>10</v>
      </c>
      <c r="E379" s="9">
        <v>206</v>
      </c>
      <c r="F379" s="9">
        <v>20</v>
      </c>
      <c r="G379" s="9">
        <f>(Table5[[#This Row],[Supply Rate]]+Table5[[#This Row],[Install Rate]])*Table5[[#This Row],[Qty]]</f>
        <v>13860.58</v>
      </c>
      <c r="H379" s="223">
        <f>Table5[[#This Row],[Supply Rate]]*80%</f>
        <v>164.8</v>
      </c>
      <c r="I379" s="224"/>
      <c r="J379" s="224">
        <f>IF(Table5[[#This Row],[Material Qty]]=0,0,Table5[[#This Row],[Material Qty]]-Table5[[#This Row],[Cumulative]])</f>
        <v>0</v>
      </c>
      <c r="K379" s="223">
        <f>Table5[[#This Row],[Material Balance Qty]]*Table5[[#This Row],[Material @ Site Rate]]</f>
        <v>0</v>
      </c>
      <c r="L379" s="9"/>
      <c r="M379" s="9">
        <f>Table5[[#This Row],[Cumulative]]-Table5[[#This Row],[Previous Qty]]</f>
        <v>0</v>
      </c>
      <c r="N379" s="9"/>
      <c r="O379" s="9">
        <f>(Table5[[#This Row],[Supply Rate]]+Table5[[#This Row],[Install Rate]])*Table5[[#This Row],[Previous Qty]]</f>
        <v>0</v>
      </c>
      <c r="P379" s="9">
        <f>Table5[[#This Row],[Cumulative Amount]]-Table5[[#This Row],[Previous Amount]]</f>
        <v>0</v>
      </c>
      <c r="Q379" s="9">
        <f>(Table5[[#This Row],[Supply Rate]]+Table5[[#This Row],[Install Rate]])*Table5[[#This Row],[Cumulative]]</f>
        <v>0</v>
      </c>
      <c r="R379" t="s">
        <v>936</v>
      </c>
    </row>
    <row r="380" spans="1:18" x14ac:dyDescent="0.35">
      <c r="A380" s="6"/>
      <c r="B380" s="11" t="s">
        <v>559</v>
      </c>
      <c r="C380" s="6"/>
      <c r="D380" s="6"/>
      <c r="E380" s="9"/>
      <c r="F380" s="9"/>
      <c r="G380" s="9"/>
      <c r="H380" s="223"/>
      <c r="I380" s="224"/>
      <c r="J380" s="224"/>
      <c r="K380" s="223"/>
      <c r="L380" s="9"/>
      <c r="M380" s="9"/>
      <c r="N380" s="9"/>
      <c r="O380" s="9"/>
      <c r="P380" s="9"/>
      <c r="Q380" s="9"/>
      <c r="R380" t="s">
        <v>936</v>
      </c>
    </row>
    <row r="381" spans="1:18" x14ac:dyDescent="0.35">
      <c r="A381" s="6" t="s">
        <v>303</v>
      </c>
      <c r="B381" s="11" t="s">
        <v>557</v>
      </c>
      <c r="C381" s="6">
        <v>61.49</v>
      </c>
      <c r="D381" s="6" t="s">
        <v>17</v>
      </c>
      <c r="E381" s="9">
        <v>317</v>
      </c>
      <c r="F381" s="9">
        <v>175</v>
      </c>
      <c r="G381" s="9">
        <f>(Table5[[#This Row],[Supply Rate]]+Table5[[#This Row],[Install Rate]])*Table5[[#This Row],[Qty]]</f>
        <v>30253.08</v>
      </c>
      <c r="H381" s="223">
        <f>Table5[[#This Row],[Supply Rate]]*80%</f>
        <v>253.60000000000002</v>
      </c>
      <c r="I381" s="224"/>
      <c r="J381" s="224">
        <f>IF(Table5[[#This Row],[Material Qty]]=0,0,Table5[[#This Row],[Material Qty]]-Table5[[#This Row],[Cumulative]])</f>
        <v>0</v>
      </c>
      <c r="K381" s="223">
        <f>Table5[[#This Row],[Material Balance Qty]]*Table5[[#This Row],[Material @ Site Rate]]</f>
        <v>0</v>
      </c>
      <c r="L381" s="9">
        <v>61.49</v>
      </c>
      <c r="M381" s="9">
        <f>Table5[[#This Row],[Cumulative]]-Table5[[#This Row],[Previous Qty]]</f>
        <v>0</v>
      </c>
      <c r="N381" s="9">
        <v>61.49</v>
      </c>
      <c r="O381" s="9">
        <f>(Table5[[#This Row],[Supply Rate]]+Table5[[#This Row],[Install Rate]])*Table5[[#This Row],[Previous Qty]]</f>
        <v>30253.08</v>
      </c>
      <c r="P381" s="9">
        <f>Table5[[#This Row],[Cumulative Amount]]-Table5[[#This Row],[Previous Amount]]</f>
        <v>0</v>
      </c>
      <c r="Q381" s="9">
        <f>(Table5[[#This Row],[Supply Rate]]+Table5[[#This Row],[Install Rate]])*Table5[[#This Row],[Cumulative]]</f>
        <v>30253.08</v>
      </c>
      <c r="R381" t="s">
        <v>936</v>
      </c>
    </row>
    <row r="382" spans="1:18" ht="29" x14ac:dyDescent="0.35">
      <c r="A382" s="6" t="s">
        <v>300</v>
      </c>
      <c r="B382" s="11" t="s">
        <v>558</v>
      </c>
      <c r="C382" s="6">
        <v>60</v>
      </c>
      <c r="D382" s="6" t="s">
        <v>10</v>
      </c>
      <c r="E382" s="9">
        <v>206</v>
      </c>
      <c r="F382" s="9">
        <v>20</v>
      </c>
      <c r="G382" s="9">
        <f>(Table5[[#This Row],[Supply Rate]]+Table5[[#This Row],[Install Rate]])*Table5[[#This Row],[Qty]]</f>
        <v>13560</v>
      </c>
      <c r="H382" s="223">
        <f>Table5[[#This Row],[Supply Rate]]*80%</f>
        <v>164.8</v>
      </c>
      <c r="I382" s="224"/>
      <c r="J382" s="224">
        <f>IF(Table5[[#This Row],[Material Qty]]=0,0,Table5[[#This Row],[Material Qty]]-Table5[[#This Row],[Cumulative]])</f>
        <v>0</v>
      </c>
      <c r="K382" s="223">
        <f>Table5[[#This Row],[Material Balance Qty]]*Table5[[#This Row],[Material @ Site Rate]]</f>
        <v>0</v>
      </c>
      <c r="L382" s="9"/>
      <c r="M382" s="9">
        <f>Table5[[#This Row],[Cumulative]]-Table5[[#This Row],[Previous Qty]]</f>
        <v>0</v>
      </c>
      <c r="N382" s="9"/>
      <c r="O382" s="9">
        <f>(Table5[[#This Row],[Supply Rate]]+Table5[[#This Row],[Install Rate]])*Table5[[#This Row],[Previous Qty]]</f>
        <v>0</v>
      </c>
      <c r="P382" s="9">
        <f>Table5[[#This Row],[Cumulative Amount]]-Table5[[#This Row],[Previous Amount]]</f>
        <v>0</v>
      </c>
      <c r="Q382" s="9">
        <f>(Table5[[#This Row],[Supply Rate]]+Table5[[#This Row],[Install Rate]])*Table5[[#This Row],[Cumulative]]</f>
        <v>0</v>
      </c>
      <c r="R382" t="s">
        <v>936</v>
      </c>
    </row>
    <row r="383" spans="1:18" x14ac:dyDescent="0.35">
      <c r="A383" s="6"/>
      <c r="B383" s="11" t="s">
        <v>501</v>
      </c>
      <c r="C383" s="6"/>
      <c r="D383" s="6"/>
      <c r="E383" s="9"/>
      <c r="F383" s="9"/>
      <c r="G383" s="9"/>
      <c r="H383" s="223"/>
      <c r="I383" s="224"/>
      <c r="J383" s="224"/>
      <c r="K383" s="223"/>
      <c r="L383" s="9"/>
      <c r="M383" s="9"/>
      <c r="N383" s="9"/>
      <c r="O383" s="9"/>
      <c r="P383" s="9"/>
      <c r="Q383" s="9"/>
      <c r="R383" t="s">
        <v>936</v>
      </c>
    </row>
    <row r="384" spans="1:18" ht="72.5" x14ac:dyDescent="0.35">
      <c r="A384" s="6"/>
      <c r="B384" s="11" t="s">
        <v>560</v>
      </c>
      <c r="C384" s="6"/>
      <c r="D384" s="6"/>
      <c r="E384" s="9"/>
      <c r="F384" s="9"/>
      <c r="G384" s="9"/>
      <c r="H384" s="223"/>
      <c r="I384" s="224"/>
      <c r="J384" s="224"/>
      <c r="K384" s="223"/>
      <c r="L384" s="9"/>
      <c r="M384" s="9"/>
      <c r="N384" s="9"/>
      <c r="O384" s="9"/>
      <c r="P384" s="9"/>
      <c r="Q384" s="9"/>
      <c r="R384" t="s">
        <v>936</v>
      </c>
    </row>
    <row r="385" spans="1:18" ht="29" x14ac:dyDescent="0.35">
      <c r="A385" s="6" t="s">
        <v>292</v>
      </c>
      <c r="B385" s="11" t="s">
        <v>561</v>
      </c>
      <c r="C385" s="6">
        <v>10</v>
      </c>
      <c r="D385" s="6" t="s">
        <v>17</v>
      </c>
      <c r="E385" s="9">
        <v>317</v>
      </c>
      <c r="F385" s="9">
        <v>175</v>
      </c>
      <c r="G385" s="9">
        <f>(Table5[[#This Row],[Supply Rate]]+Table5[[#This Row],[Install Rate]])*Table5[[#This Row],[Qty]]</f>
        <v>4920</v>
      </c>
      <c r="H385" s="223">
        <f>Table5[[#This Row],[Supply Rate]]*80%</f>
        <v>253.60000000000002</v>
      </c>
      <c r="I385" s="224"/>
      <c r="J385" s="224">
        <f>IF(Table5[[#This Row],[Material Qty]]=0,0,Table5[[#This Row],[Material Qty]]-Table5[[#This Row],[Cumulative]])</f>
        <v>0</v>
      </c>
      <c r="K385" s="223">
        <f>Table5[[#This Row],[Material Balance Qty]]*Table5[[#This Row],[Material @ Site Rate]]</f>
        <v>0</v>
      </c>
      <c r="L385" s="9"/>
      <c r="M385" s="9">
        <f>Table5[[#This Row],[Cumulative]]-Table5[[#This Row],[Previous Qty]]</f>
        <v>8</v>
      </c>
      <c r="N385" s="9">
        <f>10*0.8</f>
        <v>8</v>
      </c>
      <c r="O385" s="9">
        <f>(Table5[[#This Row],[Supply Rate]]+Table5[[#This Row],[Install Rate]])*Table5[[#This Row],[Previous Qty]]</f>
        <v>0</v>
      </c>
      <c r="P385" s="9">
        <f>Table5[[#This Row],[Cumulative Amount]]-Table5[[#This Row],[Previous Amount]]</f>
        <v>3936</v>
      </c>
      <c r="Q385" s="9">
        <f>(Table5[[#This Row],[Supply Rate]]+Table5[[#This Row],[Install Rate]])*Table5[[#This Row],[Cumulative]]</f>
        <v>3936</v>
      </c>
      <c r="R385" t="s">
        <v>936</v>
      </c>
    </row>
    <row r="386" spans="1:18" ht="29" x14ac:dyDescent="0.35">
      <c r="A386" s="6" t="s">
        <v>294</v>
      </c>
      <c r="B386" s="11" t="s">
        <v>562</v>
      </c>
      <c r="C386" s="6">
        <v>20.79</v>
      </c>
      <c r="D386" s="6" t="s">
        <v>17</v>
      </c>
      <c r="E386" s="9">
        <v>353</v>
      </c>
      <c r="F386" s="9">
        <v>176</v>
      </c>
      <c r="G386" s="9">
        <f>(Table5[[#This Row],[Supply Rate]]+Table5[[#This Row],[Install Rate]])*Table5[[#This Row],[Qty]]</f>
        <v>10997.91</v>
      </c>
      <c r="H386" s="223">
        <f>Table5[[#This Row],[Supply Rate]]*80%</f>
        <v>282.40000000000003</v>
      </c>
      <c r="I386" s="224"/>
      <c r="J386" s="224">
        <f>IF(Table5[[#This Row],[Material Qty]]=0,0,Table5[[#This Row],[Material Qty]]-Table5[[#This Row],[Cumulative]])</f>
        <v>0</v>
      </c>
      <c r="K386" s="223">
        <f>Table5[[#This Row],[Material Balance Qty]]*Table5[[#This Row],[Material @ Site Rate]]</f>
        <v>0</v>
      </c>
      <c r="L386" s="9"/>
      <c r="M386" s="9">
        <f>Table5[[#This Row],[Cumulative]]-Table5[[#This Row],[Previous Qty]]</f>
        <v>0</v>
      </c>
      <c r="N386" s="9"/>
      <c r="O386" s="9">
        <f>(Table5[[#This Row],[Supply Rate]]+Table5[[#This Row],[Install Rate]])*Table5[[#This Row],[Previous Qty]]</f>
        <v>0</v>
      </c>
      <c r="P386" s="9">
        <f>Table5[[#This Row],[Cumulative Amount]]-Table5[[#This Row],[Previous Amount]]</f>
        <v>0</v>
      </c>
      <c r="Q386" s="9">
        <f>(Table5[[#This Row],[Supply Rate]]+Table5[[#This Row],[Install Rate]])*Table5[[#This Row],[Cumulative]]</f>
        <v>0</v>
      </c>
      <c r="R386" t="s">
        <v>936</v>
      </c>
    </row>
    <row r="387" spans="1:18" x14ac:dyDescent="0.35">
      <c r="A387" s="6"/>
      <c r="B387" s="11" t="s">
        <v>563</v>
      </c>
      <c r="C387" s="6"/>
      <c r="D387" s="6"/>
      <c r="E387" s="9"/>
      <c r="F387" s="9"/>
      <c r="G387" s="9"/>
      <c r="H387" s="223"/>
      <c r="I387" s="224"/>
      <c r="J387" s="224"/>
      <c r="K387" s="223"/>
      <c r="L387" s="9"/>
      <c r="M387" s="9"/>
      <c r="N387" s="9"/>
      <c r="O387" s="9"/>
      <c r="P387" s="9"/>
      <c r="Q387" s="9"/>
      <c r="R387" t="s">
        <v>936</v>
      </c>
    </row>
    <row r="388" spans="1:18" ht="29" x14ac:dyDescent="0.35">
      <c r="A388" s="6" t="s">
        <v>297</v>
      </c>
      <c r="B388" s="11" t="s">
        <v>564</v>
      </c>
      <c r="C388" s="6">
        <v>98.38</v>
      </c>
      <c r="D388" s="6" t="s">
        <v>17</v>
      </c>
      <c r="E388" s="9">
        <v>1356</v>
      </c>
      <c r="F388" s="9">
        <v>206</v>
      </c>
      <c r="G388" s="9">
        <f>(Table5[[#This Row],[Supply Rate]]+Table5[[#This Row],[Install Rate]])*Table5[[#This Row],[Qty]]</f>
        <v>153669.56</v>
      </c>
      <c r="H388" s="223">
        <f>Table5[[#This Row],[Supply Rate]]*80%</f>
        <v>1084.8</v>
      </c>
      <c r="I388" s="224"/>
      <c r="J388" s="224">
        <f>IF(Table5[[#This Row],[Material Qty]]=0,0,Table5[[#This Row],[Material Qty]]-Table5[[#This Row],[Cumulative]])</f>
        <v>0</v>
      </c>
      <c r="K388" s="223">
        <f>Table5[[#This Row],[Material Balance Qty]]*Table5[[#This Row],[Material @ Site Rate]]</f>
        <v>0</v>
      </c>
      <c r="L388" s="9">
        <v>98.38</v>
      </c>
      <c r="M388" s="9">
        <f>Table5[[#This Row],[Cumulative]]-Table5[[#This Row],[Previous Qty]]</f>
        <v>0</v>
      </c>
      <c r="N388" s="9">
        <v>98.38</v>
      </c>
      <c r="O388" s="9">
        <f>(Table5[[#This Row],[Supply Rate]]+Table5[[#This Row],[Install Rate]])*Table5[[#This Row],[Previous Qty]]</f>
        <v>153669.56</v>
      </c>
      <c r="P388" s="9">
        <f>Table5[[#This Row],[Cumulative Amount]]-Table5[[#This Row],[Previous Amount]]</f>
        <v>0</v>
      </c>
      <c r="Q388" s="9">
        <f>(Table5[[#This Row],[Supply Rate]]+Table5[[#This Row],[Install Rate]])*Table5[[#This Row],[Cumulative]]</f>
        <v>153669.56</v>
      </c>
      <c r="R388" t="s">
        <v>936</v>
      </c>
    </row>
    <row r="389" spans="1:18" ht="29" x14ac:dyDescent="0.35">
      <c r="A389" s="6" t="s">
        <v>300</v>
      </c>
      <c r="B389" s="11" t="s">
        <v>565</v>
      </c>
      <c r="C389" s="6">
        <v>145</v>
      </c>
      <c r="D389" s="6" t="s">
        <v>17</v>
      </c>
      <c r="E389" s="9">
        <v>373</v>
      </c>
      <c r="F389" s="9">
        <v>176</v>
      </c>
      <c r="G389" s="9">
        <f>(Table5[[#This Row],[Supply Rate]]+Table5[[#This Row],[Install Rate]])*Table5[[#This Row],[Qty]]</f>
        <v>79605</v>
      </c>
      <c r="H389" s="223">
        <f>Table5[[#This Row],[Supply Rate]]*80%</f>
        <v>298.40000000000003</v>
      </c>
      <c r="I389" s="224"/>
      <c r="J389" s="224">
        <f>IF(Table5[[#This Row],[Material Qty]]=0,0,Table5[[#This Row],[Material Qty]]-Table5[[#This Row],[Cumulative]])</f>
        <v>0</v>
      </c>
      <c r="K389" s="223">
        <f>Table5[[#This Row],[Material Balance Qty]]*Table5[[#This Row],[Material @ Site Rate]]</f>
        <v>0</v>
      </c>
      <c r="L389" s="9">
        <v>145</v>
      </c>
      <c r="M389" s="9">
        <f>Table5[[#This Row],[Cumulative]]-Table5[[#This Row],[Previous Qty]]</f>
        <v>0</v>
      </c>
      <c r="N389" s="9">
        <v>145</v>
      </c>
      <c r="O389" s="9">
        <f>(Table5[[#This Row],[Supply Rate]]+Table5[[#This Row],[Install Rate]])*Table5[[#This Row],[Previous Qty]]</f>
        <v>79605</v>
      </c>
      <c r="P389" s="9">
        <f>Table5[[#This Row],[Cumulative Amount]]-Table5[[#This Row],[Previous Amount]]</f>
        <v>0</v>
      </c>
      <c r="Q389" s="9">
        <f>(Table5[[#This Row],[Supply Rate]]+Table5[[#This Row],[Install Rate]])*Table5[[#This Row],[Cumulative]]</f>
        <v>79605</v>
      </c>
      <c r="R389" t="s">
        <v>936</v>
      </c>
    </row>
    <row r="390" spans="1:18" x14ac:dyDescent="0.35">
      <c r="A390" s="6"/>
      <c r="B390" s="11" t="s">
        <v>566</v>
      </c>
      <c r="C390" s="6"/>
      <c r="D390" s="6"/>
      <c r="E390" s="9"/>
      <c r="F390" s="9"/>
      <c r="G390" s="9"/>
      <c r="H390" s="223"/>
      <c r="I390" s="224"/>
      <c r="J390" s="224"/>
      <c r="K390" s="223"/>
      <c r="L390" s="9"/>
      <c r="M390" s="9"/>
      <c r="N390" s="9"/>
      <c r="O390" s="9"/>
      <c r="P390" s="9"/>
      <c r="Q390" s="9"/>
      <c r="R390" t="s">
        <v>936</v>
      </c>
    </row>
    <row r="391" spans="1:18" ht="72.5" x14ac:dyDescent="0.35">
      <c r="A391" s="6"/>
      <c r="B391" s="11" t="s">
        <v>567</v>
      </c>
      <c r="C391" s="6"/>
      <c r="D391" s="6"/>
      <c r="E391" s="9"/>
      <c r="F391" s="9"/>
      <c r="G391" s="9"/>
      <c r="H391" s="223"/>
      <c r="I391" s="224"/>
      <c r="J391" s="224"/>
      <c r="K391" s="223"/>
      <c r="L391" s="9"/>
      <c r="M391" s="9"/>
      <c r="N391" s="9"/>
      <c r="O391" s="9"/>
      <c r="P391" s="9"/>
      <c r="Q391" s="9"/>
      <c r="R391" t="s">
        <v>936</v>
      </c>
    </row>
    <row r="392" spans="1:18" ht="29" x14ac:dyDescent="0.35">
      <c r="A392" s="6" t="s">
        <v>303</v>
      </c>
      <c r="B392" s="11" t="s">
        <v>568</v>
      </c>
      <c r="C392" s="6">
        <v>114</v>
      </c>
      <c r="D392" s="6" t="s">
        <v>10</v>
      </c>
      <c r="E392" s="9">
        <v>59</v>
      </c>
      <c r="F392" s="9">
        <v>39</v>
      </c>
      <c r="G392" s="9">
        <f>(Table5[[#This Row],[Supply Rate]]+Table5[[#This Row],[Install Rate]])*Table5[[#This Row],[Qty]]</f>
        <v>11172</v>
      </c>
      <c r="H392" s="223">
        <f>Table5[[#This Row],[Supply Rate]]*80%</f>
        <v>47.2</v>
      </c>
      <c r="I392" s="224"/>
      <c r="J392" s="224">
        <f>IF(Table5[[#This Row],[Material Qty]]=0,0,Table5[[#This Row],[Material Qty]]-Table5[[#This Row],[Cumulative]])</f>
        <v>0</v>
      </c>
      <c r="K392" s="223">
        <f>Table5[[#This Row],[Material Balance Qty]]*Table5[[#This Row],[Material @ Site Rate]]</f>
        <v>0</v>
      </c>
      <c r="L392" s="9"/>
      <c r="M392" s="9">
        <f>Table5[[#This Row],[Cumulative]]-Table5[[#This Row],[Previous Qty]]</f>
        <v>55.2</v>
      </c>
      <c r="N392" s="9">
        <f>69*0.8</f>
        <v>55.2</v>
      </c>
      <c r="O392" s="9">
        <f>(Table5[[#This Row],[Supply Rate]]+Table5[[#This Row],[Install Rate]])*Table5[[#This Row],[Previous Qty]]</f>
        <v>0</v>
      </c>
      <c r="P392" s="9">
        <f>Table5[[#This Row],[Cumulative Amount]]-Table5[[#This Row],[Previous Amount]]</f>
        <v>5409.6</v>
      </c>
      <c r="Q392" s="9">
        <f>(Table5[[#This Row],[Supply Rate]]+Table5[[#This Row],[Install Rate]])*Table5[[#This Row],[Cumulative]]</f>
        <v>5409.6</v>
      </c>
      <c r="R392" t="s">
        <v>936</v>
      </c>
    </row>
    <row r="393" spans="1:18" ht="29" x14ac:dyDescent="0.35">
      <c r="A393" s="6" t="s">
        <v>325</v>
      </c>
      <c r="B393" s="11" t="s">
        <v>569</v>
      </c>
      <c r="C393" s="6">
        <v>60</v>
      </c>
      <c r="D393" s="6" t="s">
        <v>10</v>
      </c>
      <c r="E393" s="9">
        <v>128</v>
      </c>
      <c r="F393" s="9">
        <v>81</v>
      </c>
      <c r="G393" s="9">
        <f>(Table5[[#This Row],[Supply Rate]]+Table5[[#This Row],[Install Rate]])*Table5[[#This Row],[Qty]]</f>
        <v>12540</v>
      </c>
      <c r="H393" s="223">
        <f>Table5[[#This Row],[Supply Rate]]*80%</f>
        <v>102.4</v>
      </c>
      <c r="I393" s="224"/>
      <c r="J393" s="224">
        <f>IF(Table5[[#This Row],[Material Qty]]=0,0,Table5[[#This Row],[Material Qty]]-Table5[[#This Row],[Cumulative]])</f>
        <v>0</v>
      </c>
      <c r="K393" s="223">
        <f>Table5[[#This Row],[Material Balance Qty]]*Table5[[#This Row],[Material @ Site Rate]]</f>
        <v>0</v>
      </c>
      <c r="L393" s="9"/>
      <c r="M393" s="9">
        <f>Table5[[#This Row],[Cumulative]]-Table5[[#This Row],[Previous Qty]]</f>
        <v>0</v>
      </c>
      <c r="N393" s="9"/>
      <c r="O393" s="9">
        <f>(Table5[[#This Row],[Supply Rate]]+Table5[[#This Row],[Install Rate]])*Table5[[#This Row],[Previous Qty]]</f>
        <v>0</v>
      </c>
      <c r="P393" s="9">
        <f>Table5[[#This Row],[Cumulative Amount]]-Table5[[#This Row],[Previous Amount]]</f>
        <v>0</v>
      </c>
      <c r="Q393" s="9">
        <f>(Table5[[#This Row],[Supply Rate]]+Table5[[#This Row],[Install Rate]])*Table5[[#This Row],[Cumulative]]</f>
        <v>0</v>
      </c>
      <c r="R393" t="s">
        <v>936</v>
      </c>
    </row>
    <row r="394" spans="1:18" ht="29" x14ac:dyDescent="0.35">
      <c r="A394" s="6" t="s">
        <v>327</v>
      </c>
      <c r="B394" s="11" t="s">
        <v>570</v>
      </c>
      <c r="C394" s="6">
        <v>106</v>
      </c>
      <c r="D394" s="6" t="s">
        <v>10</v>
      </c>
      <c r="E394" s="9">
        <v>132</v>
      </c>
      <c r="F394" s="9">
        <v>28</v>
      </c>
      <c r="G394" s="9">
        <f>(Table5[[#This Row],[Supply Rate]]+Table5[[#This Row],[Install Rate]])*Table5[[#This Row],[Qty]]</f>
        <v>16960</v>
      </c>
      <c r="H394" s="223">
        <f>Table5[[#This Row],[Supply Rate]]*80%</f>
        <v>105.60000000000001</v>
      </c>
      <c r="I394" s="224"/>
      <c r="J394" s="224">
        <f>IF(Table5[[#This Row],[Material Qty]]=0,0,Table5[[#This Row],[Material Qty]]-Table5[[#This Row],[Cumulative]])</f>
        <v>0</v>
      </c>
      <c r="K394" s="223">
        <f>Table5[[#This Row],[Material Balance Qty]]*Table5[[#This Row],[Material @ Site Rate]]</f>
        <v>0</v>
      </c>
      <c r="L394" s="9">
        <v>106</v>
      </c>
      <c r="M394" s="9">
        <f>Table5[[#This Row],[Cumulative]]-Table5[[#This Row],[Previous Qty]]</f>
        <v>0</v>
      </c>
      <c r="N394" s="9">
        <v>106</v>
      </c>
      <c r="O394" s="9">
        <f>(Table5[[#This Row],[Supply Rate]]+Table5[[#This Row],[Install Rate]])*Table5[[#This Row],[Previous Qty]]</f>
        <v>16960</v>
      </c>
      <c r="P394" s="9">
        <f>Table5[[#This Row],[Cumulative Amount]]-Table5[[#This Row],[Previous Amount]]</f>
        <v>0</v>
      </c>
      <c r="Q394" s="9">
        <f>(Table5[[#This Row],[Supply Rate]]+Table5[[#This Row],[Install Rate]])*Table5[[#This Row],[Cumulative]]</f>
        <v>16960</v>
      </c>
      <c r="R394" t="s">
        <v>936</v>
      </c>
    </row>
    <row r="395" spans="1:18" ht="29" x14ac:dyDescent="0.35">
      <c r="A395" s="6" t="s">
        <v>329</v>
      </c>
      <c r="B395" s="11" t="s">
        <v>571</v>
      </c>
      <c r="C395" s="6">
        <v>59.84</v>
      </c>
      <c r="D395" s="6" t="s">
        <v>10</v>
      </c>
      <c r="E395" s="9">
        <v>67</v>
      </c>
      <c r="F395" s="9">
        <v>26</v>
      </c>
      <c r="G395" s="9">
        <f>(Table5[[#This Row],[Supply Rate]]+Table5[[#This Row],[Install Rate]])*Table5[[#This Row],[Qty]]</f>
        <v>5565.12</v>
      </c>
      <c r="H395" s="223">
        <f>Table5[[#This Row],[Supply Rate]]*80%</f>
        <v>53.6</v>
      </c>
      <c r="I395" s="224"/>
      <c r="J395" s="224">
        <f>IF(Table5[[#This Row],[Material Qty]]=0,0,Table5[[#This Row],[Material Qty]]-Table5[[#This Row],[Cumulative]])</f>
        <v>0</v>
      </c>
      <c r="K395" s="223">
        <f>Table5[[#This Row],[Material Balance Qty]]*Table5[[#This Row],[Material @ Site Rate]]</f>
        <v>0</v>
      </c>
      <c r="L395" s="9">
        <v>59.84</v>
      </c>
      <c r="M395" s="9">
        <f>Table5[[#This Row],[Cumulative]]-Table5[[#This Row],[Previous Qty]]</f>
        <v>0</v>
      </c>
      <c r="N395" s="9">
        <v>59.84</v>
      </c>
      <c r="O395" s="9">
        <f>(Table5[[#This Row],[Supply Rate]]+Table5[[#This Row],[Install Rate]])*Table5[[#This Row],[Previous Qty]]</f>
        <v>5565.12</v>
      </c>
      <c r="P395" s="9">
        <f>Table5[[#This Row],[Cumulative Amount]]-Table5[[#This Row],[Previous Amount]]</f>
        <v>0</v>
      </c>
      <c r="Q395" s="9">
        <f>(Table5[[#This Row],[Supply Rate]]+Table5[[#This Row],[Install Rate]])*Table5[[#This Row],[Cumulative]]</f>
        <v>5565.12</v>
      </c>
      <c r="R395" t="s">
        <v>936</v>
      </c>
    </row>
    <row r="396" spans="1:18" x14ac:dyDescent="0.35">
      <c r="A396" s="6"/>
      <c r="B396" s="7" t="s">
        <v>380</v>
      </c>
      <c r="C396" s="6"/>
      <c r="D396" s="6"/>
      <c r="E396" s="9"/>
      <c r="F396" s="9"/>
      <c r="G396" s="9"/>
      <c r="H396" s="223"/>
      <c r="I396" s="224"/>
      <c r="J396" s="224"/>
      <c r="K396" s="223"/>
      <c r="L396" s="9"/>
      <c r="M396" s="9"/>
      <c r="N396" s="9"/>
      <c r="O396" s="9"/>
      <c r="P396" s="9"/>
      <c r="Q396" s="9"/>
      <c r="R396" t="s">
        <v>936</v>
      </c>
    </row>
    <row r="397" spans="1:18" ht="145" x14ac:dyDescent="0.35">
      <c r="A397" s="6"/>
      <c r="B397" s="11" t="s">
        <v>572</v>
      </c>
      <c r="C397" s="6"/>
      <c r="D397" s="6"/>
      <c r="E397" s="9"/>
      <c r="F397" s="9"/>
      <c r="G397" s="9"/>
      <c r="H397" s="223"/>
      <c r="I397" s="224"/>
      <c r="J397" s="224"/>
      <c r="K397" s="223"/>
      <c r="L397" s="9"/>
      <c r="M397" s="9"/>
      <c r="N397" s="9"/>
      <c r="O397" s="9"/>
      <c r="P397" s="9"/>
      <c r="Q397" s="9"/>
      <c r="R397" t="s">
        <v>936</v>
      </c>
    </row>
    <row r="398" spans="1:18" x14ac:dyDescent="0.35">
      <c r="A398" s="6" t="s">
        <v>292</v>
      </c>
      <c r="B398" s="11" t="s">
        <v>573</v>
      </c>
      <c r="C398" s="6">
        <v>24</v>
      </c>
      <c r="D398" s="6" t="s">
        <v>10</v>
      </c>
      <c r="E398" s="9">
        <v>180</v>
      </c>
      <c r="F398" s="9">
        <v>74</v>
      </c>
      <c r="G398" s="9">
        <f>(Table5[[#This Row],[Supply Rate]]+Table5[[#This Row],[Install Rate]])*Table5[[#This Row],[Qty]]</f>
        <v>6096</v>
      </c>
      <c r="H398" s="223">
        <f>Table5[[#This Row],[Supply Rate]]*80%</f>
        <v>144</v>
      </c>
      <c r="I398" s="224"/>
      <c r="J398" s="224">
        <f>IF(Table5[[#This Row],[Material Qty]]=0,0,Table5[[#This Row],[Material Qty]]-Table5[[#This Row],[Cumulative]])</f>
        <v>0</v>
      </c>
      <c r="K398" s="223">
        <f>Table5[[#This Row],[Material Balance Qty]]*Table5[[#This Row],[Material @ Site Rate]]</f>
        <v>0</v>
      </c>
      <c r="L398" s="9"/>
      <c r="M398" s="9">
        <f>Table5[[#This Row],[Cumulative]]-Table5[[#This Row],[Previous Qty]]</f>
        <v>19.200000000000003</v>
      </c>
      <c r="N398" s="9">
        <f>24*0.8</f>
        <v>19.200000000000003</v>
      </c>
      <c r="O398" s="9">
        <f>(Table5[[#This Row],[Supply Rate]]+Table5[[#This Row],[Install Rate]])*Table5[[#This Row],[Previous Qty]]</f>
        <v>0</v>
      </c>
      <c r="P398" s="9">
        <f>Table5[[#This Row],[Cumulative Amount]]-Table5[[#This Row],[Previous Amount]]</f>
        <v>4876.8000000000011</v>
      </c>
      <c r="Q398" s="9">
        <f>(Table5[[#This Row],[Supply Rate]]+Table5[[#This Row],[Install Rate]])*Table5[[#This Row],[Cumulative]]</f>
        <v>4876.8000000000011</v>
      </c>
      <c r="R398" t="s">
        <v>936</v>
      </c>
    </row>
    <row r="399" spans="1:18" x14ac:dyDescent="0.35">
      <c r="A399" s="6" t="s">
        <v>294</v>
      </c>
      <c r="B399" s="11" t="s">
        <v>574</v>
      </c>
      <c r="C399" s="6">
        <v>24</v>
      </c>
      <c r="D399" s="6" t="s">
        <v>10</v>
      </c>
      <c r="E399" s="9">
        <v>61</v>
      </c>
      <c r="F399" s="9">
        <v>35</v>
      </c>
      <c r="G399" s="9">
        <f>(Table5[[#This Row],[Supply Rate]]+Table5[[#This Row],[Install Rate]])*Table5[[#This Row],[Qty]]</f>
        <v>2304</v>
      </c>
      <c r="H399" s="223">
        <f>Table5[[#This Row],[Supply Rate]]*80%</f>
        <v>48.800000000000004</v>
      </c>
      <c r="I399" s="224"/>
      <c r="J399" s="224">
        <f>IF(Table5[[#This Row],[Material Qty]]=0,0,Table5[[#This Row],[Material Qty]]-Table5[[#This Row],[Cumulative]])</f>
        <v>0</v>
      </c>
      <c r="K399" s="223">
        <f>Table5[[#This Row],[Material Balance Qty]]*Table5[[#This Row],[Material @ Site Rate]]</f>
        <v>0</v>
      </c>
      <c r="L399" s="9"/>
      <c r="M399" s="9">
        <f>Table5[[#This Row],[Cumulative]]-Table5[[#This Row],[Previous Qty]]</f>
        <v>19.200000000000003</v>
      </c>
      <c r="N399" s="9">
        <f>24*0.8</f>
        <v>19.200000000000003</v>
      </c>
      <c r="O399" s="9">
        <f>(Table5[[#This Row],[Supply Rate]]+Table5[[#This Row],[Install Rate]])*Table5[[#This Row],[Previous Qty]]</f>
        <v>0</v>
      </c>
      <c r="P399" s="9">
        <f>Table5[[#This Row],[Cumulative Amount]]-Table5[[#This Row],[Previous Amount]]</f>
        <v>1843.2000000000003</v>
      </c>
      <c r="Q399" s="9">
        <f>(Table5[[#This Row],[Supply Rate]]+Table5[[#This Row],[Install Rate]])*Table5[[#This Row],[Cumulative]]</f>
        <v>1843.2000000000003</v>
      </c>
      <c r="R399" t="s">
        <v>936</v>
      </c>
    </row>
    <row r="400" spans="1:18" ht="58" x14ac:dyDescent="0.35">
      <c r="A400" s="6" t="s">
        <v>297</v>
      </c>
      <c r="B400" s="11" t="s">
        <v>575</v>
      </c>
      <c r="C400" s="6">
        <v>1</v>
      </c>
      <c r="D400" s="6" t="s">
        <v>364</v>
      </c>
      <c r="E400" s="9">
        <v>6274</v>
      </c>
      <c r="F400" s="9">
        <v>3893</v>
      </c>
      <c r="G400" s="9">
        <f>(Table5[[#This Row],[Supply Rate]]+Table5[[#This Row],[Install Rate]])*Table5[[#This Row],[Qty]]</f>
        <v>10167</v>
      </c>
      <c r="H400" s="223">
        <f>Table5[[#This Row],[Supply Rate]]*80%</f>
        <v>5019.2000000000007</v>
      </c>
      <c r="I400" s="224"/>
      <c r="J400" s="224">
        <f>IF(Table5[[#This Row],[Material Qty]]=0,0,Table5[[#This Row],[Material Qty]]-Table5[[#This Row],[Cumulative]])</f>
        <v>0</v>
      </c>
      <c r="K400" s="223">
        <f>Table5[[#This Row],[Material Balance Qty]]*Table5[[#This Row],[Material @ Site Rate]]</f>
        <v>0</v>
      </c>
      <c r="L400" s="9"/>
      <c r="M400" s="9">
        <f>Table5[[#This Row],[Cumulative]]-Table5[[#This Row],[Previous Qty]]</f>
        <v>0.8</v>
      </c>
      <c r="N400" s="9">
        <f>1*0.8</f>
        <v>0.8</v>
      </c>
      <c r="O400" s="9">
        <f>(Table5[[#This Row],[Supply Rate]]+Table5[[#This Row],[Install Rate]])*Table5[[#This Row],[Previous Qty]]</f>
        <v>0</v>
      </c>
      <c r="P400" s="9">
        <f>Table5[[#This Row],[Cumulative Amount]]-Table5[[#This Row],[Previous Amount]]</f>
        <v>8133.6</v>
      </c>
      <c r="Q400" s="9">
        <f>(Table5[[#This Row],[Supply Rate]]+Table5[[#This Row],[Install Rate]])*Table5[[#This Row],[Cumulative]]</f>
        <v>8133.6</v>
      </c>
      <c r="R400" t="s">
        <v>936</v>
      </c>
    </row>
    <row r="401" spans="1:18" ht="43.5" x14ac:dyDescent="0.35">
      <c r="A401" s="6" t="s">
        <v>300</v>
      </c>
      <c r="B401" s="11" t="s">
        <v>576</v>
      </c>
      <c r="C401" s="6">
        <v>17.28</v>
      </c>
      <c r="D401" s="6" t="s">
        <v>10</v>
      </c>
      <c r="E401" s="9">
        <v>122</v>
      </c>
      <c r="F401" s="9">
        <v>70</v>
      </c>
      <c r="G401" s="9">
        <f>(Table5[[#This Row],[Supply Rate]]+Table5[[#This Row],[Install Rate]])*Table5[[#This Row],[Qty]]</f>
        <v>3317.76</v>
      </c>
      <c r="H401" s="223">
        <f>Table5[[#This Row],[Supply Rate]]*80%</f>
        <v>97.600000000000009</v>
      </c>
      <c r="I401" s="224"/>
      <c r="J401" s="224">
        <f>IF(Table5[[#This Row],[Material Qty]]=0,0,Table5[[#This Row],[Material Qty]]-Table5[[#This Row],[Cumulative]])</f>
        <v>0</v>
      </c>
      <c r="K401" s="223">
        <f>Table5[[#This Row],[Material Balance Qty]]*Table5[[#This Row],[Material @ Site Rate]]</f>
        <v>0</v>
      </c>
      <c r="L401" s="9"/>
      <c r="M401" s="9">
        <f>Table5[[#This Row],[Cumulative]]-Table5[[#This Row],[Previous Qty]]</f>
        <v>0</v>
      </c>
      <c r="N401" s="9"/>
      <c r="O401" s="9">
        <f>(Table5[[#This Row],[Supply Rate]]+Table5[[#This Row],[Install Rate]])*Table5[[#This Row],[Previous Qty]]</f>
        <v>0</v>
      </c>
      <c r="P401" s="9">
        <f>Table5[[#This Row],[Cumulative Amount]]-Table5[[#This Row],[Previous Amount]]</f>
        <v>0</v>
      </c>
      <c r="Q401" s="9">
        <f>(Table5[[#This Row],[Supply Rate]]+Table5[[#This Row],[Install Rate]])*Table5[[#This Row],[Cumulative]]</f>
        <v>0</v>
      </c>
      <c r="R401" t="s">
        <v>936</v>
      </c>
    </row>
    <row r="402" spans="1:18" ht="43.5" x14ac:dyDescent="0.35">
      <c r="A402" s="6" t="s">
        <v>303</v>
      </c>
      <c r="B402" s="11" t="s">
        <v>577</v>
      </c>
      <c r="C402" s="6">
        <v>23</v>
      </c>
      <c r="D402" s="6" t="s">
        <v>10</v>
      </c>
      <c r="E402" s="9">
        <v>141</v>
      </c>
      <c r="F402" s="9">
        <v>70</v>
      </c>
      <c r="G402" s="9">
        <f>(Table5[[#This Row],[Supply Rate]]+Table5[[#This Row],[Install Rate]])*Table5[[#This Row],[Qty]]</f>
        <v>4853</v>
      </c>
      <c r="H402" s="223">
        <f>Table5[[#This Row],[Supply Rate]]*80%</f>
        <v>112.80000000000001</v>
      </c>
      <c r="I402" s="224"/>
      <c r="J402" s="224">
        <f>IF(Table5[[#This Row],[Material Qty]]=0,0,Table5[[#This Row],[Material Qty]]-Table5[[#This Row],[Cumulative]])</f>
        <v>0</v>
      </c>
      <c r="K402" s="223">
        <f>Table5[[#This Row],[Material Balance Qty]]*Table5[[#This Row],[Material @ Site Rate]]</f>
        <v>0</v>
      </c>
      <c r="L402" s="9"/>
      <c r="M402" s="9">
        <f>Table5[[#This Row],[Cumulative]]-Table5[[#This Row],[Previous Qty]]</f>
        <v>0</v>
      </c>
      <c r="N402" s="9"/>
      <c r="O402" s="9">
        <f>(Table5[[#This Row],[Supply Rate]]+Table5[[#This Row],[Install Rate]])*Table5[[#This Row],[Previous Qty]]</f>
        <v>0</v>
      </c>
      <c r="P402" s="9">
        <f>Table5[[#This Row],[Cumulative Amount]]-Table5[[#This Row],[Previous Amount]]</f>
        <v>0</v>
      </c>
      <c r="Q402" s="9">
        <f>(Table5[[#This Row],[Supply Rate]]+Table5[[#This Row],[Install Rate]])*Table5[[#This Row],[Cumulative]]</f>
        <v>0</v>
      </c>
      <c r="R402" t="s">
        <v>936</v>
      </c>
    </row>
    <row r="403" spans="1:18" ht="43.5" x14ac:dyDescent="0.35">
      <c r="A403" s="6" t="s">
        <v>325</v>
      </c>
      <c r="B403" s="11" t="s">
        <v>578</v>
      </c>
      <c r="C403" s="6">
        <v>39</v>
      </c>
      <c r="D403" s="6" t="s">
        <v>10</v>
      </c>
      <c r="E403" s="9">
        <v>149</v>
      </c>
      <c r="F403" s="9">
        <v>70</v>
      </c>
      <c r="G403" s="9">
        <f>(Table5[[#This Row],[Supply Rate]]+Table5[[#This Row],[Install Rate]])*Table5[[#This Row],[Qty]]</f>
        <v>8541</v>
      </c>
      <c r="H403" s="223">
        <f>Table5[[#This Row],[Supply Rate]]*80%</f>
        <v>119.2</v>
      </c>
      <c r="I403" s="224"/>
      <c r="J403" s="224">
        <f>IF(Table5[[#This Row],[Material Qty]]=0,0,Table5[[#This Row],[Material Qty]]-Table5[[#This Row],[Cumulative]])</f>
        <v>0</v>
      </c>
      <c r="K403" s="223">
        <f>Table5[[#This Row],[Material Balance Qty]]*Table5[[#This Row],[Material @ Site Rate]]</f>
        <v>0</v>
      </c>
      <c r="L403" s="9"/>
      <c r="M403" s="9">
        <f>Table5[[#This Row],[Cumulative]]-Table5[[#This Row],[Previous Qty]]</f>
        <v>31.200000000000003</v>
      </c>
      <c r="N403" s="9">
        <f>39*0.8</f>
        <v>31.200000000000003</v>
      </c>
      <c r="O403" s="9">
        <f>(Table5[[#This Row],[Supply Rate]]+Table5[[#This Row],[Install Rate]])*Table5[[#This Row],[Previous Qty]]</f>
        <v>0</v>
      </c>
      <c r="P403" s="9">
        <f>Table5[[#This Row],[Cumulative Amount]]-Table5[[#This Row],[Previous Amount]]</f>
        <v>6832.8</v>
      </c>
      <c r="Q403" s="9">
        <f>(Table5[[#This Row],[Supply Rate]]+Table5[[#This Row],[Install Rate]])*Table5[[#This Row],[Cumulative]]</f>
        <v>6832.8</v>
      </c>
      <c r="R403" t="s">
        <v>936</v>
      </c>
    </row>
    <row r="404" spans="1:18" ht="29" x14ac:dyDescent="0.35">
      <c r="A404" s="6" t="s">
        <v>327</v>
      </c>
      <c r="B404" s="11" t="s">
        <v>579</v>
      </c>
      <c r="C404" s="6">
        <v>7</v>
      </c>
      <c r="D404" s="6" t="s">
        <v>10</v>
      </c>
      <c r="E404" s="9">
        <v>379</v>
      </c>
      <c r="F404" s="9">
        <v>310</v>
      </c>
      <c r="G404" s="9">
        <f>(Table5[[#This Row],[Supply Rate]]+Table5[[#This Row],[Install Rate]])*Table5[[#This Row],[Qty]]</f>
        <v>4823</v>
      </c>
      <c r="H404" s="223">
        <f>Table5[[#This Row],[Supply Rate]]*80%</f>
        <v>303.2</v>
      </c>
      <c r="I404" s="224"/>
      <c r="J404" s="224">
        <f>IF(Table5[[#This Row],[Material Qty]]=0,0,Table5[[#This Row],[Material Qty]]-Table5[[#This Row],[Cumulative]])</f>
        <v>0</v>
      </c>
      <c r="K404" s="223">
        <f>Table5[[#This Row],[Material Balance Qty]]*Table5[[#This Row],[Material @ Site Rate]]</f>
        <v>0</v>
      </c>
      <c r="L404" s="9"/>
      <c r="M404" s="9">
        <f>Table5[[#This Row],[Cumulative]]-Table5[[#This Row],[Previous Qty]]</f>
        <v>5.6000000000000005</v>
      </c>
      <c r="N404" s="9">
        <f>7*0.8</f>
        <v>5.6000000000000005</v>
      </c>
      <c r="O404" s="9">
        <f>(Table5[[#This Row],[Supply Rate]]+Table5[[#This Row],[Install Rate]])*Table5[[#This Row],[Previous Qty]]</f>
        <v>0</v>
      </c>
      <c r="P404" s="9">
        <f>Table5[[#This Row],[Cumulative Amount]]-Table5[[#This Row],[Previous Amount]]</f>
        <v>3858.4000000000005</v>
      </c>
      <c r="Q404" s="9">
        <f>(Table5[[#This Row],[Supply Rate]]+Table5[[#This Row],[Install Rate]])*Table5[[#This Row],[Cumulative]]</f>
        <v>3858.4000000000005</v>
      </c>
      <c r="R404" t="s">
        <v>936</v>
      </c>
    </row>
    <row r="405" spans="1:18" ht="43.5" x14ac:dyDescent="0.35">
      <c r="A405" s="6" t="s">
        <v>329</v>
      </c>
      <c r="B405" s="11" t="s">
        <v>580</v>
      </c>
      <c r="C405" s="6">
        <v>11.52</v>
      </c>
      <c r="D405" s="6" t="s">
        <v>10</v>
      </c>
      <c r="E405" s="9">
        <v>113</v>
      </c>
      <c r="F405" s="9">
        <v>69</v>
      </c>
      <c r="G405" s="9">
        <f>(Table5[[#This Row],[Supply Rate]]+Table5[[#This Row],[Install Rate]])*Table5[[#This Row],[Qty]]</f>
        <v>2096.64</v>
      </c>
      <c r="H405" s="223">
        <f>Table5[[#This Row],[Supply Rate]]*80%</f>
        <v>90.4</v>
      </c>
      <c r="I405" s="224"/>
      <c r="J405" s="224">
        <f>IF(Table5[[#This Row],[Material Qty]]=0,0,Table5[[#This Row],[Material Qty]]-Table5[[#This Row],[Cumulative]])</f>
        <v>0</v>
      </c>
      <c r="K405" s="223">
        <f>Table5[[#This Row],[Material Balance Qty]]*Table5[[#This Row],[Material @ Site Rate]]</f>
        <v>0</v>
      </c>
      <c r="L405" s="9"/>
      <c r="M405" s="9">
        <f>Table5[[#This Row],[Cumulative]]-Table5[[#This Row],[Previous Qty]]</f>
        <v>0</v>
      </c>
      <c r="N405" s="9"/>
      <c r="O405" s="9">
        <f>(Table5[[#This Row],[Supply Rate]]+Table5[[#This Row],[Install Rate]])*Table5[[#This Row],[Previous Qty]]</f>
        <v>0</v>
      </c>
      <c r="P405" s="9">
        <f>Table5[[#This Row],[Cumulative Amount]]-Table5[[#This Row],[Previous Amount]]</f>
        <v>0</v>
      </c>
      <c r="Q405" s="9">
        <f>(Table5[[#This Row],[Supply Rate]]+Table5[[#This Row],[Install Rate]])*Table5[[#This Row],[Cumulative]]</f>
        <v>0</v>
      </c>
      <c r="R405" t="s">
        <v>936</v>
      </c>
    </row>
    <row r="406" spans="1:18" ht="43.5" x14ac:dyDescent="0.35">
      <c r="A406" s="6" t="s">
        <v>292</v>
      </c>
      <c r="B406" s="11" t="s">
        <v>581</v>
      </c>
      <c r="C406" s="6">
        <v>34</v>
      </c>
      <c r="D406" s="6" t="s">
        <v>10</v>
      </c>
      <c r="E406" s="9">
        <v>153</v>
      </c>
      <c r="F406" s="9">
        <v>71</v>
      </c>
      <c r="G406" s="9">
        <f>(Table5[[#This Row],[Supply Rate]]+Table5[[#This Row],[Install Rate]])*Table5[[#This Row],[Qty]]</f>
        <v>7616</v>
      </c>
      <c r="H406" s="223">
        <f>Table5[[#This Row],[Supply Rate]]*80%</f>
        <v>122.4</v>
      </c>
      <c r="I406" s="224"/>
      <c r="J406" s="224">
        <f>IF(Table5[[#This Row],[Material Qty]]=0,0,Table5[[#This Row],[Material Qty]]-Table5[[#This Row],[Cumulative]])</f>
        <v>0</v>
      </c>
      <c r="K406" s="223">
        <f>Table5[[#This Row],[Material Balance Qty]]*Table5[[#This Row],[Material @ Site Rate]]</f>
        <v>0</v>
      </c>
      <c r="L406" s="9"/>
      <c r="M406" s="9">
        <f>Table5[[#This Row],[Cumulative]]-Table5[[#This Row],[Previous Qty]]</f>
        <v>0</v>
      </c>
      <c r="N406" s="9"/>
      <c r="O406" s="9">
        <f>(Table5[[#This Row],[Supply Rate]]+Table5[[#This Row],[Install Rate]])*Table5[[#This Row],[Previous Qty]]</f>
        <v>0</v>
      </c>
      <c r="P406" s="9">
        <f>Table5[[#This Row],[Cumulative Amount]]-Table5[[#This Row],[Previous Amount]]</f>
        <v>0</v>
      </c>
      <c r="Q406" s="9">
        <f>(Table5[[#This Row],[Supply Rate]]+Table5[[#This Row],[Install Rate]])*Table5[[#This Row],[Cumulative]]</f>
        <v>0</v>
      </c>
      <c r="R406" t="s">
        <v>936</v>
      </c>
    </row>
    <row r="407" spans="1:18" ht="29" x14ac:dyDescent="0.35">
      <c r="A407" s="6" t="s">
        <v>294</v>
      </c>
      <c r="B407" s="11" t="s">
        <v>582</v>
      </c>
      <c r="C407" s="6">
        <v>6</v>
      </c>
      <c r="D407" s="6" t="s">
        <v>10</v>
      </c>
      <c r="E407" s="9">
        <v>270</v>
      </c>
      <c r="F407" s="9">
        <v>119</v>
      </c>
      <c r="G407" s="9">
        <f>(Table5[[#This Row],[Supply Rate]]+Table5[[#This Row],[Install Rate]])*Table5[[#This Row],[Qty]]</f>
        <v>2334</v>
      </c>
      <c r="H407" s="223">
        <f>Table5[[#This Row],[Supply Rate]]*80%</f>
        <v>216</v>
      </c>
      <c r="I407" s="224"/>
      <c r="J407" s="224">
        <f>IF(Table5[[#This Row],[Material Qty]]=0,0,Table5[[#This Row],[Material Qty]]-Table5[[#This Row],[Cumulative]])</f>
        <v>0</v>
      </c>
      <c r="K407" s="223">
        <f>Table5[[#This Row],[Material Balance Qty]]*Table5[[#This Row],[Material @ Site Rate]]</f>
        <v>0</v>
      </c>
      <c r="L407" s="9"/>
      <c r="M407" s="9">
        <f>Table5[[#This Row],[Cumulative]]-Table5[[#This Row],[Previous Qty]]</f>
        <v>0</v>
      </c>
      <c r="N407" s="9"/>
      <c r="O407" s="9">
        <f>(Table5[[#This Row],[Supply Rate]]+Table5[[#This Row],[Install Rate]])*Table5[[#This Row],[Previous Qty]]</f>
        <v>0</v>
      </c>
      <c r="P407" s="9">
        <f>Table5[[#This Row],[Cumulative Amount]]-Table5[[#This Row],[Previous Amount]]</f>
        <v>0</v>
      </c>
      <c r="Q407" s="9">
        <f>(Table5[[#This Row],[Supply Rate]]+Table5[[#This Row],[Install Rate]])*Table5[[#This Row],[Cumulative]]</f>
        <v>0</v>
      </c>
      <c r="R407" t="s">
        <v>936</v>
      </c>
    </row>
    <row r="408" spans="1:18" ht="58" x14ac:dyDescent="0.35">
      <c r="A408" s="6" t="s">
        <v>297</v>
      </c>
      <c r="B408" s="11" t="s">
        <v>583</v>
      </c>
      <c r="C408" s="6">
        <v>1</v>
      </c>
      <c r="D408" s="6" t="s">
        <v>364</v>
      </c>
      <c r="E408" s="9">
        <v>7155</v>
      </c>
      <c r="F408" s="9">
        <v>4194</v>
      </c>
      <c r="G408" s="9">
        <f>(Table5[[#This Row],[Supply Rate]]+Table5[[#This Row],[Install Rate]])*Table5[[#This Row],[Qty]]</f>
        <v>11349</v>
      </c>
      <c r="H408" s="223">
        <f>Table5[[#This Row],[Supply Rate]]*80%</f>
        <v>5724</v>
      </c>
      <c r="I408" s="224"/>
      <c r="J408" s="224">
        <f>IF(Table5[[#This Row],[Material Qty]]=0,0,Table5[[#This Row],[Material Qty]]-Table5[[#This Row],[Cumulative]])</f>
        <v>0</v>
      </c>
      <c r="K408" s="223">
        <f>Table5[[#This Row],[Material Balance Qty]]*Table5[[#This Row],[Material @ Site Rate]]</f>
        <v>0</v>
      </c>
      <c r="L408" s="9"/>
      <c r="M408" s="9">
        <f>Table5[[#This Row],[Cumulative]]-Table5[[#This Row],[Previous Qty]]</f>
        <v>0</v>
      </c>
      <c r="N408" s="9"/>
      <c r="O408" s="9">
        <f>(Table5[[#This Row],[Supply Rate]]+Table5[[#This Row],[Install Rate]])*Table5[[#This Row],[Previous Qty]]</f>
        <v>0</v>
      </c>
      <c r="P408" s="9">
        <f>Table5[[#This Row],[Cumulative Amount]]-Table5[[#This Row],[Previous Amount]]</f>
        <v>0</v>
      </c>
      <c r="Q408" s="9">
        <f>(Table5[[#This Row],[Supply Rate]]+Table5[[#This Row],[Install Rate]])*Table5[[#This Row],[Cumulative]]</f>
        <v>0</v>
      </c>
      <c r="R408" t="s">
        <v>936</v>
      </c>
    </row>
    <row r="409" spans="1:18" ht="29" x14ac:dyDescent="0.35">
      <c r="A409" s="6" t="s">
        <v>300</v>
      </c>
      <c r="B409" s="11" t="s">
        <v>584</v>
      </c>
      <c r="C409" s="6">
        <v>11</v>
      </c>
      <c r="D409" s="6" t="s">
        <v>10</v>
      </c>
      <c r="E409" s="9">
        <v>146</v>
      </c>
      <c r="F409" s="9">
        <v>90</v>
      </c>
      <c r="G409" s="9">
        <f>(Table5[[#This Row],[Supply Rate]]+Table5[[#This Row],[Install Rate]])*Table5[[#This Row],[Qty]]</f>
        <v>2596</v>
      </c>
      <c r="H409" s="223">
        <f>Table5[[#This Row],[Supply Rate]]*80%</f>
        <v>116.80000000000001</v>
      </c>
      <c r="I409" s="224"/>
      <c r="J409" s="224">
        <f>IF(Table5[[#This Row],[Material Qty]]=0,0,Table5[[#This Row],[Material Qty]]-Table5[[#This Row],[Cumulative]])</f>
        <v>0</v>
      </c>
      <c r="K409" s="223">
        <f>Table5[[#This Row],[Material Balance Qty]]*Table5[[#This Row],[Material @ Site Rate]]</f>
        <v>0</v>
      </c>
      <c r="L409" s="9"/>
      <c r="M409" s="9">
        <f>Table5[[#This Row],[Cumulative]]-Table5[[#This Row],[Previous Qty]]</f>
        <v>0</v>
      </c>
      <c r="N409" s="9"/>
      <c r="O409" s="9">
        <f>(Table5[[#This Row],[Supply Rate]]+Table5[[#This Row],[Install Rate]])*Table5[[#This Row],[Previous Qty]]</f>
        <v>0</v>
      </c>
      <c r="P409" s="9">
        <f>Table5[[#This Row],[Cumulative Amount]]-Table5[[#This Row],[Previous Amount]]</f>
        <v>0</v>
      </c>
      <c r="Q409" s="9">
        <f>(Table5[[#This Row],[Supply Rate]]+Table5[[#This Row],[Install Rate]])*Table5[[#This Row],[Cumulative]]</f>
        <v>0</v>
      </c>
      <c r="R409" t="s">
        <v>936</v>
      </c>
    </row>
    <row r="410" spans="1:18" ht="29" x14ac:dyDescent="0.35">
      <c r="A410" s="6" t="s">
        <v>303</v>
      </c>
      <c r="B410" s="11" t="s">
        <v>585</v>
      </c>
      <c r="C410" s="6">
        <v>1</v>
      </c>
      <c r="D410" s="6" t="s">
        <v>364</v>
      </c>
      <c r="E410" s="9">
        <v>1403</v>
      </c>
      <c r="F410" s="9">
        <v>881</v>
      </c>
      <c r="G410" s="9">
        <f>(Table5[[#This Row],[Supply Rate]]+Table5[[#This Row],[Install Rate]])*Table5[[#This Row],[Qty]]</f>
        <v>2284</v>
      </c>
      <c r="H410" s="223">
        <f>Table5[[#This Row],[Supply Rate]]*80%</f>
        <v>1122.4000000000001</v>
      </c>
      <c r="I410" s="224"/>
      <c r="J410" s="224">
        <f>IF(Table5[[#This Row],[Material Qty]]=0,0,Table5[[#This Row],[Material Qty]]-Table5[[#This Row],[Cumulative]])</f>
        <v>0</v>
      </c>
      <c r="K410" s="223">
        <f>Table5[[#This Row],[Material Balance Qty]]*Table5[[#This Row],[Material @ Site Rate]]</f>
        <v>0</v>
      </c>
      <c r="L410" s="9"/>
      <c r="M410" s="9">
        <f>Table5[[#This Row],[Cumulative]]-Table5[[#This Row],[Previous Qty]]</f>
        <v>0</v>
      </c>
      <c r="N410" s="9"/>
      <c r="O410" s="9">
        <f>(Table5[[#This Row],[Supply Rate]]+Table5[[#This Row],[Install Rate]])*Table5[[#This Row],[Previous Qty]]</f>
        <v>0</v>
      </c>
      <c r="P410" s="9">
        <f>Table5[[#This Row],[Cumulative Amount]]-Table5[[#This Row],[Previous Amount]]</f>
        <v>0</v>
      </c>
      <c r="Q410" s="9">
        <f>(Table5[[#This Row],[Supply Rate]]+Table5[[#This Row],[Install Rate]])*Table5[[#This Row],[Cumulative]]</f>
        <v>0</v>
      </c>
      <c r="R410" t="s">
        <v>936</v>
      </c>
    </row>
    <row r="411" spans="1:18" ht="29" x14ac:dyDescent="0.35">
      <c r="A411" s="6" t="s">
        <v>325</v>
      </c>
      <c r="B411" s="11" t="s">
        <v>586</v>
      </c>
      <c r="C411" s="6">
        <v>1</v>
      </c>
      <c r="D411" s="6" t="s">
        <v>364</v>
      </c>
      <c r="E411" s="9">
        <v>720</v>
      </c>
      <c r="F411" s="9">
        <v>502</v>
      </c>
      <c r="G411" s="9">
        <f>(Table5[[#This Row],[Supply Rate]]+Table5[[#This Row],[Install Rate]])*Table5[[#This Row],[Qty]]</f>
        <v>1222</v>
      </c>
      <c r="H411" s="223">
        <f>Table5[[#This Row],[Supply Rate]]*80%</f>
        <v>576</v>
      </c>
      <c r="I411" s="224"/>
      <c r="J411" s="224">
        <f>IF(Table5[[#This Row],[Material Qty]]=0,0,Table5[[#This Row],[Material Qty]]-Table5[[#This Row],[Cumulative]])</f>
        <v>0</v>
      </c>
      <c r="K411" s="223">
        <f>Table5[[#This Row],[Material Balance Qty]]*Table5[[#This Row],[Material @ Site Rate]]</f>
        <v>0</v>
      </c>
      <c r="L411" s="9"/>
      <c r="M411" s="9">
        <f>Table5[[#This Row],[Cumulative]]-Table5[[#This Row],[Previous Qty]]</f>
        <v>0</v>
      </c>
      <c r="N411" s="9"/>
      <c r="O411" s="9">
        <f>(Table5[[#This Row],[Supply Rate]]+Table5[[#This Row],[Install Rate]])*Table5[[#This Row],[Previous Qty]]</f>
        <v>0</v>
      </c>
      <c r="P411" s="9">
        <f>Table5[[#This Row],[Cumulative Amount]]-Table5[[#This Row],[Previous Amount]]</f>
        <v>0</v>
      </c>
      <c r="Q411" s="9">
        <f>(Table5[[#This Row],[Supply Rate]]+Table5[[#This Row],[Install Rate]])*Table5[[#This Row],[Cumulative]]</f>
        <v>0</v>
      </c>
      <c r="R411" t="s">
        <v>936</v>
      </c>
    </row>
    <row r="412" spans="1:18" ht="29" x14ac:dyDescent="0.35">
      <c r="A412" s="6" t="s">
        <v>327</v>
      </c>
      <c r="B412" s="11" t="s">
        <v>587</v>
      </c>
      <c r="C412" s="6">
        <v>6</v>
      </c>
      <c r="D412" s="6" t="s">
        <v>10</v>
      </c>
      <c r="E412" s="9">
        <v>137</v>
      </c>
      <c r="F412" s="9">
        <v>89</v>
      </c>
      <c r="G412" s="9">
        <f>(Table5[[#This Row],[Supply Rate]]+Table5[[#This Row],[Install Rate]])*Table5[[#This Row],[Qty]]</f>
        <v>1356</v>
      </c>
      <c r="H412" s="223">
        <f>Table5[[#This Row],[Supply Rate]]*80%</f>
        <v>109.60000000000001</v>
      </c>
      <c r="I412" s="224"/>
      <c r="J412" s="224">
        <f>IF(Table5[[#This Row],[Material Qty]]=0,0,Table5[[#This Row],[Material Qty]]-Table5[[#This Row],[Cumulative]])</f>
        <v>0</v>
      </c>
      <c r="K412" s="223">
        <f>Table5[[#This Row],[Material Balance Qty]]*Table5[[#This Row],[Material @ Site Rate]]</f>
        <v>0</v>
      </c>
      <c r="L412" s="9"/>
      <c r="M412" s="9">
        <f>Table5[[#This Row],[Cumulative]]-Table5[[#This Row],[Previous Qty]]</f>
        <v>0</v>
      </c>
      <c r="N412" s="9"/>
      <c r="O412" s="9">
        <f>(Table5[[#This Row],[Supply Rate]]+Table5[[#This Row],[Install Rate]])*Table5[[#This Row],[Previous Qty]]</f>
        <v>0</v>
      </c>
      <c r="P412" s="9">
        <f>Table5[[#This Row],[Cumulative Amount]]-Table5[[#This Row],[Previous Amount]]</f>
        <v>0</v>
      </c>
      <c r="Q412" s="9">
        <f>(Table5[[#This Row],[Supply Rate]]+Table5[[#This Row],[Install Rate]])*Table5[[#This Row],[Cumulative]]</f>
        <v>0</v>
      </c>
      <c r="R412" t="s">
        <v>936</v>
      </c>
    </row>
    <row r="413" spans="1:18" x14ac:dyDescent="0.35">
      <c r="A413" s="6" t="s">
        <v>329</v>
      </c>
      <c r="B413" s="11" t="s">
        <v>588</v>
      </c>
      <c r="C413" s="6">
        <v>8.18</v>
      </c>
      <c r="D413" s="6" t="s">
        <v>17</v>
      </c>
      <c r="E413" s="9">
        <v>365</v>
      </c>
      <c r="F413" s="9">
        <v>299</v>
      </c>
      <c r="G413" s="9">
        <f>(Table5[[#This Row],[Supply Rate]]+Table5[[#This Row],[Install Rate]])*Table5[[#This Row],[Qty]]</f>
        <v>5431.5199999999995</v>
      </c>
      <c r="H413" s="223">
        <f>Table5[[#This Row],[Supply Rate]]*80%</f>
        <v>292</v>
      </c>
      <c r="I413" s="224"/>
      <c r="J413" s="224">
        <f>IF(Table5[[#This Row],[Material Qty]]=0,0,Table5[[#This Row],[Material Qty]]-Table5[[#This Row],[Cumulative]])</f>
        <v>0</v>
      </c>
      <c r="K413" s="223">
        <f>Table5[[#This Row],[Material Balance Qty]]*Table5[[#This Row],[Material @ Site Rate]]</f>
        <v>0</v>
      </c>
      <c r="L413" s="9"/>
      <c r="M413" s="9">
        <f>Table5[[#This Row],[Cumulative]]-Table5[[#This Row],[Previous Qty]]</f>
        <v>6.5440000000000005</v>
      </c>
      <c r="N413" s="9">
        <f>8.18*0.8</f>
        <v>6.5440000000000005</v>
      </c>
      <c r="O413" s="9">
        <f>(Table5[[#This Row],[Supply Rate]]+Table5[[#This Row],[Install Rate]])*Table5[[#This Row],[Previous Qty]]</f>
        <v>0</v>
      </c>
      <c r="P413" s="9">
        <f>Table5[[#This Row],[Cumulative Amount]]-Table5[[#This Row],[Previous Amount]]</f>
        <v>4345.2160000000003</v>
      </c>
      <c r="Q413" s="9">
        <f>(Table5[[#This Row],[Supply Rate]]+Table5[[#This Row],[Install Rate]])*Table5[[#This Row],[Cumulative]]</f>
        <v>4345.2160000000003</v>
      </c>
      <c r="R413" t="s">
        <v>936</v>
      </c>
    </row>
    <row r="414" spans="1:18" ht="29" x14ac:dyDescent="0.35">
      <c r="A414" s="6" t="s">
        <v>589</v>
      </c>
      <c r="B414" s="11" t="s">
        <v>590</v>
      </c>
      <c r="C414" s="6">
        <v>37</v>
      </c>
      <c r="D414" s="6" t="s">
        <v>10</v>
      </c>
      <c r="E414" s="9">
        <v>200</v>
      </c>
      <c r="F414" s="9">
        <v>104</v>
      </c>
      <c r="G414" s="9">
        <f>(Table5[[#This Row],[Supply Rate]]+Table5[[#This Row],[Install Rate]])*Table5[[#This Row],[Qty]]</f>
        <v>11248</v>
      </c>
      <c r="H414" s="223">
        <f>Table5[[#This Row],[Supply Rate]]*80%</f>
        <v>160</v>
      </c>
      <c r="I414" s="224"/>
      <c r="J414" s="224">
        <f>IF(Table5[[#This Row],[Material Qty]]=0,0,Table5[[#This Row],[Material Qty]]-Table5[[#This Row],[Cumulative]])</f>
        <v>0</v>
      </c>
      <c r="K414" s="223">
        <f>Table5[[#This Row],[Material Balance Qty]]*Table5[[#This Row],[Material @ Site Rate]]</f>
        <v>0</v>
      </c>
      <c r="L414" s="9"/>
      <c r="M414" s="9">
        <f>Table5[[#This Row],[Cumulative]]-Table5[[#This Row],[Previous Qty]]</f>
        <v>29.6</v>
      </c>
      <c r="N414" s="9">
        <f>37*0.8</f>
        <v>29.6</v>
      </c>
      <c r="O414" s="9">
        <f>(Table5[[#This Row],[Supply Rate]]+Table5[[#This Row],[Install Rate]])*Table5[[#This Row],[Previous Qty]]</f>
        <v>0</v>
      </c>
      <c r="P414" s="9">
        <f>Table5[[#This Row],[Cumulative Amount]]-Table5[[#This Row],[Previous Amount]]</f>
        <v>8998.4</v>
      </c>
      <c r="Q414" s="9">
        <f>(Table5[[#This Row],[Supply Rate]]+Table5[[#This Row],[Install Rate]])*Table5[[#This Row],[Cumulative]]</f>
        <v>8998.4</v>
      </c>
      <c r="R414" t="s">
        <v>936</v>
      </c>
    </row>
    <row r="415" spans="1:18" ht="29" x14ac:dyDescent="0.35">
      <c r="A415" s="6" t="s">
        <v>591</v>
      </c>
      <c r="B415" s="11" t="s">
        <v>913</v>
      </c>
      <c r="C415" s="6">
        <v>73</v>
      </c>
      <c r="D415" s="6" t="s">
        <v>10</v>
      </c>
      <c r="E415" s="9">
        <v>453</v>
      </c>
      <c r="F415" s="9">
        <v>261</v>
      </c>
      <c r="G415" s="9">
        <f>(Table5[[#This Row],[Supply Rate]]+Table5[[#This Row],[Install Rate]])*Table5[[#This Row],[Qty]]</f>
        <v>52122</v>
      </c>
      <c r="H415" s="223">
        <f>Table5[[#This Row],[Supply Rate]]*80%</f>
        <v>362.40000000000003</v>
      </c>
      <c r="I415" s="224"/>
      <c r="J415" s="224">
        <f>IF(Table5[[#This Row],[Material Qty]]=0,0,Table5[[#This Row],[Material Qty]]-Table5[[#This Row],[Cumulative]])</f>
        <v>0</v>
      </c>
      <c r="K415" s="223">
        <f>Table5[[#This Row],[Material Balance Qty]]*Table5[[#This Row],[Material @ Site Rate]]</f>
        <v>0</v>
      </c>
      <c r="L415" s="9"/>
      <c r="M415" s="9">
        <f>Table5[[#This Row],[Cumulative]]-Table5[[#This Row],[Previous Qty]]</f>
        <v>0</v>
      </c>
      <c r="N415" s="9"/>
      <c r="O415" s="9">
        <f>(Table5[[#This Row],[Supply Rate]]+Table5[[#This Row],[Install Rate]])*Table5[[#This Row],[Previous Qty]]</f>
        <v>0</v>
      </c>
      <c r="P415" s="9">
        <f>Table5[[#This Row],[Cumulative Amount]]-Table5[[#This Row],[Previous Amount]]</f>
        <v>0</v>
      </c>
      <c r="Q415" s="9">
        <f>(Table5[[#This Row],[Supply Rate]]+Table5[[#This Row],[Install Rate]])*Table5[[#This Row],[Cumulative]]</f>
        <v>0</v>
      </c>
      <c r="R415" t="s">
        <v>936</v>
      </c>
    </row>
    <row r="416" spans="1:18" ht="29" x14ac:dyDescent="0.35">
      <c r="A416" s="6" t="s">
        <v>592</v>
      </c>
      <c r="B416" s="11" t="s">
        <v>593</v>
      </c>
      <c r="C416" s="6">
        <v>73</v>
      </c>
      <c r="D416" s="6" t="s">
        <v>10</v>
      </c>
      <c r="E416" s="9">
        <v>666</v>
      </c>
      <c r="F416" s="9">
        <v>471</v>
      </c>
      <c r="G416" s="9">
        <f>(Table5[[#This Row],[Supply Rate]]+Table5[[#This Row],[Install Rate]])*Table5[[#This Row],[Qty]]</f>
        <v>83001</v>
      </c>
      <c r="H416" s="223">
        <f>Table5[[#This Row],[Supply Rate]]*80%</f>
        <v>532.80000000000007</v>
      </c>
      <c r="I416" s="224"/>
      <c r="J416" s="224">
        <f>IF(Table5[[#This Row],[Material Qty]]=0,0,Table5[[#This Row],[Material Qty]]-Table5[[#This Row],[Cumulative]])</f>
        <v>0</v>
      </c>
      <c r="K416" s="223">
        <f>Table5[[#This Row],[Material Balance Qty]]*Table5[[#This Row],[Material @ Site Rate]]</f>
        <v>0</v>
      </c>
      <c r="L416" s="9"/>
      <c r="M416" s="9">
        <f>Table5[[#This Row],[Cumulative]]-Table5[[#This Row],[Previous Qty]]</f>
        <v>0</v>
      </c>
      <c r="N416" s="9"/>
      <c r="O416" s="9">
        <f>(Table5[[#This Row],[Supply Rate]]+Table5[[#This Row],[Install Rate]])*Table5[[#This Row],[Previous Qty]]</f>
        <v>0</v>
      </c>
      <c r="P416" s="9">
        <f>Table5[[#This Row],[Cumulative Amount]]-Table5[[#This Row],[Previous Amount]]</f>
        <v>0</v>
      </c>
      <c r="Q416" s="9">
        <f>(Table5[[#This Row],[Supply Rate]]+Table5[[#This Row],[Install Rate]])*Table5[[#This Row],[Cumulative]]</f>
        <v>0</v>
      </c>
      <c r="R416" t="s">
        <v>936</v>
      </c>
    </row>
    <row r="417" spans="1:18" x14ac:dyDescent="0.35">
      <c r="A417" s="6"/>
      <c r="B417" s="7" t="s">
        <v>594</v>
      </c>
      <c r="C417" s="6"/>
      <c r="D417" s="6"/>
      <c r="E417" s="9"/>
      <c r="F417" s="9"/>
      <c r="G417" s="9"/>
      <c r="H417" s="223"/>
      <c r="I417" s="224"/>
      <c r="J417" s="224"/>
      <c r="K417" s="223"/>
      <c r="L417" s="9"/>
      <c r="M417" s="9"/>
      <c r="N417" s="9"/>
      <c r="O417" s="9"/>
      <c r="P417" s="9"/>
      <c r="Q417" s="9"/>
      <c r="R417" t="s">
        <v>936</v>
      </c>
    </row>
    <row r="418" spans="1:18" ht="58" x14ac:dyDescent="0.35">
      <c r="A418" s="6" t="s">
        <v>292</v>
      </c>
      <c r="B418" s="11" t="s">
        <v>575</v>
      </c>
      <c r="C418" s="6">
        <v>1</v>
      </c>
      <c r="D418" s="6" t="s">
        <v>364</v>
      </c>
      <c r="E418" s="9"/>
      <c r="F418" s="9"/>
      <c r="G418" s="9">
        <f>Table5[[#This Row],[Qty]]*10555-1055.5</f>
        <v>9499.5</v>
      </c>
      <c r="H418" s="223">
        <f>Table5[[#This Row],[Supply Rate]]*80%</f>
        <v>0</v>
      </c>
      <c r="I418" s="224"/>
      <c r="J418" s="224">
        <f>IF(Table5[[#This Row],[Material Qty]]=0,0,Table5[[#This Row],[Material Qty]]-Table5[[#This Row],[Cumulative]])</f>
        <v>0</v>
      </c>
      <c r="K418" s="223">
        <f>Table5[[#This Row],[Material Balance Qty]]*Table5[[#This Row],[Material @ Site Rate]]</f>
        <v>0</v>
      </c>
      <c r="L418" s="9"/>
      <c r="M418" s="9">
        <f>Table5[[#This Row],[Cumulative]]-Table5[[#This Row],[Previous Qty]]</f>
        <v>0</v>
      </c>
      <c r="N418" s="9"/>
      <c r="O418" s="9">
        <f>(Table5[[#This Row],[Supply Rate]]+Table5[[#This Row],[Install Rate]])*Table5[[#This Row],[Previous Qty]]</f>
        <v>0</v>
      </c>
      <c r="P418" s="9">
        <f>Table5[[#This Row],[Cumulative Amount]]-Table5[[#This Row],[Previous Amount]]</f>
        <v>0</v>
      </c>
      <c r="Q418" s="9">
        <f>(Table5[[#This Row],[Supply Rate]]+Table5[[#This Row],[Install Rate]])*Table5[[#This Row],[Cumulative]]</f>
        <v>0</v>
      </c>
      <c r="R418" t="s">
        <v>936</v>
      </c>
    </row>
    <row r="419" spans="1:18" ht="43.5" x14ac:dyDescent="0.35">
      <c r="A419" s="6" t="s">
        <v>294</v>
      </c>
      <c r="B419" s="11" t="s">
        <v>576</v>
      </c>
      <c r="C419" s="6">
        <v>17.28</v>
      </c>
      <c r="D419" s="6" t="s">
        <v>10</v>
      </c>
      <c r="E419" s="9"/>
      <c r="F419" s="9"/>
      <c r="G419" s="9">
        <f>(Table5[[#This Row],[Qty]]*889)-1536.19</f>
        <v>13825.730000000001</v>
      </c>
      <c r="H419" s="223">
        <f>Table5[[#This Row],[Supply Rate]]*80%</f>
        <v>0</v>
      </c>
      <c r="I419" s="224"/>
      <c r="J419" s="224">
        <f>IF(Table5[[#This Row],[Material Qty]]=0,0,Table5[[#This Row],[Material Qty]]-Table5[[#This Row],[Cumulative]])</f>
        <v>0</v>
      </c>
      <c r="K419" s="223">
        <f>Table5[[#This Row],[Material Balance Qty]]*Table5[[#This Row],[Material @ Site Rate]]</f>
        <v>0</v>
      </c>
      <c r="L419" s="9"/>
      <c r="M419" s="9">
        <f>Table5[[#This Row],[Cumulative]]-Table5[[#This Row],[Previous Qty]]</f>
        <v>0</v>
      </c>
      <c r="N419" s="9"/>
      <c r="O419" s="9">
        <f>(Table5[[#This Row],[Supply Rate]]+Table5[[#This Row],[Install Rate]])*Table5[[#This Row],[Previous Qty]]</f>
        <v>0</v>
      </c>
      <c r="P419" s="9">
        <f>Table5[[#This Row],[Cumulative Amount]]-Table5[[#This Row],[Previous Amount]]</f>
        <v>0</v>
      </c>
      <c r="Q419" s="9">
        <f>(Table5[[#This Row],[Supply Rate]]+Table5[[#This Row],[Install Rate]])*Table5[[#This Row],[Cumulative]]</f>
        <v>0</v>
      </c>
      <c r="R419" t="s">
        <v>936</v>
      </c>
    </row>
    <row r="420" spans="1:18" ht="43.5" x14ac:dyDescent="0.35">
      <c r="A420" s="6" t="s">
        <v>297</v>
      </c>
      <c r="B420" s="11" t="s">
        <v>577</v>
      </c>
      <c r="C420" s="6">
        <v>23</v>
      </c>
      <c r="D420" s="6" t="s">
        <v>10</v>
      </c>
      <c r="E420" s="9"/>
      <c r="F420" s="9"/>
      <c r="G420" s="9">
        <f>(Table5[[#This Row],[Qty]]*1000)-2300</f>
        <v>20700</v>
      </c>
      <c r="H420" s="223">
        <f>Table5[[#This Row],[Supply Rate]]*80%</f>
        <v>0</v>
      </c>
      <c r="I420" s="224"/>
      <c r="J420" s="224">
        <f>IF(Table5[[#This Row],[Material Qty]]=0,0,Table5[[#This Row],[Material Qty]]-Table5[[#This Row],[Cumulative]])</f>
        <v>0</v>
      </c>
      <c r="K420" s="223">
        <f>Table5[[#This Row],[Material Balance Qty]]*Table5[[#This Row],[Material @ Site Rate]]</f>
        <v>0</v>
      </c>
      <c r="L420" s="9"/>
      <c r="M420" s="9">
        <f>Table5[[#This Row],[Cumulative]]-Table5[[#This Row],[Previous Qty]]</f>
        <v>0</v>
      </c>
      <c r="N420" s="9"/>
      <c r="O420" s="9">
        <f>(Table5[[#This Row],[Supply Rate]]+Table5[[#This Row],[Install Rate]])*Table5[[#This Row],[Previous Qty]]</f>
        <v>0</v>
      </c>
      <c r="P420" s="9">
        <f>Table5[[#This Row],[Cumulative Amount]]-Table5[[#This Row],[Previous Amount]]</f>
        <v>0</v>
      </c>
      <c r="Q420" s="9">
        <f>(Table5[[#This Row],[Supply Rate]]+Table5[[#This Row],[Install Rate]])*Table5[[#This Row],[Cumulative]]</f>
        <v>0</v>
      </c>
      <c r="R420" t="s">
        <v>936</v>
      </c>
    </row>
    <row r="421" spans="1:18" ht="43.5" x14ac:dyDescent="0.35">
      <c r="A421" s="6" t="s">
        <v>300</v>
      </c>
      <c r="B421" s="11" t="s">
        <v>578</v>
      </c>
      <c r="C421" s="6"/>
      <c r="D421" s="6" t="s">
        <v>364</v>
      </c>
      <c r="E421" s="9"/>
      <c r="F421" s="9"/>
      <c r="G421" s="9"/>
      <c r="H421" s="223"/>
      <c r="I421" s="224"/>
      <c r="J421" s="224"/>
      <c r="K421" s="223"/>
      <c r="L421" s="9"/>
      <c r="M421" s="9"/>
      <c r="N421" s="9"/>
      <c r="O421" s="9"/>
      <c r="P421" s="9"/>
      <c r="Q421" s="9"/>
      <c r="R421" t="s">
        <v>936</v>
      </c>
    </row>
    <row r="422" spans="1:18" ht="29" x14ac:dyDescent="0.35">
      <c r="A422" s="6" t="s">
        <v>303</v>
      </c>
      <c r="B422" s="11" t="s">
        <v>579</v>
      </c>
      <c r="C422" s="6">
        <v>7</v>
      </c>
      <c r="D422" s="6" t="s">
        <v>10</v>
      </c>
      <c r="E422" s="9"/>
      <c r="F422" s="9"/>
      <c r="G422" s="9">
        <f>(C422*1060)-742</f>
        <v>6678</v>
      </c>
      <c r="H422" s="223">
        <f>Table5[[#This Row],[Supply Rate]]*80%</f>
        <v>0</v>
      </c>
      <c r="I422" s="224"/>
      <c r="J422" s="224">
        <f>IF(Table5[[#This Row],[Material Qty]]=0,0,Table5[[#This Row],[Material Qty]]-Table5[[#This Row],[Cumulative]])</f>
        <v>0</v>
      </c>
      <c r="K422" s="223">
        <f>Table5[[#This Row],[Material Balance Qty]]*Table5[[#This Row],[Material @ Site Rate]]</f>
        <v>0</v>
      </c>
      <c r="L422" s="9"/>
      <c r="M422" s="9">
        <f>Table5[[#This Row],[Cumulative]]-Table5[[#This Row],[Previous Qty]]</f>
        <v>0</v>
      </c>
      <c r="N422" s="9"/>
      <c r="O422" s="9">
        <f>(Table5[[#This Row],[Supply Rate]]+Table5[[#This Row],[Install Rate]])*Table5[[#This Row],[Previous Qty]]</f>
        <v>0</v>
      </c>
      <c r="P422" s="9">
        <f>Table5[[#This Row],[Cumulative Amount]]-Table5[[#This Row],[Previous Amount]]</f>
        <v>0</v>
      </c>
      <c r="Q422" s="9">
        <f>(Table5[[#This Row],[Supply Rate]]+Table5[[#This Row],[Install Rate]])*Table5[[#This Row],[Cumulative]]</f>
        <v>0</v>
      </c>
      <c r="R422" t="s">
        <v>936</v>
      </c>
    </row>
    <row r="423" spans="1:18" ht="43.5" x14ac:dyDescent="0.35">
      <c r="A423" s="6" t="s">
        <v>325</v>
      </c>
      <c r="B423" s="11" t="s">
        <v>580</v>
      </c>
      <c r="C423" s="6">
        <v>11.52</v>
      </c>
      <c r="D423" s="6" t="s">
        <v>10</v>
      </c>
      <c r="E423" s="9"/>
      <c r="F423" s="9"/>
      <c r="G423" s="9">
        <f>(C423*950)-1094</f>
        <v>9850</v>
      </c>
      <c r="H423" s="223">
        <f>Table5[[#This Row],[Supply Rate]]*80%</f>
        <v>0</v>
      </c>
      <c r="I423" s="224"/>
      <c r="J423" s="224">
        <f>IF(Table5[[#This Row],[Material Qty]]=0,0,Table5[[#This Row],[Material Qty]]-Table5[[#This Row],[Cumulative]])</f>
        <v>0</v>
      </c>
      <c r="K423" s="223">
        <f>Table5[[#This Row],[Material Balance Qty]]*Table5[[#This Row],[Material @ Site Rate]]</f>
        <v>0</v>
      </c>
      <c r="L423" s="9"/>
      <c r="M423" s="9">
        <f>Table5[[#This Row],[Cumulative]]-Table5[[#This Row],[Previous Qty]]</f>
        <v>0</v>
      </c>
      <c r="N423" s="9"/>
      <c r="O423" s="9">
        <f>(Table5[[#This Row],[Supply Rate]]+Table5[[#This Row],[Install Rate]])*Table5[[#This Row],[Previous Qty]]</f>
        <v>0</v>
      </c>
      <c r="P423" s="9">
        <f>Table5[[#This Row],[Cumulative Amount]]-Table5[[#This Row],[Previous Amount]]</f>
        <v>0</v>
      </c>
      <c r="Q423" s="9">
        <f>(Table5[[#This Row],[Supply Rate]]+Table5[[#This Row],[Install Rate]])*Table5[[#This Row],[Cumulative]]</f>
        <v>0</v>
      </c>
      <c r="R423" t="s">
        <v>936</v>
      </c>
    </row>
    <row r="424" spans="1:18" x14ac:dyDescent="0.35">
      <c r="A424" s="6"/>
      <c r="B424" s="11" t="s">
        <v>594</v>
      </c>
      <c r="C424" s="6"/>
      <c r="D424" s="6" t="s">
        <v>364</v>
      </c>
      <c r="E424" s="9"/>
      <c r="F424" s="9"/>
      <c r="G424" s="9"/>
      <c r="H424" s="223"/>
      <c r="I424" s="224"/>
      <c r="J424" s="224"/>
      <c r="K424" s="223"/>
      <c r="L424" s="9"/>
      <c r="M424" s="9"/>
      <c r="N424" s="9"/>
      <c r="O424" s="9"/>
      <c r="P424" s="9"/>
      <c r="Q424" s="9"/>
      <c r="R424" t="s">
        <v>936</v>
      </c>
    </row>
    <row r="425" spans="1:18" ht="43.5" x14ac:dyDescent="0.35">
      <c r="A425" s="6" t="s">
        <v>292</v>
      </c>
      <c r="B425" s="11" t="s">
        <v>581</v>
      </c>
      <c r="C425" s="6">
        <v>34</v>
      </c>
      <c r="D425" s="6" t="s">
        <v>10</v>
      </c>
      <c r="E425" s="9"/>
      <c r="F425" s="9"/>
      <c r="G425" s="9">
        <f>(C425*1000)-3400</f>
        <v>30600</v>
      </c>
      <c r="H425" s="223">
        <f>Table5[[#This Row],[Supply Rate]]*80%</f>
        <v>0</v>
      </c>
      <c r="I425" s="224"/>
      <c r="J425" s="224">
        <f>IF(Table5[[#This Row],[Material Qty]]=0,0,Table5[[#This Row],[Material Qty]]-Table5[[#This Row],[Cumulative]])</f>
        <v>0</v>
      </c>
      <c r="K425" s="223">
        <f>Table5[[#This Row],[Material Balance Qty]]*Table5[[#This Row],[Material @ Site Rate]]</f>
        <v>0</v>
      </c>
      <c r="L425" s="9"/>
      <c r="M425" s="9">
        <f>Table5[[#This Row],[Cumulative]]-Table5[[#This Row],[Previous Qty]]</f>
        <v>0</v>
      </c>
      <c r="N425" s="9"/>
      <c r="O425" s="9">
        <f>(Table5[[#This Row],[Supply Rate]]+Table5[[#This Row],[Install Rate]])*Table5[[#This Row],[Previous Qty]]</f>
        <v>0</v>
      </c>
      <c r="P425" s="9">
        <f>Table5[[#This Row],[Cumulative Amount]]-Table5[[#This Row],[Previous Amount]]</f>
        <v>0</v>
      </c>
      <c r="Q425" s="9">
        <f>(Table5[[#This Row],[Supply Rate]]+Table5[[#This Row],[Install Rate]])*Table5[[#This Row],[Cumulative]]</f>
        <v>0</v>
      </c>
      <c r="R425" t="s">
        <v>936</v>
      </c>
    </row>
    <row r="426" spans="1:18" ht="29" x14ac:dyDescent="0.35">
      <c r="A426" s="6" t="s">
        <v>294</v>
      </c>
      <c r="B426" s="11" t="s">
        <v>582</v>
      </c>
      <c r="C426" s="6"/>
      <c r="D426" s="6" t="s">
        <v>364</v>
      </c>
      <c r="E426" s="9"/>
      <c r="F426" s="9"/>
      <c r="G426" s="9"/>
      <c r="H426" s="223"/>
      <c r="I426" s="224"/>
      <c r="J426" s="224"/>
      <c r="K426" s="223"/>
      <c r="L426" s="9"/>
      <c r="M426" s="9"/>
      <c r="N426" s="9"/>
      <c r="O426" s="9"/>
      <c r="P426" s="9"/>
      <c r="Q426" s="9"/>
      <c r="R426" t="s">
        <v>936</v>
      </c>
    </row>
    <row r="427" spans="1:18" ht="58" x14ac:dyDescent="0.35">
      <c r="A427" s="6" t="s">
        <v>297</v>
      </c>
      <c r="B427" s="11" t="s">
        <v>583</v>
      </c>
      <c r="C427" s="6">
        <v>1</v>
      </c>
      <c r="D427" s="6" t="s">
        <v>364</v>
      </c>
      <c r="E427" s="9"/>
      <c r="F427" s="9"/>
      <c r="G427" s="9">
        <f>(1*12778)-1277.8</f>
        <v>11500.2</v>
      </c>
      <c r="H427" s="223">
        <f>Table5[[#This Row],[Supply Rate]]*80%</f>
        <v>0</v>
      </c>
      <c r="I427" s="224"/>
      <c r="J427" s="224">
        <f>IF(Table5[[#This Row],[Material Qty]]=0,0,Table5[[#This Row],[Material Qty]]-Table5[[#This Row],[Cumulative]])</f>
        <v>0</v>
      </c>
      <c r="K427" s="223">
        <f>Table5[[#This Row],[Material Balance Qty]]*Table5[[#This Row],[Material @ Site Rate]]</f>
        <v>0</v>
      </c>
      <c r="L427" s="9"/>
      <c r="M427" s="9">
        <f>Table5[[#This Row],[Cumulative]]-Table5[[#This Row],[Previous Qty]]</f>
        <v>0</v>
      </c>
      <c r="N427" s="9"/>
      <c r="O427" s="9">
        <f>(Table5[[#This Row],[Supply Rate]]+Table5[[#This Row],[Install Rate]])*Table5[[#This Row],[Previous Qty]]</f>
        <v>0</v>
      </c>
      <c r="P427" s="9">
        <f>Table5[[#This Row],[Cumulative Amount]]-Table5[[#This Row],[Previous Amount]]</f>
        <v>0</v>
      </c>
      <c r="Q427" s="9">
        <f>(Table5[[#This Row],[Supply Rate]]+Table5[[#This Row],[Install Rate]])*Table5[[#This Row],[Cumulative]]</f>
        <v>0</v>
      </c>
      <c r="R427" t="s">
        <v>936</v>
      </c>
    </row>
    <row r="428" spans="1:18" ht="29" x14ac:dyDescent="0.35">
      <c r="A428" s="6" t="s">
        <v>300</v>
      </c>
      <c r="B428" s="11" t="s">
        <v>584</v>
      </c>
      <c r="C428" s="6"/>
      <c r="D428" s="6" t="s">
        <v>10</v>
      </c>
      <c r="E428" s="9"/>
      <c r="F428" s="9"/>
      <c r="G428" s="9"/>
      <c r="H428" s="223"/>
      <c r="I428" s="224"/>
      <c r="J428" s="224"/>
      <c r="K428" s="223"/>
      <c r="L428" s="9"/>
      <c r="M428" s="9"/>
      <c r="N428" s="9"/>
      <c r="O428" s="9"/>
      <c r="P428" s="9"/>
      <c r="Q428" s="9"/>
      <c r="R428" t="s">
        <v>936</v>
      </c>
    </row>
    <row r="429" spans="1:18" ht="29" x14ac:dyDescent="0.35">
      <c r="A429" s="6" t="s">
        <v>327</v>
      </c>
      <c r="B429" s="11" t="s">
        <v>587</v>
      </c>
      <c r="C429" s="6">
        <v>6</v>
      </c>
      <c r="D429" s="6" t="s">
        <v>10</v>
      </c>
      <c r="E429" s="9"/>
      <c r="F429" s="9"/>
      <c r="G429" s="9">
        <f>(C429*1000)-600</f>
        <v>5400</v>
      </c>
      <c r="H429" s="223">
        <f>Table5[[#This Row],[Supply Rate]]*80%</f>
        <v>0</v>
      </c>
      <c r="I429" s="224"/>
      <c r="J429" s="224">
        <f>IF(Table5[[#This Row],[Material Qty]]=0,0,Table5[[#This Row],[Material Qty]]-Table5[[#This Row],[Cumulative]])</f>
        <v>0</v>
      </c>
      <c r="K429" s="223">
        <f>Table5[[#This Row],[Material Balance Qty]]*Table5[[#This Row],[Material @ Site Rate]]</f>
        <v>0</v>
      </c>
      <c r="L429" s="9"/>
      <c r="M429" s="9">
        <f>Table5[[#This Row],[Cumulative]]-Table5[[#This Row],[Previous Qty]]</f>
        <v>0</v>
      </c>
      <c r="N429" s="9"/>
      <c r="O429" s="9">
        <f>(Table5[[#This Row],[Supply Rate]]+Table5[[#This Row],[Install Rate]])*Table5[[#This Row],[Previous Qty]]</f>
        <v>0</v>
      </c>
      <c r="P429" s="9">
        <f>Table5[[#This Row],[Cumulative Amount]]-Table5[[#This Row],[Previous Amount]]</f>
        <v>0</v>
      </c>
      <c r="Q429" s="9">
        <f>(Table5[[#This Row],[Supply Rate]]+Table5[[#This Row],[Install Rate]])*Table5[[#This Row],[Cumulative]]</f>
        <v>0</v>
      </c>
      <c r="R429" t="s">
        <v>936</v>
      </c>
    </row>
    <row r="430" spans="1:18" x14ac:dyDescent="0.35">
      <c r="A430" s="6" t="s">
        <v>329</v>
      </c>
      <c r="B430" s="11" t="s">
        <v>588</v>
      </c>
      <c r="C430" s="6"/>
      <c r="D430" s="6" t="s">
        <v>10</v>
      </c>
      <c r="E430" s="9"/>
      <c r="F430" s="9"/>
      <c r="G430" s="9"/>
      <c r="H430" s="223"/>
      <c r="I430" s="224"/>
      <c r="J430" s="224"/>
      <c r="K430" s="223"/>
      <c r="L430" s="9"/>
      <c r="M430" s="9"/>
      <c r="N430" s="9"/>
      <c r="O430" s="9"/>
      <c r="P430" s="9"/>
      <c r="Q430" s="9"/>
      <c r="R430" t="s">
        <v>936</v>
      </c>
    </row>
    <row r="431" spans="1:18" ht="29" x14ac:dyDescent="0.35">
      <c r="A431" s="6" t="s">
        <v>589</v>
      </c>
      <c r="B431" s="11" t="s">
        <v>590</v>
      </c>
      <c r="C431" s="6"/>
      <c r="D431" s="6" t="s">
        <v>10</v>
      </c>
      <c r="E431" s="9"/>
      <c r="F431" s="9"/>
      <c r="G431" s="9"/>
      <c r="H431" s="223"/>
      <c r="I431" s="224"/>
      <c r="J431" s="224"/>
      <c r="K431" s="223"/>
      <c r="L431" s="9"/>
      <c r="M431" s="9"/>
      <c r="N431" s="9"/>
      <c r="O431" s="9"/>
      <c r="P431" s="9"/>
      <c r="Q431" s="9"/>
      <c r="R431" t="s">
        <v>936</v>
      </c>
    </row>
    <row r="432" spans="1:18" ht="29" x14ac:dyDescent="0.35">
      <c r="A432" s="6" t="s">
        <v>591</v>
      </c>
      <c r="B432" s="11" t="s">
        <v>913</v>
      </c>
      <c r="C432" s="6">
        <v>73</v>
      </c>
      <c r="D432" s="6" t="s">
        <v>10</v>
      </c>
      <c r="E432" s="9"/>
      <c r="F432" s="9"/>
      <c r="G432" s="9">
        <f>(C432*1000)-7300</f>
        <v>65700</v>
      </c>
      <c r="H432" s="223">
        <f>Table5[[#This Row],[Supply Rate]]*80%</f>
        <v>0</v>
      </c>
      <c r="I432" s="224"/>
      <c r="J432" s="224">
        <f>IF(Table5[[#This Row],[Material Qty]]=0,0,Table5[[#This Row],[Material Qty]]-Table5[[#This Row],[Cumulative]])</f>
        <v>0</v>
      </c>
      <c r="K432" s="223">
        <f>Table5[[#This Row],[Material Balance Qty]]*Table5[[#This Row],[Material @ Site Rate]]</f>
        <v>0</v>
      </c>
      <c r="L432" s="9"/>
      <c r="M432" s="9">
        <f>Table5[[#This Row],[Cumulative]]-Table5[[#This Row],[Previous Qty]]</f>
        <v>0</v>
      </c>
      <c r="N432" s="9"/>
      <c r="O432" s="9">
        <f>(Table5[[#This Row],[Supply Rate]]+Table5[[#This Row],[Install Rate]])*Table5[[#This Row],[Previous Qty]]</f>
        <v>0</v>
      </c>
      <c r="P432" s="9">
        <f>Table5[[#This Row],[Cumulative Amount]]-Table5[[#This Row],[Previous Amount]]</f>
        <v>0</v>
      </c>
      <c r="Q432" s="9">
        <f>(Table5[[#This Row],[Supply Rate]]+Table5[[#This Row],[Install Rate]])*Table5[[#This Row],[Cumulative]]</f>
        <v>0</v>
      </c>
      <c r="R432" t="s">
        <v>936</v>
      </c>
    </row>
    <row r="433" spans="1:18" ht="29" x14ac:dyDescent="0.35">
      <c r="A433" s="6" t="s">
        <v>592</v>
      </c>
      <c r="B433" s="11" t="s">
        <v>914</v>
      </c>
      <c r="C433" s="6">
        <v>73</v>
      </c>
      <c r="D433" s="6" t="s">
        <v>10</v>
      </c>
      <c r="E433" s="9"/>
      <c r="F433" s="9"/>
      <c r="G433" s="9">
        <f>(C433*1000)-7300</f>
        <v>65700</v>
      </c>
      <c r="H433" s="223">
        <f>Table5[[#This Row],[Supply Rate]]*80%</f>
        <v>0</v>
      </c>
      <c r="I433" s="224"/>
      <c r="J433" s="224">
        <f>IF(Table5[[#This Row],[Material Qty]]=0,0,Table5[[#This Row],[Material Qty]]-Table5[[#This Row],[Cumulative]])</f>
        <v>0</v>
      </c>
      <c r="K433" s="223">
        <f>Table5[[#This Row],[Material Balance Qty]]*Table5[[#This Row],[Material @ Site Rate]]</f>
        <v>0</v>
      </c>
      <c r="L433" s="9"/>
      <c r="M433" s="9">
        <f>Table5[[#This Row],[Cumulative]]-Table5[[#This Row],[Previous Qty]]</f>
        <v>0</v>
      </c>
      <c r="N433" s="9"/>
      <c r="O433" s="9">
        <f>(Table5[[#This Row],[Supply Rate]]+Table5[[#This Row],[Install Rate]])*Table5[[#This Row],[Previous Qty]]</f>
        <v>0</v>
      </c>
      <c r="P433" s="9">
        <f>Table5[[#This Row],[Cumulative Amount]]-Table5[[#This Row],[Previous Amount]]</f>
        <v>0</v>
      </c>
      <c r="Q433" s="9">
        <f>(Table5[[#This Row],[Supply Rate]]+Table5[[#This Row],[Install Rate]])*Table5[[#This Row],[Cumulative]]</f>
        <v>0</v>
      </c>
      <c r="R433" t="s">
        <v>936</v>
      </c>
    </row>
    <row r="434" spans="1:18" x14ac:dyDescent="0.35">
      <c r="A434" s="6"/>
      <c r="B434" s="7" t="s">
        <v>595</v>
      </c>
      <c r="C434" s="6"/>
      <c r="D434" s="6"/>
      <c r="E434" s="9"/>
      <c r="F434" s="9"/>
      <c r="G434" s="9"/>
      <c r="H434" s="223"/>
      <c r="I434" s="224"/>
      <c r="J434" s="224"/>
      <c r="K434" s="223"/>
      <c r="L434" s="9"/>
      <c r="M434" s="9"/>
      <c r="N434" s="9"/>
      <c r="O434" s="9"/>
      <c r="P434" s="9"/>
      <c r="Q434" s="9"/>
      <c r="R434" t="s">
        <v>936</v>
      </c>
    </row>
    <row r="435" spans="1:18" x14ac:dyDescent="0.35">
      <c r="A435" s="6"/>
      <c r="B435" s="11" t="s">
        <v>548</v>
      </c>
      <c r="C435" s="6"/>
      <c r="D435" s="6"/>
      <c r="E435" s="9"/>
      <c r="F435" s="9"/>
      <c r="G435" s="9"/>
      <c r="H435" s="223"/>
      <c r="I435" s="224"/>
      <c r="J435" s="224"/>
      <c r="K435" s="223"/>
      <c r="L435" s="9"/>
      <c r="M435" s="9"/>
      <c r="N435" s="9"/>
      <c r="O435" s="9"/>
      <c r="P435" s="9"/>
      <c r="Q435" s="9"/>
      <c r="R435" t="s">
        <v>936</v>
      </c>
    </row>
    <row r="436" spans="1:18" ht="87" x14ac:dyDescent="0.35">
      <c r="A436" s="6"/>
      <c r="B436" s="11" t="s">
        <v>549</v>
      </c>
      <c r="C436" s="6"/>
      <c r="D436" s="6"/>
      <c r="E436" s="9"/>
      <c r="F436" s="9"/>
      <c r="G436" s="9"/>
      <c r="H436" s="223"/>
      <c r="I436" s="224"/>
      <c r="J436" s="224"/>
      <c r="K436" s="223"/>
      <c r="L436" s="9"/>
      <c r="M436" s="9"/>
      <c r="N436" s="9"/>
      <c r="O436" s="9"/>
      <c r="P436" s="9"/>
      <c r="Q436" s="9"/>
      <c r="R436" t="s">
        <v>936</v>
      </c>
    </row>
    <row r="437" spans="1:18" x14ac:dyDescent="0.35">
      <c r="A437" s="6"/>
      <c r="B437" s="11" t="s">
        <v>550</v>
      </c>
      <c r="C437" s="6"/>
      <c r="D437" s="6"/>
      <c r="E437" s="9"/>
      <c r="F437" s="9"/>
      <c r="G437" s="9"/>
      <c r="H437" s="223"/>
      <c r="I437" s="224"/>
      <c r="J437" s="224"/>
      <c r="K437" s="223"/>
      <c r="L437" s="9"/>
      <c r="M437" s="9"/>
      <c r="N437" s="9"/>
      <c r="O437" s="9"/>
      <c r="P437" s="9"/>
      <c r="Q437" s="9"/>
      <c r="R437" t="s">
        <v>936</v>
      </c>
    </row>
    <row r="438" spans="1:18" x14ac:dyDescent="0.35">
      <c r="A438" s="6"/>
      <c r="B438" s="11" t="s">
        <v>551</v>
      </c>
      <c r="C438" s="6"/>
      <c r="D438" s="6"/>
      <c r="E438" s="9"/>
      <c r="F438" s="9"/>
      <c r="G438" s="9"/>
      <c r="H438" s="223"/>
      <c r="I438" s="224"/>
      <c r="J438" s="224"/>
      <c r="K438" s="223"/>
      <c r="L438" s="9"/>
      <c r="M438" s="9"/>
      <c r="N438" s="9"/>
      <c r="O438" s="9"/>
      <c r="P438" s="9"/>
      <c r="Q438" s="9"/>
      <c r="R438" t="s">
        <v>936</v>
      </c>
    </row>
    <row r="439" spans="1:18" x14ac:dyDescent="0.35">
      <c r="A439" s="6" t="s">
        <v>297</v>
      </c>
      <c r="B439" s="11" t="s">
        <v>552</v>
      </c>
      <c r="C439" s="6"/>
      <c r="D439" s="6" t="s">
        <v>17</v>
      </c>
      <c r="E439" s="9"/>
      <c r="F439" s="9"/>
      <c r="G439" s="9"/>
      <c r="H439" s="223"/>
      <c r="I439" s="224"/>
      <c r="J439" s="224"/>
      <c r="K439" s="223"/>
      <c r="L439" s="9"/>
      <c r="M439" s="9"/>
      <c r="N439" s="9"/>
      <c r="O439" s="9"/>
      <c r="P439" s="9"/>
      <c r="Q439" s="9"/>
      <c r="R439" t="s">
        <v>936</v>
      </c>
    </row>
    <row r="440" spans="1:18" x14ac:dyDescent="0.35">
      <c r="A440" s="6" t="s">
        <v>300</v>
      </c>
      <c r="B440" s="11" t="s">
        <v>596</v>
      </c>
      <c r="C440" s="6"/>
      <c r="D440" s="6" t="s">
        <v>10</v>
      </c>
      <c r="E440" s="9"/>
      <c r="F440" s="9"/>
      <c r="G440" s="9"/>
      <c r="H440" s="223"/>
      <c r="I440" s="224"/>
      <c r="J440" s="224"/>
      <c r="K440" s="223"/>
      <c r="L440" s="9"/>
      <c r="M440" s="9"/>
      <c r="N440" s="9"/>
      <c r="O440" s="9"/>
      <c r="P440" s="9"/>
      <c r="Q440" s="9"/>
      <c r="R440" t="s">
        <v>936</v>
      </c>
    </row>
    <row r="441" spans="1:18" x14ac:dyDescent="0.35">
      <c r="A441" s="6"/>
      <c r="B441" s="11" t="s">
        <v>597</v>
      </c>
      <c r="C441" s="6"/>
      <c r="D441" s="6"/>
      <c r="E441" s="9"/>
      <c r="F441" s="9"/>
      <c r="G441" s="9"/>
      <c r="H441" s="223"/>
      <c r="I441" s="224"/>
      <c r="J441" s="224"/>
      <c r="K441" s="223"/>
      <c r="L441" s="9"/>
      <c r="M441" s="9"/>
      <c r="N441" s="9"/>
      <c r="O441" s="9"/>
      <c r="P441" s="9"/>
      <c r="Q441" s="9"/>
      <c r="R441" t="s">
        <v>936</v>
      </c>
    </row>
    <row r="442" spans="1:18" x14ac:dyDescent="0.35">
      <c r="A442" s="6" t="s">
        <v>591</v>
      </c>
      <c r="B442" s="11" t="s">
        <v>554</v>
      </c>
      <c r="C442" s="6"/>
      <c r="D442" s="6" t="s">
        <v>17</v>
      </c>
      <c r="E442" s="9"/>
      <c r="F442" s="9"/>
      <c r="G442" s="9"/>
      <c r="H442" s="223"/>
      <c r="I442" s="224"/>
      <c r="J442" s="224"/>
      <c r="K442" s="223"/>
      <c r="L442" s="9"/>
      <c r="M442" s="9"/>
      <c r="N442" s="9"/>
      <c r="O442" s="9"/>
      <c r="P442" s="9"/>
      <c r="Q442" s="9"/>
      <c r="R442" t="s">
        <v>936</v>
      </c>
    </row>
    <row r="443" spans="1:18" x14ac:dyDescent="0.35">
      <c r="A443" s="6" t="s">
        <v>592</v>
      </c>
      <c r="B443" s="11" t="s">
        <v>598</v>
      </c>
      <c r="C443" s="6"/>
      <c r="D443" s="6" t="s">
        <v>10</v>
      </c>
      <c r="E443" s="9"/>
      <c r="F443" s="9"/>
      <c r="G443" s="9"/>
      <c r="H443" s="223"/>
      <c r="I443" s="224"/>
      <c r="J443" s="224"/>
      <c r="K443" s="223"/>
      <c r="L443" s="9"/>
      <c r="M443" s="9"/>
      <c r="N443" s="9"/>
      <c r="O443" s="9"/>
      <c r="P443" s="9"/>
      <c r="Q443" s="9"/>
      <c r="R443" t="s">
        <v>936</v>
      </c>
    </row>
    <row r="444" spans="1:18" x14ac:dyDescent="0.35">
      <c r="A444" s="6" t="s">
        <v>599</v>
      </c>
      <c r="B444" s="11" t="s">
        <v>600</v>
      </c>
      <c r="C444" s="6"/>
      <c r="D444" s="6" t="s">
        <v>10</v>
      </c>
      <c r="E444" s="9"/>
      <c r="F444" s="9"/>
      <c r="G444" s="9"/>
      <c r="H444" s="223"/>
      <c r="I444" s="224"/>
      <c r="J444" s="224"/>
      <c r="K444" s="223"/>
      <c r="L444" s="9"/>
      <c r="M444" s="9"/>
      <c r="N444" s="9"/>
      <c r="O444" s="9"/>
      <c r="P444" s="9"/>
      <c r="Q444" s="9"/>
      <c r="R444" t="s">
        <v>936</v>
      </c>
    </row>
    <row r="445" spans="1:18" x14ac:dyDescent="0.35">
      <c r="A445" s="6"/>
      <c r="B445" s="11" t="s">
        <v>601</v>
      </c>
      <c r="C445" s="6"/>
      <c r="D445" s="6"/>
      <c r="E445" s="9"/>
      <c r="F445" s="9"/>
      <c r="G445" s="9"/>
      <c r="H445" s="223"/>
      <c r="I445" s="224"/>
      <c r="J445" s="224"/>
      <c r="K445" s="223"/>
      <c r="L445" s="9"/>
      <c r="M445" s="9"/>
      <c r="N445" s="9"/>
      <c r="O445" s="9"/>
      <c r="P445" s="9"/>
      <c r="Q445" s="9"/>
      <c r="R445" t="s">
        <v>936</v>
      </c>
    </row>
    <row r="446" spans="1:18" x14ac:dyDescent="0.35">
      <c r="A446" s="6" t="s">
        <v>602</v>
      </c>
      <c r="B446" s="11" t="s">
        <v>554</v>
      </c>
      <c r="C446" s="6"/>
      <c r="D446" s="6" t="s">
        <v>17</v>
      </c>
      <c r="E446" s="9"/>
      <c r="F446" s="9"/>
      <c r="G446" s="9"/>
      <c r="H446" s="223"/>
      <c r="I446" s="224"/>
      <c r="J446" s="224"/>
      <c r="K446" s="223"/>
      <c r="L446" s="9"/>
      <c r="M446" s="9"/>
      <c r="N446" s="9"/>
      <c r="O446" s="9"/>
      <c r="P446" s="9"/>
      <c r="Q446" s="9"/>
      <c r="R446" t="s">
        <v>936</v>
      </c>
    </row>
    <row r="447" spans="1:18" x14ac:dyDescent="0.35">
      <c r="A447" s="6" t="s">
        <v>603</v>
      </c>
      <c r="B447" s="11" t="s">
        <v>596</v>
      </c>
      <c r="C447" s="6"/>
      <c r="D447" s="6" t="s">
        <v>10</v>
      </c>
      <c r="E447" s="9"/>
      <c r="F447" s="9"/>
      <c r="G447" s="9"/>
      <c r="H447" s="223"/>
      <c r="I447" s="224"/>
      <c r="J447" s="224"/>
      <c r="K447" s="223"/>
      <c r="L447" s="9"/>
      <c r="M447" s="9"/>
      <c r="N447" s="9"/>
      <c r="O447" s="9"/>
      <c r="P447" s="9"/>
      <c r="Q447" s="9"/>
      <c r="R447" t="s">
        <v>936</v>
      </c>
    </row>
    <row r="448" spans="1:18" x14ac:dyDescent="0.35">
      <c r="A448" s="6"/>
      <c r="B448" s="11" t="s">
        <v>604</v>
      </c>
      <c r="C448" s="6"/>
      <c r="D448" s="6"/>
      <c r="E448" s="9"/>
      <c r="F448" s="9"/>
      <c r="G448" s="9"/>
      <c r="H448" s="223"/>
      <c r="I448" s="224"/>
      <c r="J448" s="224"/>
      <c r="K448" s="223"/>
      <c r="L448" s="9"/>
      <c r="M448" s="9"/>
      <c r="N448" s="9"/>
      <c r="O448" s="9"/>
      <c r="P448" s="9"/>
      <c r="Q448" s="9"/>
      <c r="R448" t="s">
        <v>936</v>
      </c>
    </row>
    <row r="449" spans="1:18" x14ac:dyDescent="0.35">
      <c r="A449" s="6" t="s">
        <v>294</v>
      </c>
      <c r="B449" s="11" t="s">
        <v>552</v>
      </c>
      <c r="C449" s="6"/>
      <c r="D449" s="6" t="s">
        <v>17</v>
      </c>
      <c r="E449" s="9"/>
      <c r="F449" s="9"/>
      <c r="G449" s="9"/>
      <c r="H449" s="223"/>
      <c r="I449" s="224"/>
      <c r="J449" s="224"/>
      <c r="K449" s="223"/>
      <c r="L449" s="9"/>
      <c r="M449" s="9"/>
      <c r="N449" s="9"/>
      <c r="O449" s="9"/>
      <c r="P449" s="9"/>
      <c r="Q449" s="9"/>
      <c r="R449" t="s">
        <v>936</v>
      </c>
    </row>
    <row r="450" spans="1:18" x14ac:dyDescent="0.35">
      <c r="A450" s="6" t="s">
        <v>300</v>
      </c>
      <c r="B450" s="11" t="s">
        <v>596</v>
      </c>
      <c r="C450" s="6"/>
      <c r="D450" s="6" t="s">
        <v>10</v>
      </c>
      <c r="E450" s="9"/>
      <c r="F450" s="9"/>
      <c r="G450" s="9"/>
      <c r="H450" s="223"/>
      <c r="I450" s="224"/>
      <c r="J450" s="224"/>
      <c r="K450" s="223"/>
      <c r="L450" s="9"/>
      <c r="M450" s="9"/>
      <c r="N450" s="9"/>
      <c r="O450" s="9"/>
      <c r="P450" s="9"/>
      <c r="Q450" s="9"/>
      <c r="R450" t="s">
        <v>936</v>
      </c>
    </row>
    <row r="451" spans="1:18" x14ac:dyDescent="0.35">
      <c r="A451" s="6" t="s">
        <v>303</v>
      </c>
      <c r="B451" s="11" t="s">
        <v>605</v>
      </c>
      <c r="C451" s="6"/>
      <c r="D451" s="6" t="s">
        <v>10</v>
      </c>
      <c r="E451" s="9"/>
      <c r="F451" s="9"/>
      <c r="G451" s="9"/>
      <c r="H451" s="223"/>
      <c r="I451" s="224"/>
      <c r="J451" s="224"/>
      <c r="K451" s="223"/>
      <c r="L451" s="9"/>
      <c r="M451" s="9"/>
      <c r="N451" s="9"/>
      <c r="O451" s="9"/>
      <c r="P451" s="9"/>
      <c r="Q451" s="9"/>
      <c r="R451" t="s">
        <v>936</v>
      </c>
    </row>
    <row r="452" spans="1:18" x14ac:dyDescent="0.35">
      <c r="A452" s="6"/>
      <c r="B452" s="11" t="s">
        <v>606</v>
      </c>
      <c r="C452" s="6"/>
      <c r="D452" s="6"/>
      <c r="E452" s="9"/>
      <c r="F452" s="9"/>
      <c r="G452" s="9"/>
      <c r="H452" s="223"/>
      <c r="I452" s="224"/>
      <c r="J452" s="224"/>
      <c r="K452" s="223"/>
      <c r="L452" s="9"/>
      <c r="M452" s="9"/>
      <c r="N452" s="9"/>
      <c r="O452" s="9"/>
      <c r="P452" s="9"/>
      <c r="Q452" s="9"/>
      <c r="R452" t="s">
        <v>936</v>
      </c>
    </row>
    <row r="453" spans="1:18" x14ac:dyDescent="0.35">
      <c r="A453" s="6" t="s">
        <v>329</v>
      </c>
      <c r="B453" s="11" t="s">
        <v>552</v>
      </c>
      <c r="C453" s="6"/>
      <c r="D453" s="6" t="s">
        <v>17</v>
      </c>
      <c r="E453" s="9"/>
      <c r="F453" s="9"/>
      <c r="G453" s="9"/>
      <c r="H453" s="223"/>
      <c r="I453" s="224"/>
      <c r="J453" s="224"/>
      <c r="K453" s="223"/>
      <c r="L453" s="9"/>
      <c r="M453" s="9"/>
      <c r="N453" s="9"/>
      <c r="O453" s="9"/>
      <c r="P453" s="9"/>
      <c r="Q453" s="9"/>
      <c r="R453" t="s">
        <v>936</v>
      </c>
    </row>
    <row r="454" spans="1:18" x14ac:dyDescent="0.35">
      <c r="A454" s="6"/>
      <c r="B454" s="11" t="s">
        <v>607</v>
      </c>
      <c r="C454" s="6"/>
      <c r="D454" s="6"/>
      <c r="E454" s="9"/>
      <c r="F454" s="9"/>
      <c r="G454" s="9"/>
      <c r="H454" s="223"/>
      <c r="I454" s="224"/>
      <c r="J454" s="224"/>
      <c r="K454" s="223"/>
      <c r="L454" s="9"/>
      <c r="M454" s="9"/>
      <c r="N454" s="9"/>
      <c r="O454" s="9"/>
      <c r="P454" s="9"/>
      <c r="Q454" s="9"/>
      <c r="R454" t="s">
        <v>936</v>
      </c>
    </row>
    <row r="455" spans="1:18" x14ac:dyDescent="0.35">
      <c r="A455" s="6" t="s">
        <v>608</v>
      </c>
      <c r="B455" s="11" t="s">
        <v>552</v>
      </c>
      <c r="C455" s="6"/>
      <c r="D455" s="6" t="s">
        <v>17</v>
      </c>
      <c r="E455" s="9"/>
      <c r="F455" s="9"/>
      <c r="G455" s="9"/>
      <c r="H455" s="223"/>
      <c r="I455" s="224"/>
      <c r="J455" s="224"/>
      <c r="K455" s="223"/>
      <c r="L455" s="9"/>
      <c r="M455" s="9"/>
      <c r="N455" s="9"/>
      <c r="O455" s="9"/>
      <c r="P455" s="9"/>
      <c r="Q455" s="9"/>
      <c r="R455" t="s">
        <v>936</v>
      </c>
    </row>
    <row r="456" spans="1:18" x14ac:dyDescent="0.35">
      <c r="A456" s="6" t="s">
        <v>602</v>
      </c>
      <c r="B456" s="11" t="s">
        <v>609</v>
      </c>
      <c r="C456" s="6"/>
      <c r="D456" s="6" t="s">
        <v>10</v>
      </c>
      <c r="E456" s="9"/>
      <c r="F456" s="9"/>
      <c r="G456" s="9"/>
      <c r="H456" s="223"/>
      <c r="I456" s="224"/>
      <c r="J456" s="224"/>
      <c r="K456" s="223"/>
      <c r="L456" s="9"/>
      <c r="M456" s="9"/>
      <c r="N456" s="9"/>
      <c r="O456" s="9"/>
      <c r="P456" s="9"/>
      <c r="Q456" s="9"/>
      <c r="R456" t="s">
        <v>936</v>
      </c>
    </row>
    <row r="457" spans="1:18" x14ac:dyDescent="0.35">
      <c r="A457" s="6"/>
      <c r="B457" s="11" t="s">
        <v>555</v>
      </c>
      <c r="C457" s="6"/>
      <c r="D457" s="6"/>
      <c r="E457" s="9"/>
      <c r="F457" s="9"/>
      <c r="G457" s="9"/>
      <c r="H457" s="223"/>
      <c r="I457" s="224"/>
      <c r="J457" s="224"/>
      <c r="K457" s="223"/>
      <c r="L457" s="9"/>
      <c r="M457" s="9"/>
      <c r="N457" s="9"/>
      <c r="O457" s="9"/>
      <c r="P457" s="9"/>
      <c r="Q457" s="9"/>
      <c r="R457" t="s">
        <v>936</v>
      </c>
    </row>
    <row r="458" spans="1:18" x14ac:dyDescent="0.35">
      <c r="A458" s="6" t="s">
        <v>603</v>
      </c>
      <c r="B458" s="11" t="s">
        <v>554</v>
      </c>
      <c r="C458" s="6"/>
      <c r="D458" s="6" t="s">
        <v>17</v>
      </c>
      <c r="E458" s="9"/>
      <c r="F458" s="9"/>
      <c r="G458" s="9"/>
      <c r="H458" s="223"/>
      <c r="I458" s="224"/>
      <c r="J458" s="224"/>
      <c r="K458" s="223"/>
      <c r="L458" s="9"/>
      <c r="M458" s="9"/>
      <c r="N458" s="9"/>
      <c r="O458" s="9"/>
      <c r="P458" s="9"/>
      <c r="Q458" s="9"/>
      <c r="R458" t="s">
        <v>936</v>
      </c>
    </row>
    <row r="459" spans="1:18" x14ac:dyDescent="0.35">
      <c r="A459" s="6" t="s">
        <v>610</v>
      </c>
      <c r="B459" s="11" t="s">
        <v>609</v>
      </c>
      <c r="C459" s="6"/>
      <c r="D459" s="6" t="s">
        <v>611</v>
      </c>
      <c r="E459" s="9"/>
      <c r="F459" s="9"/>
      <c r="G459" s="9"/>
      <c r="H459" s="223"/>
      <c r="I459" s="224"/>
      <c r="J459" s="224"/>
      <c r="K459" s="223"/>
      <c r="L459" s="9"/>
      <c r="M459" s="9"/>
      <c r="N459" s="9"/>
      <c r="O459" s="9"/>
      <c r="P459" s="9"/>
      <c r="Q459" s="9"/>
      <c r="R459" t="s">
        <v>936</v>
      </c>
    </row>
    <row r="460" spans="1:18" x14ac:dyDescent="0.35">
      <c r="A460" s="6"/>
      <c r="B460" s="11" t="s">
        <v>612</v>
      </c>
      <c r="C460" s="6"/>
      <c r="D460" s="6"/>
      <c r="E460" s="9"/>
      <c r="F460" s="9"/>
      <c r="G460" s="9"/>
      <c r="H460" s="223"/>
      <c r="I460" s="224"/>
      <c r="J460" s="224"/>
      <c r="K460" s="223"/>
      <c r="L460" s="9"/>
      <c r="M460" s="9"/>
      <c r="N460" s="9"/>
      <c r="O460" s="9"/>
      <c r="P460" s="9"/>
      <c r="Q460" s="9"/>
      <c r="R460" t="s">
        <v>936</v>
      </c>
    </row>
    <row r="461" spans="1:18" x14ac:dyDescent="0.35">
      <c r="A461" s="6"/>
      <c r="B461" s="11" t="s">
        <v>613</v>
      </c>
      <c r="C461" s="6"/>
      <c r="D461" s="6"/>
      <c r="E461" s="9"/>
      <c r="F461" s="9"/>
      <c r="G461" s="9"/>
      <c r="H461" s="223"/>
      <c r="I461" s="224"/>
      <c r="J461" s="224"/>
      <c r="K461" s="223"/>
      <c r="L461" s="9"/>
      <c r="M461" s="9"/>
      <c r="N461" s="9"/>
      <c r="O461" s="9"/>
      <c r="P461" s="9"/>
      <c r="Q461" s="9"/>
      <c r="R461" t="s">
        <v>936</v>
      </c>
    </row>
    <row r="462" spans="1:18" x14ac:dyDescent="0.35">
      <c r="A462" s="6" t="s">
        <v>294</v>
      </c>
      <c r="B462" s="11" t="s">
        <v>552</v>
      </c>
      <c r="C462" s="6"/>
      <c r="D462" s="6" t="s">
        <v>17</v>
      </c>
      <c r="E462" s="9"/>
      <c r="F462" s="9"/>
      <c r="G462" s="9"/>
      <c r="H462" s="223"/>
      <c r="I462" s="224"/>
      <c r="J462" s="224"/>
      <c r="K462" s="223"/>
      <c r="L462" s="9"/>
      <c r="M462" s="9"/>
      <c r="N462" s="9"/>
      <c r="O462" s="9"/>
      <c r="P462" s="9"/>
      <c r="Q462" s="9"/>
      <c r="R462" t="s">
        <v>936</v>
      </c>
    </row>
    <row r="463" spans="1:18" x14ac:dyDescent="0.35">
      <c r="A463" s="6" t="s">
        <v>297</v>
      </c>
      <c r="B463" s="11" t="s">
        <v>596</v>
      </c>
      <c r="C463" s="6"/>
      <c r="D463" s="6" t="s">
        <v>10</v>
      </c>
      <c r="E463" s="9"/>
      <c r="F463" s="9"/>
      <c r="G463" s="9"/>
      <c r="H463" s="223"/>
      <c r="I463" s="224"/>
      <c r="J463" s="224"/>
      <c r="K463" s="223"/>
      <c r="L463" s="9"/>
      <c r="M463" s="9"/>
      <c r="N463" s="9"/>
      <c r="O463" s="9"/>
      <c r="P463" s="9"/>
      <c r="Q463" s="9"/>
      <c r="R463" t="s">
        <v>936</v>
      </c>
    </row>
    <row r="464" spans="1:18" x14ac:dyDescent="0.35">
      <c r="A464" s="6"/>
      <c r="B464" s="11" t="s">
        <v>614</v>
      </c>
      <c r="C464" s="6"/>
      <c r="D464" s="6"/>
      <c r="E464" s="9"/>
      <c r="F464" s="9"/>
      <c r="G464" s="9"/>
      <c r="H464" s="223"/>
      <c r="I464" s="224"/>
      <c r="J464" s="224"/>
      <c r="K464" s="223"/>
      <c r="L464" s="9"/>
      <c r="M464" s="9"/>
      <c r="N464" s="9"/>
      <c r="O464" s="9"/>
      <c r="P464" s="9"/>
      <c r="Q464" s="9"/>
      <c r="R464" t="s">
        <v>936</v>
      </c>
    </row>
    <row r="465" spans="1:18" x14ac:dyDescent="0.35">
      <c r="A465" s="6" t="s">
        <v>325</v>
      </c>
      <c r="B465" s="11" t="s">
        <v>552</v>
      </c>
      <c r="C465" s="6"/>
      <c r="D465" s="6" t="s">
        <v>17</v>
      </c>
      <c r="E465" s="9"/>
      <c r="F465" s="9"/>
      <c r="G465" s="9"/>
      <c r="H465" s="223"/>
      <c r="I465" s="224"/>
      <c r="J465" s="224"/>
      <c r="K465" s="223"/>
      <c r="L465" s="9"/>
      <c r="M465" s="9"/>
      <c r="N465" s="9"/>
      <c r="O465" s="9"/>
      <c r="P465" s="9"/>
      <c r="Q465" s="9"/>
      <c r="R465" t="s">
        <v>936</v>
      </c>
    </row>
    <row r="466" spans="1:18" x14ac:dyDescent="0.35">
      <c r="A466" s="6" t="s">
        <v>327</v>
      </c>
      <c r="B466" s="11" t="s">
        <v>596</v>
      </c>
      <c r="C466" s="6"/>
      <c r="D466" s="6" t="s">
        <v>10</v>
      </c>
      <c r="E466" s="9"/>
      <c r="F466" s="9"/>
      <c r="G466" s="9"/>
      <c r="H466" s="223"/>
      <c r="I466" s="224"/>
      <c r="J466" s="224"/>
      <c r="K466" s="223"/>
      <c r="L466" s="9"/>
      <c r="M466" s="9"/>
      <c r="N466" s="9"/>
      <c r="O466" s="9"/>
      <c r="P466" s="9"/>
      <c r="Q466" s="9"/>
      <c r="R466" t="s">
        <v>936</v>
      </c>
    </row>
    <row r="467" spans="1:18" x14ac:dyDescent="0.35">
      <c r="A467" s="6"/>
      <c r="B467" s="11" t="s">
        <v>556</v>
      </c>
      <c r="C467" s="6"/>
      <c r="D467" s="6"/>
      <c r="E467" s="9"/>
      <c r="F467" s="9"/>
      <c r="G467" s="9"/>
      <c r="H467" s="223"/>
      <c r="I467" s="224"/>
      <c r="J467" s="224"/>
      <c r="K467" s="223"/>
      <c r="L467" s="9"/>
      <c r="M467" s="9"/>
      <c r="N467" s="9"/>
      <c r="O467" s="9"/>
      <c r="P467" s="9"/>
      <c r="Q467" s="9"/>
      <c r="R467" t="s">
        <v>936</v>
      </c>
    </row>
    <row r="468" spans="1:18" x14ac:dyDescent="0.35">
      <c r="A468" s="6" t="s">
        <v>591</v>
      </c>
      <c r="B468" s="11" t="s">
        <v>615</v>
      </c>
      <c r="C468" s="6"/>
      <c r="D468" s="6" t="s">
        <v>17</v>
      </c>
      <c r="E468" s="9"/>
      <c r="F468" s="9"/>
      <c r="G468" s="9"/>
      <c r="H468" s="223"/>
      <c r="I468" s="224"/>
      <c r="J468" s="224"/>
      <c r="K468" s="223"/>
      <c r="L468" s="9"/>
      <c r="M468" s="9"/>
      <c r="N468" s="9"/>
      <c r="O468" s="9"/>
      <c r="P468" s="9"/>
      <c r="Q468" s="9"/>
      <c r="R468" t="s">
        <v>936</v>
      </c>
    </row>
    <row r="469" spans="1:18" x14ac:dyDescent="0.35">
      <c r="A469" s="6" t="s">
        <v>592</v>
      </c>
      <c r="B469" s="11" t="s">
        <v>557</v>
      </c>
      <c r="C469" s="6"/>
      <c r="D469" s="6" t="s">
        <v>17</v>
      </c>
      <c r="E469" s="9"/>
      <c r="F469" s="9"/>
      <c r="G469" s="9"/>
      <c r="H469" s="223"/>
      <c r="I469" s="224"/>
      <c r="J469" s="224"/>
      <c r="K469" s="223"/>
      <c r="L469" s="9"/>
      <c r="M469" s="9"/>
      <c r="N469" s="9"/>
      <c r="O469" s="9"/>
      <c r="P469" s="9"/>
      <c r="Q469" s="9"/>
      <c r="R469" t="s">
        <v>936</v>
      </c>
    </row>
    <row r="470" spans="1:18" x14ac:dyDescent="0.35">
      <c r="A470" s="6" t="s">
        <v>608</v>
      </c>
      <c r="B470" s="11" t="s">
        <v>616</v>
      </c>
      <c r="C470" s="6">
        <v>68</v>
      </c>
      <c r="D470" s="6" t="s">
        <v>10</v>
      </c>
      <c r="E470" s="9">
        <v>208</v>
      </c>
      <c r="F470" s="9">
        <v>21</v>
      </c>
      <c r="G470" s="9">
        <f>(Table5[[#This Row],[Supply Rate]]+Table5[[#This Row],[Install Rate]])*Table5[[#This Row],[Qty]]</f>
        <v>15572</v>
      </c>
      <c r="H470" s="223">
        <f>Table5[[#This Row],[Supply Rate]]*80%</f>
        <v>166.4</v>
      </c>
      <c r="I470" s="224"/>
      <c r="J470" s="224">
        <f>IF(Table5[[#This Row],[Material Qty]]=0,0,Table5[[#This Row],[Material Qty]]-Table5[[#This Row],[Cumulative]])</f>
        <v>0</v>
      </c>
      <c r="K470" s="223">
        <f>Table5[[#This Row],[Material Balance Qty]]*Table5[[#This Row],[Material @ Site Rate]]</f>
        <v>0</v>
      </c>
      <c r="L470" s="9"/>
      <c r="M470" s="9">
        <f>Table5[[#This Row],[Cumulative]]-Table5[[#This Row],[Previous Qty]]</f>
        <v>0</v>
      </c>
      <c r="N470" s="9"/>
      <c r="O470" s="9">
        <f>(Table5[[#This Row],[Supply Rate]]+Table5[[#This Row],[Install Rate]])*Table5[[#This Row],[Previous Qty]]</f>
        <v>0</v>
      </c>
      <c r="P470" s="9">
        <f>Table5[[#This Row],[Cumulative Amount]]-Table5[[#This Row],[Previous Amount]]</f>
        <v>0</v>
      </c>
      <c r="Q470" s="9">
        <f>(Table5[[#This Row],[Supply Rate]]+Table5[[#This Row],[Install Rate]])*Table5[[#This Row],[Cumulative]]</f>
        <v>0</v>
      </c>
      <c r="R470" t="s">
        <v>936</v>
      </c>
    </row>
    <row r="471" spans="1:18" x14ac:dyDescent="0.35">
      <c r="A471" s="6"/>
      <c r="B471" s="11" t="s">
        <v>559</v>
      </c>
      <c r="C471" s="6"/>
      <c r="D471" s="6"/>
      <c r="E471" s="9"/>
      <c r="F471" s="9"/>
      <c r="G471" s="9"/>
      <c r="H471" s="223"/>
      <c r="I471" s="224"/>
      <c r="J471" s="224"/>
      <c r="K471" s="223"/>
      <c r="L471" s="9"/>
      <c r="M471" s="9"/>
      <c r="N471" s="9"/>
      <c r="O471" s="9"/>
      <c r="P471" s="9"/>
      <c r="Q471" s="9"/>
      <c r="R471" t="s">
        <v>936</v>
      </c>
    </row>
    <row r="472" spans="1:18" x14ac:dyDescent="0.35">
      <c r="A472" s="6" t="s">
        <v>603</v>
      </c>
      <c r="B472" s="11" t="s">
        <v>557</v>
      </c>
      <c r="C472" s="6"/>
      <c r="D472" s="6" t="s">
        <v>17</v>
      </c>
      <c r="E472" s="9"/>
      <c r="F472" s="9"/>
      <c r="G472" s="9"/>
      <c r="H472" s="223"/>
      <c r="I472" s="224"/>
      <c r="J472" s="224"/>
      <c r="K472" s="223"/>
      <c r="L472" s="9"/>
      <c r="M472" s="9"/>
      <c r="N472" s="9"/>
      <c r="O472" s="9"/>
      <c r="P472" s="9"/>
      <c r="Q472" s="9"/>
      <c r="R472" t="s">
        <v>936</v>
      </c>
    </row>
    <row r="473" spans="1:18" x14ac:dyDescent="0.35">
      <c r="A473" s="6" t="s">
        <v>617</v>
      </c>
      <c r="B473" s="11" t="s">
        <v>618</v>
      </c>
      <c r="C473" s="6">
        <v>59</v>
      </c>
      <c r="D473" s="6" t="s">
        <v>10</v>
      </c>
      <c r="E473" s="9">
        <v>208</v>
      </c>
      <c r="F473" s="9">
        <v>21</v>
      </c>
      <c r="G473" s="9">
        <f>(Table5[[#This Row],[Supply Rate]]+Table5[[#This Row],[Install Rate]])*Table5[[#This Row],[Qty]]</f>
        <v>13511</v>
      </c>
      <c r="H473" s="223">
        <f>Table5[[#This Row],[Supply Rate]]*80%</f>
        <v>166.4</v>
      </c>
      <c r="I473" s="224"/>
      <c r="J473" s="224">
        <f>IF(Table5[[#This Row],[Material Qty]]=0,0,Table5[[#This Row],[Material Qty]]-Table5[[#This Row],[Cumulative]])</f>
        <v>0</v>
      </c>
      <c r="K473" s="223">
        <f>Table5[[#This Row],[Material Balance Qty]]*Table5[[#This Row],[Material @ Site Rate]]</f>
        <v>0</v>
      </c>
      <c r="L473" s="9"/>
      <c r="M473" s="9">
        <f>Table5[[#This Row],[Cumulative]]-Table5[[#This Row],[Previous Qty]]</f>
        <v>0</v>
      </c>
      <c r="N473" s="9"/>
      <c r="O473" s="9">
        <f>(Table5[[#This Row],[Supply Rate]]+Table5[[#This Row],[Install Rate]])*Table5[[#This Row],[Previous Qty]]</f>
        <v>0</v>
      </c>
      <c r="P473" s="9">
        <f>Table5[[#This Row],[Cumulative Amount]]-Table5[[#This Row],[Previous Amount]]</f>
        <v>0</v>
      </c>
      <c r="Q473" s="9">
        <f>(Table5[[#This Row],[Supply Rate]]+Table5[[#This Row],[Install Rate]])*Table5[[#This Row],[Cumulative]]</f>
        <v>0</v>
      </c>
      <c r="R473" t="s">
        <v>936</v>
      </c>
    </row>
    <row r="474" spans="1:18" x14ac:dyDescent="0.35">
      <c r="A474" s="6"/>
      <c r="B474" s="11" t="s">
        <v>501</v>
      </c>
      <c r="C474" s="6"/>
      <c r="D474" s="6"/>
      <c r="E474" s="9"/>
      <c r="F474" s="9"/>
      <c r="G474" s="9"/>
      <c r="H474" s="223"/>
      <c r="I474" s="224"/>
      <c r="J474" s="224"/>
      <c r="K474" s="223"/>
      <c r="L474" s="9"/>
      <c r="M474" s="9"/>
      <c r="N474" s="9"/>
      <c r="O474" s="9"/>
      <c r="P474" s="9"/>
      <c r="Q474" s="9"/>
      <c r="R474" t="s">
        <v>936</v>
      </c>
    </row>
    <row r="475" spans="1:18" ht="72.5" x14ac:dyDescent="0.35">
      <c r="A475" s="6"/>
      <c r="B475" s="11" t="s">
        <v>560</v>
      </c>
      <c r="C475" s="6"/>
      <c r="D475" s="6"/>
      <c r="E475" s="9"/>
      <c r="F475" s="9"/>
      <c r="G475" s="9"/>
      <c r="H475" s="223"/>
      <c r="I475" s="224"/>
      <c r="J475" s="224"/>
      <c r="K475" s="223"/>
      <c r="L475" s="9"/>
      <c r="M475" s="9"/>
      <c r="N475" s="9"/>
      <c r="O475" s="9"/>
      <c r="P475" s="9"/>
      <c r="Q475" s="9"/>
      <c r="R475" t="s">
        <v>936</v>
      </c>
    </row>
    <row r="476" spans="1:18" x14ac:dyDescent="0.35">
      <c r="A476" s="6"/>
      <c r="B476" s="11" t="s">
        <v>550</v>
      </c>
      <c r="C476" s="6"/>
      <c r="D476" s="6"/>
      <c r="E476" s="9"/>
      <c r="F476" s="9"/>
      <c r="G476" s="9"/>
      <c r="H476" s="223"/>
      <c r="I476" s="224"/>
      <c r="J476" s="224"/>
      <c r="K476" s="223"/>
      <c r="L476" s="9"/>
      <c r="M476" s="9"/>
      <c r="N476" s="9"/>
      <c r="O476" s="9"/>
      <c r="P476" s="9"/>
      <c r="Q476" s="9"/>
      <c r="R476" t="s">
        <v>936</v>
      </c>
    </row>
    <row r="477" spans="1:18" x14ac:dyDescent="0.35">
      <c r="A477" s="6"/>
      <c r="B477" s="11" t="s">
        <v>619</v>
      </c>
      <c r="C477" s="6"/>
      <c r="D477" s="6"/>
      <c r="E477" s="9"/>
      <c r="F477" s="9"/>
      <c r="G477" s="9"/>
      <c r="H477" s="223"/>
      <c r="I477" s="224"/>
      <c r="J477" s="224"/>
      <c r="K477" s="223"/>
      <c r="L477" s="9"/>
      <c r="M477" s="9"/>
      <c r="N477" s="9"/>
      <c r="O477" s="9"/>
      <c r="P477" s="9"/>
      <c r="Q477" s="9"/>
      <c r="R477" t="s">
        <v>936</v>
      </c>
    </row>
    <row r="478" spans="1:18" x14ac:dyDescent="0.35">
      <c r="A478" s="6" t="s">
        <v>591</v>
      </c>
      <c r="B478" s="11" t="s">
        <v>620</v>
      </c>
      <c r="C478" s="6"/>
      <c r="D478" s="6" t="s">
        <v>611</v>
      </c>
      <c r="E478" s="9"/>
      <c r="F478" s="9"/>
      <c r="G478" s="9"/>
      <c r="H478" s="223"/>
      <c r="I478" s="224"/>
      <c r="J478" s="224"/>
      <c r="K478" s="223"/>
      <c r="L478" s="9"/>
      <c r="M478" s="9"/>
      <c r="N478" s="9"/>
      <c r="O478" s="9"/>
      <c r="P478" s="9"/>
      <c r="Q478" s="9"/>
      <c r="R478" t="s">
        <v>936</v>
      </c>
    </row>
    <row r="479" spans="1:18" x14ac:dyDescent="0.35">
      <c r="A479" s="6" t="s">
        <v>592</v>
      </c>
      <c r="B479" s="11" t="s">
        <v>621</v>
      </c>
      <c r="C479" s="6"/>
      <c r="D479" s="6" t="s">
        <v>17</v>
      </c>
      <c r="E479" s="9"/>
      <c r="F479" s="9"/>
      <c r="G479" s="9"/>
      <c r="H479" s="223"/>
      <c r="I479" s="224"/>
      <c r="J479" s="224"/>
      <c r="K479" s="223"/>
      <c r="L479" s="9"/>
      <c r="M479" s="9"/>
      <c r="N479" s="9"/>
      <c r="O479" s="9"/>
      <c r="P479" s="9"/>
      <c r="Q479" s="9"/>
      <c r="R479" t="s">
        <v>936</v>
      </c>
    </row>
    <row r="480" spans="1:18" x14ac:dyDescent="0.35">
      <c r="A480" s="6" t="s">
        <v>622</v>
      </c>
      <c r="B480" s="11" t="s">
        <v>623</v>
      </c>
      <c r="C480" s="6"/>
      <c r="D480" s="6" t="s">
        <v>17</v>
      </c>
      <c r="E480" s="9"/>
      <c r="F480" s="9"/>
      <c r="G480" s="9"/>
      <c r="H480" s="223"/>
      <c r="I480" s="224"/>
      <c r="J480" s="224"/>
      <c r="K480" s="223"/>
      <c r="L480" s="9"/>
      <c r="M480" s="9"/>
      <c r="N480" s="9"/>
      <c r="O480" s="9"/>
      <c r="P480" s="9"/>
      <c r="Q480" s="9"/>
      <c r="R480" t="s">
        <v>936</v>
      </c>
    </row>
    <row r="481" spans="1:18" x14ac:dyDescent="0.35">
      <c r="A481" s="6"/>
      <c r="B481" s="11" t="s">
        <v>624</v>
      </c>
      <c r="C481" s="6"/>
      <c r="D481" s="6"/>
      <c r="E481" s="9"/>
      <c r="F481" s="9"/>
      <c r="G481" s="9"/>
      <c r="H481" s="223"/>
      <c r="I481" s="224"/>
      <c r="J481" s="224"/>
      <c r="K481" s="223"/>
      <c r="L481" s="9"/>
      <c r="M481" s="9"/>
      <c r="N481" s="9"/>
      <c r="O481" s="9"/>
      <c r="P481" s="9"/>
      <c r="Q481" s="9"/>
      <c r="R481" t="s">
        <v>936</v>
      </c>
    </row>
    <row r="482" spans="1:18" x14ac:dyDescent="0.35">
      <c r="A482" s="6" t="s">
        <v>292</v>
      </c>
      <c r="B482" s="11" t="s">
        <v>625</v>
      </c>
      <c r="C482" s="6"/>
      <c r="D482" s="6" t="s">
        <v>611</v>
      </c>
      <c r="E482" s="9"/>
      <c r="F482" s="9"/>
      <c r="G482" s="9"/>
      <c r="H482" s="223"/>
      <c r="I482" s="224"/>
      <c r="J482" s="224"/>
      <c r="K482" s="223"/>
      <c r="L482" s="9"/>
      <c r="M482" s="9"/>
      <c r="N482" s="9"/>
      <c r="O482" s="9"/>
      <c r="P482" s="9"/>
      <c r="Q482" s="9"/>
      <c r="R482" t="s">
        <v>936</v>
      </c>
    </row>
    <row r="483" spans="1:18" x14ac:dyDescent="0.35">
      <c r="A483" s="6" t="s">
        <v>294</v>
      </c>
      <c r="B483" s="11" t="s">
        <v>626</v>
      </c>
      <c r="C483" s="6"/>
      <c r="D483" s="6" t="s">
        <v>611</v>
      </c>
      <c r="E483" s="9"/>
      <c r="F483" s="9"/>
      <c r="G483" s="9"/>
      <c r="H483" s="223"/>
      <c r="I483" s="224"/>
      <c r="J483" s="224"/>
      <c r="K483" s="223"/>
      <c r="L483" s="9"/>
      <c r="M483" s="9"/>
      <c r="N483" s="9"/>
      <c r="O483" s="9"/>
      <c r="P483" s="9"/>
      <c r="Q483" s="9"/>
      <c r="R483" t="s">
        <v>936</v>
      </c>
    </row>
    <row r="484" spans="1:18" x14ac:dyDescent="0.35">
      <c r="A484" s="6" t="s">
        <v>300</v>
      </c>
      <c r="B484" s="11" t="s">
        <v>627</v>
      </c>
      <c r="C484" s="6"/>
      <c r="D484" s="6" t="s">
        <v>611</v>
      </c>
      <c r="E484" s="9"/>
      <c r="F484" s="9"/>
      <c r="G484" s="9"/>
      <c r="H484" s="223"/>
      <c r="I484" s="224"/>
      <c r="J484" s="224"/>
      <c r="K484" s="223"/>
      <c r="L484" s="9"/>
      <c r="M484" s="9"/>
      <c r="N484" s="9"/>
      <c r="O484" s="9"/>
      <c r="P484" s="9"/>
      <c r="Q484" s="9"/>
      <c r="R484" t="s">
        <v>936</v>
      </c>
    </row>
    <row r="485" spans="1:18" x14ac:dyDescent="0.35">
      <c r="A485" s="6" t="s">
        <v>327</v>
      </c>
      <c r="B485" s="11" t="s">
        <v>628</v>
      </c>
      <c r="C485" s="6"/>
      <c r="D485" s="6" t="s">
        <v>611</v>
      </c>
      <c r="E485" s="9"/>
      <c r="F485" s="9"/>
      <c r="G485" s="9"/>
      <c r="H485" s="223"/>
      <c r="I485" s="224"/>
      <c r="J485" s="224"/>
      <c r="K485" s="223"/>
      <c r="L485" s="9"/>
      <c r="M485" s="9"/>
      <c r="N485" s="9"/>
      <c r="O485" s="9"/>
      <c r="P485" s="9"/>
      <c r="Q485" s="9"/>
      <c r="R485" t="s">
        <v>936</v>
      </c>
    </row>
    <row r="486" spans="1:18" x14ac:dyDescent="0.35">
      <c r="A486" s="6"/>
      <c r="B486" s="11" t="s">
        <v>629</v>
      </c>
      <c r="C486" s="6"/>
      <c r="D486" s="6"/>
      <c r="E486" s="9"/>
      <c r="F486" s="9"/>
      <c r="G486" s="9"/>
      <c r="H486" s="223"/>
      <c r="I486" s="224"/>
      <c r="J486" s="224"/>
      <c r="K486" s="223"/>
      <c r="L486" s="9"/>
      <c r="M486" s="9"/>
      <c r="N486" s="9"/>
      <c r="O486" s="9"/>
      <c r="P486" s="9"/>
      <c r="Q486" s="9"/>
      <c r="R486" t="s">
        <v>936</v>
      </c>
    </row>
    <row r="487" spans="1:18" x14ac:dyDescent="0.35">
      <c r="A487" s="6" t="s">
        <v>592</v>
      </c>
      <c r="B487" s="11" t="s">
        <v>626</v>
      </c>
      <c r="C487" s="6"/>
      <c r="D487" s="6" t="s">
        <v>611</v>
      </c>
      <c r="E487" s="9"/>
      <c r="F487" s="9"/>
      <c r="G487" s="9"/>
      <c r="H487" s="223"/>
      <c r="I487" s="224"/>
      <c r="J487" s="224"/>
      <c r="K487" s="223"/>
      <c r="L487" s="9"/>
      <c r="M487" s="9"/>
      <c r="N487" s="9"/>
      <c r="O487" s="9"/>
      <c r="P487" s="9"/>
      <c r="Q487" s="9"/>
      <c r="R487" t="s">
        <v>936</v>
      </c>
    </row>
    <row r="488" spans="1:18" x14ac:dyDescent="0.35">
      <c r="A488" s="6" t="s">
        <v>599</v>
      </c>
      <c r="B488" s="11" t="s">
        <v>630</v>
      </c>
      <c r="C488" s="6"/>
      <c r="D488" s="6" t="s">
        <v>611</v>
      </c>
      <c r="E488" s="9"/>
      <c r="F488" s="9"/>
      <c r="G488" s="9"/>
      <c r="H488" s="223"/>
      <c r="I488" s="224"/>
      <c r="J488" s="224"/>
      <c r="K488" s="223"/>
      <c r="L488" s="9"/>
      <c r="M488" s="9"/>
      <c r="N488" s="9"/>
      <c r="O488" s="9"/>
      <c r="P488" s="9"/>
      <c r="Q488" s="9"/>
      <c r="R488" t="s">
        <v>936</v>
      </c>
    </row>
    <row r="489" spans="1:18" x14ac:dyDescent="0.35">
      <c r="A489" s="6" t="s">
        <v>608</v>
      </c>
      <c r="B489" s="11" t="s">
        <v>631</v>
      </c>
      <c r="C489" s="6"/>
      <c r="D489" s="6" t="s">
        <v>611</v>
      </c>
      <c r="E489" s="9"/>
      <c r="F489" s="9"/>
      <c r="G489" s="9"/>
      <c r="H489" s="223"/>
      <c r="I489" s="224"/>
      <c r="J489" s="224"/>
      <c r="K489" s="223"/>
      <c r="L489" s="9"/>
      <c r="M489" s="9"/>
      <c r="N489" s="9"/>
      <c r="O489" s="9"/>
      <c r="P489" s="9"/>
      <c r="Q489" s="9"/>
      <c r="R489" t="s">
        <v>936</v>
      </c>
    </row>
    <row r="490" spans="1:18" x14ac:dyDescent="0.35">
      <c r="A490" s="6"/>
      <c r="B490" s="11" t="s">
        <v>604</v>
      </c>
      <c r="C490" s="6"/>
      <c r="D490" s="6"/>
      <c r="E490" s="9"/>
      <c r="F490" s="9"/>
      <c r="G490" s="9"/>
      <c r="H490" s="223"/>
      <c r="I490" s="224"/>
      <c r="J490" s="224"/>
      <c r="K490" s="223"/>
      <c r="L490" s="9"/>
      <c r="M490" s="9"/>
      <c r="N490" s="9"/>
      <c r="O490" s="9"/>
      <c r="P490" s="9"/>
      <c r="Q490" s="9"/>
      <c r="R490" t="s">
        <v>936</v>
      </c>
    </row>
    <row r="491" spans="1:18" x14ac:dyDescent="0.35">
      <c r="A491" s="6" t="s">
        <v>610</v>
      </c>
      <c r="B491" s="11" t="s">
        <v>632</v>
      </c>
      <c r="C491" s="6"/>
      <c r="D491" s="6" t="s">
        <v>611</v>
      </c>
      <c r="E491" s="9"/>
      <c r="F491" s="9"/>
      <c r="G491" s="9"/>
      <c r="H491" s="223"/>
      <c r="I491" s="224"/>
      <c r="J491" s="224"/>
      <c r="K491" s="223"/>
      <c r="L491" s="9"/>
      <c r="M491" s="9"/>
      <c r="N491" s="9"/>
      <c r="O491" s="9"/>
      <c r="P491" s="9"/>
      <c r="Q491" s="9"/>
      <c r="R491" t="s">
        <v>936</v>
      </c>
    </row>
    <row r="492" spans="1:18" x14ac:dyDescent="0.35">
      <c r="A492" s="6" t="s">
        <v>617</v>
      </c>
      <c r="B492" s="11" t="s">
        <v>633</v>
      </c>
      <c r="C492" s="6"/>
      <c r="D492" s="6" t="s">
        <v>17</v>
      </c>
      <c r="E492" s="9"/>
      <c r="F492" s="9"/>
      <c r="G492" s="9"/>
      <c r="H492" s="223"/>
      <c r="I492" s="224"/>
      <c r="J492" s="224"/>
      <c r="K492" s="223"/>
      <c r="L492" s="9"/>
      <c r="M492" s="9"/>
      <c r="N492" s="9"/>
      <c r="O492" s="9"/>
      <c r="P492" s="9"/>
      <c r="Q492" s="9"/>
      <c r="R492" t="s">
        <v>936</v>
      </c>
    </row>
    <row r="493" spans="1:18" x14ac:dyDescent="0.35">
      <c r="A493" s="6" t="s">
        <v>634</v>
      </c>
      <c r="B493" s="11" t="s">
        <v>635</v>
      </c>
      <c r="C493" s="6"/>
      <c r="D493" s="6" t="s">
        <v>611</v>
      </c>
      <c r="E493" s="9"/>
      <c r="F493" s="9"/>
      <c r="G493" s="9"/>
      <c r="H493" s="223"/>
      <c r="I493" s="224"/>
      <c r="J493" s="224"/>
      <c r="K493" s="223"/>
      <c r="L493" s="9"/>
      <c r="M493" s="9"/>
      <c r="N493" s="9"/>
      <c r="O493" s="9"/>
      <c r="P493" s="9"/>
      <c r="Q493" s="9"/>
      <c r="R493" t="s">
        <v>936</v>
      </c>
    </row>
    <row r="494" spans="1:18" x14ac:dyDescent="0.35">
      <c r="A494" s="6" t="s">
        <v>636</v>
      </c>
      <c r="B494" s="11" t="s">
        <v>637</v>
      </c>
      <c r="C494" s="6"/>
      <c r="D494" s="6" t="s">
        <v>611</v>
      </c>
      <c r="E494" s="9"/>
      <c r="F494" s="9"/>
      <c r="G494" s="9"/>
      <c r="H494" s="223"/>
      <c r="I494" s="224"/>
      <c r="J494" s="224"/>
      <c r="K494" s="223"/>
      <c r="L494" s="9"/>
      <c r="M494" s="9"/>
      <c r="N494" s="9"/>
      <c r="O494" s="9"/>
      <c r="P494" s="9"/>
      <c r="Q494" s="9"/>
      <c r="R494" t="s">
        <v>936</v>
      </c>
    </row>
    <row r="495" spans="1:18" x14ac:dyDescent="0.35">
      <c r="A495" s="6"/>
      <c r="B495" s="11" t="s">
        <v>607</v>
      </c>
      <c r="C495" s="6"/>
      <c r="D495" s="6"/>
      <c r="E495" s="9"/>
      <c r="F495" s="9"/>
      <c r="G495" s="9"/>
      <c r="H495" s="223"/>
      <c r="I495" s="224"/>
      <c r="J495" s="224"/>
      <c r="K495" s="223"/>
      <c r="L495" s="9"/>
      <c r="M495" s="9"/>
      <c r="N495" s="9"/>
      <c r="O495" s="9"/>
      <c r="P495" s="9"/>
      <c r="Q495" s="9"/>
      <c r="R495" t="s">
        <v>936</v>
      </c>
    </row>
    <row r="496" spans="1:18" x14ac:dyDescent="0.35">
      <c r="A496" s="6" t="s">
        <v>297</v>
      </c>
      <c r="B496" s="11" t="s">
        <v>626</v>
      </c>
      <c r="C496" s="6"/>
      <c r="D496" s="6" t="s">
        <v>611</v>
      </c>
      <c r="E496" s="9"/>
      <c r="F496" s="9"/>
      <c r="G496" s="9"/>
      <c r="H496" s="223"/>
      <c r="I496" s="224"/>
      <c r="J496" s="224"/>
      <c r="K496" s="223"/>
      <c r="L496" s="9"/>
      <c r="M496" s="9"/>
      <c r="N496" s="9"/>
      <c r="O496" s="9"/>
      <c r="P496" s="9"/>
      <c r="Q496" s="9"/>
      <c r="R496" t="s">
        <v>936</v>
      </c>
    </row>
    <row r="497" spans="1:18" x14ac:dyDescent="0.35">
      <c r="A497" s="6"/>
      <c r="B497" s="11" t="s">
        <v>607</v>
      </c>
      <c r="C497" s="6"/>
      <c r="D497" s="6"/>
      <c r="E497" s="9"/>
      <c r="F497" s="9"/>
      <c r="G497" s="9"/>
      <c r="H497" s="223"/>
      <c r="I497" s="224"/>
      <c r="J497" s="224"/>
      <c r="K497" s="223"/>
      <c r="L497" s="9"/>
      <c r="M497" s="9"/>
      <c r="N497" s="9"/>
      <c r="O497" s="9"/>
      <c r="P497" s="9"/>
      <c r="Q497" s="9"/>
      <c r="R497" t="s">
        <v>936</v>
      </c>
    </row>
    <row r="498" spans="1:18" x14ac:dyDescent="0.35">
      <c r="A498" s="6" t="s">
        <v>300</v>
      </c>
      <c r="B498" s="11" t="s">
        <v>638</v>
      </c>
      <c r="C498" s="6"/>
      <c r="D498" s="6" t="s">
        <v>17</v>
      </c>
      <c r="E498" s="9"/>
      <c r="F498" s="9"/>
      <c r="G498" s="9"/>
      <c r="H498" s="223"/>
      <c r="I498" s="224"/>
      <c r="J498" s="224"/>
      <c r="K498" s="223"/>
      <c r="L498" s="9"/>
      <c r="M498" s="9"/>
      <c r="N498" s="9"/>
      <c r="O498" s="9"/>
      <c r="P498" s="9"/>
      <c r="Q498" s="9"/>
      <c r="R498" t="s">
        <v>936</v>
      </c>
    </row>
    <row r="499" spans="1:18" x14ac:dyDescent="0.35">
      <c r="A499" s="6"/>
      <c r="B499" s="11" t="s">
        <v>607</v>
      </c>
      <c r="C499" s="6"/>
      <c r="D499" s="6"/>
      <c r="E499" s="9"/>
      <c r="F499" s="9"/>
      <c r="G499" s="9"/>
      <c r="H499" s="223"/>
      <c r="I499" s="224"/>
      <c r="J499" s="224"/>
      <c r="K499" s="223"/>
      <c r="L499" s="9"/>
      <c r="M499" s="9"/>
      <c r="N499" s="9"/>
      <c r="O499" s="9"/>
      <c r="P499" s="9"/>
      <c r="Q499" s="9"/>
      <c r="R499" t="s">
        <v>936</v>
      </c>
    </row>
    <row r="500" spans="1:18" x14ac:dyDescent="0.35">
      <c r="A500" s="6" t="s">
        <v>327</v>
      </c>
      <c r="B500" s="11" t="s">
        <v>639</v>
      </c>
      <c r="C500" s="6"/>
      <c r="D500" s="6" t="s">
        <v>10</v>
      </c>
      <c r="E500" s="9"/>
      <c r="F500" s="9"/>
      <c r="G500" s="9"/>
      <c r="H500" s="223"/>
      <c r="I500" s="224"/>
      <c r="J500" s="224"/>
      <c r="K500" s="223"/>
      <c r="L500" s="9"/>
      <c r="M500" s="9"/>
      <c r="N500" s="9"/>
      <c r="O500" s="9"/>
      <c r="P500" s="9"/>
      <c r="Q500" s="9"/>
      <c r="R500" t="s">
        <v>936</v>
      </c>
    </row>
    <row r="501" spans="1:18" x14ac:dyDescent="0.35">
      <c r="A501" s="6"/>
      <c r="B501" s="11" t="s">
        <v>607</v>
      </c>
      <c r="C501" s="6"/>
      <c r="D501" s="6"/>
      <c r="E501" s="9"/>
      <c r="F501" s="9"/>
      <c r="G501" s="9"/>
      <c r="H501" s="223"/>
      <c r="I501" s="224"/>
      <c r="J501" s="224"/>
      <c r="K501" s="223"/>
      <c r="L501" s="9"/>
      <c r="M501" s="9"/>
      <c r="N501" s="9"/>
      <c r="O501" s="9"/>
      <c r="P501" s="9"/>
      <c r="Q501" s="9"/>
      <c r="R501" t="s">
        <v>936</v>
      </c>
    </row>
    <row r="502" spans="1:18" x14ac:dyDescent="0.35">
      <c r="A502" s="6" t="s">
        <v>592</v>
      </c>
      <c r="B502" s="11" t="s">
        <v>640</v>
      </c>
      <c r="C502" s="6"/>
      <c r="D502" s="6" t="s">
        <v>10</v>
      </c>
      <c r="E502" s="9"/>
      <c r="F502" s="9"/>
      <c r="G502" s="9"/>
      <c r="H502" s="223"/>
      <c r="I502" s="224"/>
      <c r="J502" s="224"/>
      <c r="K502" s="223"/>
      <c r="L502" s="9"/>
      <c r="M502" s="9"/>
      <c r="N502" s="9"/>
      <c r="O502" s="9"/>
      <c r="P502" s="9"/>
      <c r="Q502" s="9"/>
      <c r="R502" t="s">
        <v>936</v>
      </c>
    </row>
    <row r="503" spans="1:18" x14ac:dyDescent="0.35">
      <c r="A503" s="6"/>
      <c r="B503" s="11" t="s">
        <v>641</v>
      </c>
      <c r="C503" s="6"/>
      <c r="D503" s="6"/>
      <c r="E503" s="9"/>
      <c r="F503" s="9"/>
      <c r="G503" s="9"/>
      <c r="H503" s="223"/>
      <c r="I503" s="224"/>
      <c r="J503" s="224"/>
      <c r="K503" s="223"/>
      <c r="L503" s="9"/>
      <c r="M503" s="9"/>
      <c r="N503" s="9"/>
      <c r="O503" s="9"/>
      <c r="P503" s="9"/>
      <c r="Q503" s="9"/>
      <c r="R503" t="s">
        <v>936</v>
      </c>
    </row>
    <row r="504" spans="1:18" x14ac:dyDescent="0.35">
      <c r="A504" s="6" t="s">
        <v>599</v>
      </c>
      <c r="B504" s="11" t="s">
        <v>642</v>
      </c>
      <c r="C504" s="6"/>
      <c r="D504" s="6" t="s">
        <v>611</v>
      </c>
      <c r="E504" s="9"/>
      <c r="F504" s="9"/>
      <c r="G504" s="9"/>
      <c r="H504" s="223"/>
      <c r="I504" s="224"/>
      <c r="J504" s="224"/>
      <c r="K504" s="223"/>
      <c r="L504" s="9"/>
      <c r="M504" s="9"/>
      <c r="N504" s="9"/>
      <c r="O504" s="9"/>
      <c r="P504" s="9"/>
      <c r="Q504" s="9"/>
      <c r="R504" t="s">
        <v>936</v>
      </c>
    </row>
    <row r="505" spans="1:18" x14ac:dyDescent="0.35">
      <c r="A505" s="6" t="s">
        <v>608</v>
      </c>
      <c r="B505" s="11" t="s">
        <v>643</v>
      </c>
      <c r="C505" s="6"/>
      <c r="D505" s="6" t="s">
        <v>17</v>
      </c>
      <c r="E505" s="9"/>
      <c r="F505" s="9"/>
      <c r="G505" s="9"/>
      <c r="H505" s="223"/>
      <c r="I505" s="224"/>
      <c r="J505" s="224"/>
      <c r="K505" s="223"/>
      <c r="L505" s="9"/>
      <c r="M505" s="9"/>
      <c r="N505" s="9"/>
      <c r="O505" s="9"/>
      <c r="P505" s="9"/>
      <c r="Q505" s="9"/>
      <c r="R505" t="s">
        <v>936</v>
      </c>
    </row>
    <row r="506" spans="1:18" x14ac:dyDescent="0.35">
      <c r="A506" s="6"/>
      <c r="B506" s="11" t="s">
        <v>644</v>
      </c>
      <c r="C506" s="6"/>
      <c r="D506" s="6"/>
      <c r="E506" s="9"/>
      <c r="F506" s="9"/>
      <c r="G506" s="9"/>
      <c r="H506" s="223"/>
      <c r="I506" s="224"/>
      <c r="J506" s="224"/>
      <c r="K506" s="223"/>
      <c r="L506" s="9"/>
      <c r="M506" s="9"/>
      <c r="N506" s="9"/>
      <c r="O506" s="9"/>
      <c r="P506" s="9"/>
      <c r="Q506" s="9"/>
      <c r="R506" t="s">
        <v>936</v>
      </c>
    </row>
    <row r="507" spans="1:18" x14ac:dyDescent="0.35">
      <c r="A507" s="6" t="s">
        <v>622</v>
      </c>
      <c r="B507" s="11" t="s">
        <v>626</v>
      </c>
      <c r="C507" s="6"/>
      <c r="D507" s="6" t="s">
        <v>611</v>
      </c>
      <c r="E507" s="9"/>
      <c r="F507" s="9"/>
      <c r="G507" s="9"/>
      <c r="H507" s="223"/>
      <c r="I507" s="224"/>
      <c r="J507" s="224"/>
      <c r="K507" s="223"/>
      <c r="L507" s="9"/>
      <c r="M507" s="9"/>
      <c r="N507" s="9"/>
      <c r="O507" s="9"/>
      <c r="P507" s="9"/>
      <c r="Q507" s="9"/>
      <c r="R507" t="s">
        <v>936</v>
      </c>
    </row>
    <row r="508" spans="1:18" x14ac:dyDescent="0.35">
      <c r="A508" s="6" t="s">
        <v>603</v>
      </c>
      <c r="B508" s="11" t="s">
        <v>645</v>
      </c>
      <c r="C508" s="6"/>
      <c r="D508" s="6" t="s">
        <v>611</v>
      </c>
      <c r="E508" s="9"/>
      <c r="F508" s="9"/>
      <c r="G508" s="9"/>
      <c r="H508" s="223"/>
      <c r="I508" s="224"/>
      <c r="J508" s="224"/>
      <c r="K508" s="223"/>
      <c r="L508" s="9"/>
      <c r="M508" s="9"/>
      <c r="N508" s="9"/>
      <c r="O508" s="9"/>
      <c r="P508" s="9"/>
      <c r="Q508" s="9"/>
      <c r="R508" t="s">
        <v>936</v>
      </c>
    </row>
    <row r="509" spans="1:18" x14ac:dyDescent="0.35">
      <c r="A509" s="6" t="s">
        <v>646</v>
      </c>
      <c r="B509" s="11" t="s">
        <v>647</v>
      </c>
      <c r="C509" s="6"/>
      <c r="D509" s="6" t="s">
        <v>611</v>
      </c>
      <c r="E509" s="9"/>
      <c r="F509" s="9"/>
      <c r="G509" s="9"/>
      <c r="H509" s="223"/>
      <c r="I509" s="224"/>
      <c r="J509" s="224"/>
      <c r="K509" s="223"/>
      <c r="L509" s="9"/>
      <c r="M509" s="9"/>
      <c r="N509" s="9"/>
      <c r="O509" s="9"/>
      <c r="P509" s="9"/>
      <c r="Q509" s="9"/>
      <c r="R509" t="s">
        <v>936</v>
      </c>
    </row>
    <row r="510" spans="1:18" x14ac:dyDescent="0.35">
      <c r="A510" s="6" t="s">
        <v>610</v>
      </c>
      <c r="B510" s="11" t="s">
        <v>621</v>
      </c>
      <c r="C510" s="6"/>
      <c r="D510" s="6" t="s">
        <v>17</v>
      </c>
      <c r="E510" s="9"/>
      <c r="F510" s="9"/>
      <c r="G510" s="9"/>
      <c r="H510" s="223"/>
      <c r="I510" s="224"/>
      <c r="J510" s="224"/>
      <c r="K510" s="223"/>
      <c r="L510" s="9"/>
      <c r="M510" s="9"/>
      <c r="N510" s="9"/>
      <c r="O510" s="9"/>
      <c r="P510" s="9"/>
      <c r="Q510" s="9"/>
      <c r="R510" t="s">
        <v>936</v>
      </c>
    </row>
    <row r="511" spans="1:18" x14ac:dyDescent="0.35">
      <c r="A511" s="6"/>
      <c r="B511" s="11" t="s">
        <v>648</v>
      </c>
      <c r="C511" s="6"/>
      <c r="D511" s="6"/>
      <c r="E511" s="9"/>
      <c r="F511" s="9"/>
      <c r="G511" s="9"/>
      <c r="H511" s="223"/>
      <c r="I511" s="224"/>
      <c r="J511" s="224"/>
      <c r="K511" s="223"/>
      <c r="L511" s="9"/>
      <c r="M511" s="9"/>
      <c r="N511" s="9"/>
      <c r="O511" s="9"/>
      <c r="P511" s="9"/>
      <c r="Q511" s="9"/>
      <c r="R511" t="s">
        <v>936</v>
      </c>
    </row>
    <row r="512" spans="1:18" x14ac:dyDescent="0.35">
      <c r="A512" s="6" t="s">
        <v>300</v>
      </c>
      <c r="B512" s="11" t="s">
        <v>649</v>
      </c>
      <c r="C512" s="6"/>
      <c r="D512" s="6" t="s">
        <v>611</v>
      </c>
      <c r="E512" s="9"/>
      <c r="F512" s="9"/>
      <c r="G512" s="9"/>
      <c r="H512" s="223"/>
      <c r="I512" s="224"/>
      <c r="J512" s="224"/>
      <c r="K512" s="223"/>
      <c r="L512" s="9"/>
      <c r="M512" s="9"/>
      <c r="N512" s="9"/>
      <c r="O512" s="9"/>
      <c r="P512" s="9"/>
      <c r="Q512" s="9"/>
      <c r="R512" t="s">
        <v>936</v>
      </c>
    </row>
    <row r="513" spans="1:18" x14ac:dyDescent="0.35">
      <c r="A513" s="6" t="s">
        <v>303</v>
      </c>
      <c r="B513" s="11" t="s">
        <v>650</v>
      </c>
      <c r="C513" s="6"/>
      <c r="D513" s="6" t="s">
        <v>17</v>
      </c>
      <c r="E513" s="9"/>
      <c r="F513" s="9"/>
      <c r="G513" s="9"/>
      <c r="H513" s="223"/>
      <c r="I513" s="224"/>
      <c r="J513" s="224"/>
      <c r="K513" s="223"/>
      <c r="L513" s="9"/>
      <c r="M513" s="9"/>
      <c r="N513" s="9"/>
      <c r="O513" s="9"/>
      <c r="P513" s="9"/>
      <c r="Q513" s="9"/>
      <c r="R513" t="s">
        <v>936</v>
      </c>
    </row>
    <row r="514" spans="1:18" x14ac:dyDescent="0.35">
      <c r="A514" s="6"/>
      <c r="B514" s="11" t="s">
        <v>556</v>
      </c>
      <c r="C514" s="6"/>
      <c r="D514" s="6"/>
      <c r="E514" s="9"/>
      <c r="F514" s="9"/>
      <c r="G514" s="9"/>
      <c r="H514" s="223"/>
      <c r="I514" s="224"/>
      <c r="J514" s="224"/>
      <c r="K514" s="223"/>
      <c r="L514" s="9"/>
      <c r="M514" s="9"/>
      <c r="N514" s="9"/>
      <c r="O514" s="9"/>
      <c r="P514" s="9"/>
      <c r="Q514" s="9"/>
      <c r="R514" t="s">
        <v>936</v>
      </c>
    </row>
    <row r="515" spans="1:18" x14ac:dyDescent="0.35">
      <c r="A515" s="6" t="s">
        <v>608</v>
      </c>
      <c r="B515" s="11" t="s">
        <v>651</v>
      </c>
      <c r="C515" s="6"/>
      <c r="D515" s="6" t="s">
        <v>17</v>
      </c>
      <c r="E515" s="9"/>
      <c r="F515" s="9"/>
      <c r="G515" s="9"/>
      <c r="H515" s="223"/>
      <c r="I515" s="224"/>
      <c r="J515" s="224"/>
      <c r="K515" s="223"/>
      <c r="L515" s="9"/>
      <c r="M515" s="9"/>
      <c r="N515" s="9"/>
      <c r="O515" s="9"/>
      <c r="P515" s="9"/>
      <c r="Q515" s="9"/>
      <c r="R515" t="s">
        <v>936</v>
      </c>
    </row>
    <row r="516" spans="1:18" x14ac:dyDescent="0.35">
      <c r="A516" s="6" t="s">
        <v>602</v>
      </c>
      <c r="B516" s="11" t="s">
        <v>652</v>
      </c>
      <c r="C516" s="6"/>
      <c r="D516" s="6" t="s">
        <v>611</v>
      </c>
      <c r="E516" s="9"/>
      <c r="F516" s="9"/>
      <c r="G516" s="9"/>
      <c r="H516" s="223"/>
      <c r="I516" s="224"/>
      <c r="J516" s="224"/>
      <c r="K516" s="223"/>
      <c r="L516" s="9"/>
      <c r="M516" s="9"/>
      <c r="N516" s="9"/>
      <c r="O516" s="9"/>
      <c r="P516" s="9"/>
      <c r="Q516" s="9"/>
      <c r="R516" t="s">
        <v>936</v>
      </c>
    </row>
    <row r="517" spans="1:18" x14ac:dyDescent="0.35">
      <c r="A517" s="6"/>
      <c r="B517" s="11" t="s">
        <v>559</v>
      </c>
      <c r="C517" s="6"/>
      <c r="D517" s="6"/>
      <c r="E517" s="9"/>
      <c r="F517" s="9"/>
      <c r="G517" s="9"/>
      <c r="H517" s="223"/>
      <c r="I517" s="224"/>
      <c r="J517" s="224"/>
      <c r="K517" s="223"/>
      <c r="L517" s="9"/>
      <c r="M517" s="9"/>
      <c r="N517" s="9"/>
      <c r="O517" s="9"/>
      <c r="P517" s="9"/>
      <c r="Q517" s="9"/>
      <c r="R517" t="s">
        <v>936</v>
      </c>
    </row>
    <row r="518" spans="1:18" x14ac:dyDescent="0.35">
      <c r="A518" s="6" t="s">
        <v>603</v>
      </c>
      <c r="B518" s="11" t="s">
        <v>653</v>
      </c>
      <c r="C518" s="6"/>
      <c r="D518" s="6" t="s">
        <v>17</v>
      </c>
      <c r="E518" s="9"/>
      <c r="F518" s="9"/>
      <c r="G518" s="9"/>
      <c r="H518" s="223"/>
      <c r="I518" s="224"/>
      <c r="J518" s="224"/>
      <c r="K518" s="223"/>
      <c r="L518" s="9"/>
      <c r="M518" s="9"/>
      <c r="N518" s="9"/>
      <c r="O518" s="9"/>
      <c r="P518" s="9"/>
      <c r="Q518" s="9"/>
      <c r="R518" t="s">
        <v>936</v>
      </c>
    </row>
    <row r="519" spans="1:18" x14ac:dyDescent="0.35">
      <c r="A519" s="6" t="s">
        <v>610</v>
      </c>
      <c r="B519" s="11" t="s">
        <v>654</v>
      </c>
      <c r="C519" s="6"/>
      <c r="D519" s="6" t="s">
        <v>10</v>
      </c>
      <c r="E519" s="9"/>
      <c r="F519" s="9"/>
      <c r="G519" s="9"/>
      <c r="H519" s="223"/>
      <c r="I519" s="224"/>
      <c r="J519" s="224"/>
      <c r="K519" s="223"/>
      <c r="L519" s="9"/>
      <c r="M519" s="9"/>
      <c r="N519" s="9"/>
      <c r="O519" s="9"/>
      <c r="P519" s="9"/>
      <c r="Q519" s="9"/>
      <c r="R519" t="s">
        <v>936</v>
      </c>
    </row>
    <row r="520" spans="1:18" x14ac:dyDescent="0.35">
      <c r="A520" s="6" t="s">
        <v>617</v>
      </c>
      <c r="B520" s="11" t="s">
        <v>655</v>
      </c>
      <c r="C520" s="6"/>
      <c r="D520" s="6" t="s">
        <v>10</v>
      </c>
      <c r="E520" s="9"/>
      <c r="F520" s="9"/>
      <c r="G520" s="9"/>
      <c r="H520" s="223"/>
      <c r="I520" s="224"/>
      <c r="J520" s="224"/>
      <c r="K520" s="223"/>
      <c r="L520" s="9"/>
      <c r="M520" s="9"/>
      <c r="N520" s="9"/>
      <c r="O520" s="9"/>
      <c r="P520" s="9"/>
      <c r="Q520" s="9"/>
      <c r="R520" t="s">
        <v>936</v>
      </c>
    </row>
    <row r="521" spans="1:18" x14ac:dyDescent="0.35">
      <c r="A521" s="6"/>
      <c r="B521" s="11" t="s">
        <v>656</v>
      </c>
      <c r="C521" s="6"/>
      <c r="D521" s="6"/>
      <c r="E521" s="9"/>
      <c r="F521" s="9"/>
      <c r="G521" s="9"/>
      <c r="H521" s="223"/>
      <c r="I521" s="224"/>
      <c r="J521" s="224"/>
      <c r="K521" s="223"/>
      <c r="L521" s="9"/>
      <c r="M521" s="9"/>
      <c r="N521" s="9"/>
      <c r="O521" s="9"/>
      <c r="P521" s="9"/>
      <c r="Q521" s="9"/>
      <c r="R521" t="s">
        <v>936</v>
      </c>
    </row>
    <row r="522" spans="1:18" x14ac:dyDescent="0.35">
      <c r="A522" s="6" t="s">
        <v>297</v>
      </c>
      <c r="B522" s="11" t="s">
        <v>657</v>
      </c>
      <c r="C522" s="6"/>
      <c r="D522" s="6" t="s">
        <v>17</v>
      </c>
      <c r="E522" s="9"/>
      <c r="F522" s="9"/>
      <c r="G522" s="9"/>
      <c r="H522" s="223"/>
      <c r="I522" s="224"/>
      <c r="J522" s="224"/>
      <c r="K522" s="223"/>
      <c r="L522" s="9"/>
      <c r="M522" s="9"/>
      <c r="N522" s="9"/>
      <c r="O522" s="9"/>
      <c r="P522" s="9"/>
      <c r="Q522" s="9"/>
      <c r="R522" t="s">
        <v>936</v>
      </c>
    </row>
    <row r="523" spans="1:18" x14ac:dyDescent="0.35">
      <c r="A523" s="6" t="s">
        <v>300</v>
      </c>
      <c r="B523" s="11" t="s">
        <v>643</v>
      </c>
      <c r="C523" s="6"/>
      <c r="D523" s="6" t="s">
        <v>17</v>
      </c>
      <c r="E523" s="9"/>
      <c r="F523" s="9"/>
      <c r="G523" s="9"/>
      <c r="H523" s="223"/>
      <c r="I523" s="224"/>
      <c r="J523" s="224"/>
      <c r="K523" s="223"/>
      <c r="L523" s="9"/>
      <c r="M523" s="9"/>
      <c r="N523" s="9"/>
      <c r="O523" s="9"/>
      <c r="P523" s="9"/>
      <c r="Q523" s="9"/>
      <c r="R523" t="s">
        <v>936</v>
      </c>
    </row>
    <row r="524" spans="1:18" x14ac:dyDescent="0.35">
      <c r="A524" s="6"/>
      <c r="B524" s="11" t="s">
        <v>658</v>
      </c>
      <c r="C524" s="6"/>
      <c r="D524" s="6"/>
      <c r="E524" s="9"/>
      <c r="F524" s="9"/>
      <c r="G524" s="9"/>
      <c r="H524" s="223"/>
      <c r="I524" s="224"/>
      <c r="J524" s="224"/>
      <c r="K524" s="223"/>
      <c r="L524" s="9"/>
      <c r="M524" s="9"/>
      <c r="N524" s="9"/>
      <c r="O524" s="9"/>
      <c r="P524" s="9"/>
      <c r="Q524" s="9"/>
      <c r="R524" t="s">
        <v>936</v>
      </c>
    </row>
    <row r="525" spans="1:18" x14ac:dyDescent="0.35">
      <c r="A525" s="6" t="s">
        <v>329</v>
      </c>
      <c r="B525" s="11" t="s">
        <v>657</v>
      </c>
      <c r="C525" s="6"/>
      <c r="D525" s="6" t="s">
        <v>17</v>
      </c>
      <c r="E525" s="9"/>
      <c r="F525" s="9"/>
      <c r="G525" s="9"/>
      <c r="H525" s="223"/>
      <c r="I525" s="224"/>
      <c r="J525" s="224"/>
      <c r="K525" s="223"/>
      <c r="L525" s="9"/>
      <c r="M525" s="9"/>
      <c r="N525" s="9"/>
      <c r="O525" s="9"/>
      <c r="P525" s="9"/>
      <c r="Q525" s="9"/>
      <c r="R525" t="s">
        <v>936</v>
      </c>
    </row>
    <row r="526" spans="1:18" x14ac:dyDescent="0.35">
      <c r="A526" s="6"/>
      <c r="B526" s="11" t="s">
        <v>380</v>
      </c>
      <c r="C526" s="6"/>
      <c r="D526" s="6"/>
      <c r="E526" s="9"/>
      <c r="F526" s="9"/>
      <c r="G526" s="9"/>
      <c r="H526" s="223"/>
      <c r="I526" s="224"/>
      <c r="J526" s="224"/>
      <c r="K526" s="223"/>
      <c r="L526" s="9"/>
      <c r="M526" s="9"/>
      <c r="N526" s="9"/>
      <c r="O526" s="9"/>
      <c r="P526" s="9"/>
      <c r="Q526" s="9"/>
      <c r="R526" t="s">
        <v>936</v>
      </c>
    </row>
    <row r="527" spans="1:18" x14ac:dyDescent="0.35">
      <c r="A527" s="6" t="s">
        <v>292</v>
      </c>
      <c r="B527" s="11" t="s">
        <v>659</v>
      </c>
      <c r="C527" s="6"/>
      <c r="D527" s="6"/>
      <c r="E527" s="9"/>
      <c r="F527" s="9"/>
      <c r="G527" s="9"/>
      <c r="H527" s="223"/>
      <c r="I527" s="224"/>
      <c r="J527" s="224"/>
      <c r="K527" s="223"/>
      <c r="L527" s="9"/>
      <c r="M527" s="9"/>
      <c r="N527" s="9"/>
      <c r="O527" s="9"/>
      <c r="P527" s="9"/>
      <c r="Q527" s="9"/>
      <c r="R527" t="s">
        <v>936</v>
      </c>
    </row>
    <row r="528" spans="1:18" x14ac:dyDescent="0.35">
      <c r="A528" s="6"/>
      <c r="B528" s="11" t="s">
        <v>660</v>
      </c>
      <c r="C528" s="6">
        <v>6.91</v>
      </c>
      <c r="D528" s="6" t="s">
        <v>10</v>
      </c>
      <c r="E528" s="9">
        <v>102</v>
      </c>
      <c r="F528" s="9">
        <v>34</v>
      </c>
      <c r="G528" s="9">
        <f>(Table5[[#This Row],[Supply Rate]]+Table5[[#This Row],[Install Rate]])*Table5[[#This Row],[Qty]]</f>
        <v>939.76</v>
      </c>
      <c r="H528" s="223">
        <f>Table5[[#This Row],[Supply Rate]]*80%</f>
        <v>81.600000000000009</v>
      </c>
      <c r="I528" s="224"/>
      <c r="J528" s="224">
        <f>IF(Table5[[#This Row],[Material Qty]]=0,0,Table5[[#This Row],[Material Qty]]-Table5[[#This Row],[Cumulative]])</f>
        <v>0</v>
      </c>
      <c r="K528" s="223">
        <f>Table5[[#This Row],[Material Balance Qty]]*Table5[[#This Row],[Material @ Site Rate]]</f>
        <v>0</v>
      </c>
      <c r="L528" s="9"/>
      <c r="M528" s="9">
        <f>Table5[[#This Row],[Cumulative]]-Table5[[#This Row],[Previous Qty]]</f>
        <v>0</v>
      </c>
      <c r="N528" s="9"/>
      <c r="O528" s="9">
        <f>(Table5[[#This Row],[Supply Rate]]+Table5[[#This Row],[Install Rate]])*Table5[[#This Row],[Previous Qty]]</f>
        <v>0</v>
      </c>
      <c r="P528" s="9">
        <f>Table5[[#This Row],[Cumulative Amount]]-Table5[[#This Row],[Previous Amount]]</f>
        <v>0</v>
      </c>
      <c r="Q528" s="9">
        <f>(Table5[[#This Row],[Supply Rate]]+Table5[[#This Row],[Install Rate]])*Table5[[#This Row],[Cumulative]]</f>
        <v>0</v>
      </c>
      <c r="R528" t="s">
        <v>936</v>
      </c>
    </row>
    <row r="529" spans="1:18" x14ac:dyDescent="0.35">
      <c r="A529" s="6" t="s">
        <v>294</v>
      </c>
      <c r="B529" s="11" t="s">
        <v>661</v>
      </c>
      <c r="C529" s="6"/>
      <c r="D529" s="6"/>
      <c r="E529" s="9"/>
      <c r="F529" s="9"/>
      <c r="G529" s="9"/>
      <c r="H529" s="223"/>
      <c r="I529" s="224"/>
      <c r="J529" s="224"/>
      <c r="K529" s="223"/>
      <c r="L529" s="9"/>
      <c r="M529" s="9"/>
      <c r="N529" s="9"/>
      <c r="O529" s="9"/>
      <c r="P529" s="9"/>
      <c r="Q529" s="9"/>
      <c r="R529" t="s">
        <v>936</v>
      </c>
    </row>
    <row r="530" spans="1:18" x14ac:dyDescent="0.35">
      <c r="A530" s="6"/>
      <c r="B530" s="11" t="s">
        <v>660</v>
      </c>
      <c r="C530" s="6">
        <v>5.13</v>
      </c>
      <c r="D530" s="6" t="s">
        <v>10</v>
      </c>
      <c r="E530" s="9">
        <v>102</v>
      </c>
      <c r="F530" s="9">
        <v>34</v>
      </c>
      <c r="G530" s="9">
        <f>(Table5[[#This Row],[Supply Rate]]+Table5[[#This Row],[Install Rate]])*Table5[[#This Row],[Qty]]</f>
        <v>697.68</v>
      </c>
      <c r="H530" s="223">
        <f>Table5[[#This Row],[Supply Rate]]*80%</f>
        <v>81.600000000000009</v>
      </c>
      <c r="I530" s="224"/>
      <c r="J530" s="224">
        <f>IF(Table5[[#This Row],[Material Qty]]=0,0,Table5[[#This Row],[Material Qty]]-Table5[[#This Row],[Cumulative]])</f>
        <v>0</v>
      </c>
      <c r="K530" s="223">
        <f>Table5[[#This Row],[Material Balance Qty]]*Table5[[#This Row],[Material @ Site Rate]]</f>
        <v>0</v>
      </c>
      <c r="L530" s="9"/>
      <c r="M530" s="9">
        <f>Table5[[#This Row],[Cumulative]]-Table5[[#This Row],[Previous Qty]]</f>
        <v>0</v>
      </c>
      <c r="N530" s="9"/>
      <c r="O530" s="9">
        <f>(Table5[[#This Row],[Supply Rate]]+Table5[[#This Row],[Install Rate]])*Table5[[#This Row],[Previous Qty]]</f>
        <v>0</v>
      </c>
      <c r="P530" s="9">
        <f>Table5[[#This Row],[Cumulative Amount]]-Table5[[#This Row],[Previous Amount]]</f>
        <v>0</v>
      </c>
      <c r="Q530" s="9">
        <f>(Table5[[#This Row],[Supply Rate]]+Table5[[#This Row],[Install Rate]])*Table5[[#This Row],[Cumulative]]</f>
        <v>0</v>
      </c>
      <c r="R530" t="s">
        <v>936</v>
      </c>
    </row>
    <row r="531" spans="1:18" s="198" customFormat="1" ht="29" x14ac:dyDescent="0.35">
      <c r="A531" s="203"/>
      <c r="B531" s="202" t="s">
        <v>393</v>
      </c>
      <c r="C531" s="203"/>
      <c r="D531" s="203"/>
      <c r="E531" s="204"/>
      <c r="F531" s="204"/>
      <c r="G531" s="204"/>
      <c r="H531" s="223"/>
      <c r="I531" s="224"/>
      <c r="J531" s="224"/>
      <c r="K531" s="223"/>
      <c r="L531" s="204"/>
      <c r="M531" s="204"/>
      <c r="N531" s="204"/>
      <c r="O531" s="204"/>
      <c r="P531" s="204"/>
      <c r="Q531" s="204"/>
      <c r="R531" t="s">
        <v>936</v>
      </c>
    </row>
    <row r="532" spans="1:18" x14ac:dyDescent="0.35">
      <c r="A532" s="6"/>
      <c r="B532" s="11" t="s">
        <v>399</v>
      </c>
      <c r="C532" s="6"/>
      <c r="D532" s="6"/>
      <c r="E532" s="9"/>
      <c r="F532" s="9"/>
      <c r="G532" s="9"/>
      <c r="H532" s="223"/>
      <c r="I532" s="224"/>
      <c r="J532" s="224"/>
      <c r="K532" s="223"/>
      <c r="L532" s="9"/>
      <c r="M532" s="9"/>
      <c r="N532" s="9"/>
      <c r="O532" s="9"/>
      <c r="P532" s="9"/>
      <c r="Q532" s="9"/>
      <c r="R532" t="s">
        <v>936</v>
      </c>
    </row>
    <row r="533" spans="1:18" ht="58" x14ac:dyDescent="0.35">
      <c r="A533" s="6"/>
      <c r="B533" s="11" t="s">
        <v>662</v>
      </c>
      <c r="C533" s="6"/>
      <c r="D533" s="6"/>
      <c r="E533" s="9"/>
      <c r="F533" s="9"/>
      <c r="G533" s="9"/>
      <c r="H533" s="223"/>
      <c r="I533" s="224"/>
      <c r="J533" s="224"/>
      <c r="K533" s="223"/>
      <c r="L533" s="9"/>
      <c r="M533" s="9"/>
      <c r="N533" s="9"/>
      <c r="O533" s="9"/>
      <c r="P533" s="9"/>
      <c r="Q533" s="9"/>
      <c r="R533" t="s">
        <v>936</v>
      </c>
    </row>
    <row r="534" spans="1:18" ht="43.5" x14ac:dyDescent="0.35">
      <c r="A534" s="6" t="s">
        <v>294</v>
      </c>
      <c r="B534" s="11" t="s">
        <v>915</v>
      </c>
      <c r="C534" s="6"/>
      <c r="D534" s="6"/>
      <c r="E534" s="9"/>
      <c r="F534" s="9"/>
      <c r="G534" s="9"/>
      <c r="H534" s="223"/>
      <c r="I534" s="224"/>
      <c r="J534" s="224"/>
      <c r="K534" s="223"/>
      <c r="L534" s="9"/>
      <c r="M534" s="9"/>
      <c r="N534" s="9"/>
      <c r="O534" s="9"/>
      <c r="P534" s="9"/>
      <c r="Q534" s="9"/>
      <c r="R534" t="s">
        <v>936</v>
      </c>
    </row>
    <row r="535" spans="1:18" x14ac:dyDescent="0.35">
      <c r="A535" s="6">
        <v>1</v>
      </c>
      <c r="B535" s="11" t="s">
        <v>663</v>
      </c>
      <c r="C535" s="6">
        <v>1</v>
      </c>
      <c r="D535" s="6" t="s">
        <v>664</v>
      </c>
      <c r="E535" s="9">
        <v>5087</v>
      </c>
      <c r="F535" s="9">
        <v>318</v>
      </c>
      <c r="G535" s="9">
        <f>(Table5[[#This Row],[Supply Rate]]+Table5[[#This Row],[Install Rate]])*Table5[[#This Row],[Qty]]</f>
        <v>5405</v>
      </c>
      <c r="H535" s="223">
        <f>Table5[[#This Row],[Supply Rate]]*80%</f>
        <v>4069.6000000000004</v>
      </c>
      <c r="I535" s="224"/>
      <c r="J535" s="224">
        <f>IF(Table5[[#This Row],[Material Qty]]=0,0,Table5[[#This Row],[Material Qty]]-Table5[[#This Row],[Cumulative]])</f>
        <v>0</v>
      </c>
      <c r="K535" s="223">
        <f>Table5[[#This Row],[Material Balance Qty]]*Table5[[#This Row],[Material @ Site Rate]]</f>
        <v>0</v>
      </c>
      <c r="L535" s="9"/>
      <c r="M535" s="9">
        <f>Table5[[#This Row],[Cumulative]]-Table5[[#This Row],[Previous Qty]]</f>
        <v>0</v>
      </c>
      <c r="N535" s="9"/>
      <c r="O535" s="9">
        <f>(Table5[[#This Row],[Supply Rate]]+Table5[[#This Row],[Install Rate]])*Table5[[#This Row],[Previous Qty]]</f>
        <v>0</v>
      </c>
      <c r="P535" s="9">
        <f>Table5[[#This Row],[Cumulative Amount]]-Table5[[#This Row],[Previous Amount]]</f>
        <v>0</v>
      </c>
      <c r="Q535" s="9">
        <f>(Table5[[#This Row],[Supply Rate]]+Table5[[#This Row],[Install Rate]])*Table5[[#This Row],[Cumulative]]</f>
        <v>0</v>
      </c>
      <c r="R535" t="s">
        <v>936</v>
      </c>
    </row>
    <row r="536" spans="1:18" x14ac:dyDescent="0.35">
      <c r="A536" s="6">
        <v>2</v>
      </c>
      <c r="B536" s="11" t="s">
        <v>665</v>
      </c>
      <c r="C536" s="6">
        <v>1</v>
      </c>
      <c r="D536" s="6" t="s">
        <v>664</v>
      </c>
      <c r="E536" s="9">
        <v>5408</v>
      </c>
      <c r="F536" s="9">
        <v>494</v>
      </c>
      <c r="G536" s="9">
        <f>(Table5[[#This Row],[Supply Rate]]+Table5[[#This Row],[Install Rate]])*Table5[[#This Row],[Qty]]</f>
        <v>5902</v>
      </c>
      <c r="H536" s="223">
        <f>Table5[[#This Row],[Supply Rate]]*80%</f>
        <v>4326.4000000000005</v>
      </c>
      <c r="I536" s="224"/>
      <c r="J536" s="224">
        <f>IF(Table5[[#This Row],[Material Qty]]=0,0,Table5[[#This Row],[Material Qty]]-Table5[[#This Row],[Cumulative]])</f>
        <v>0</v>
      </c>
      <c r="K536" s="223">
        <f>Table5[[#This Row],[Material Balance Qty]]*Table5[[#This Row],[Material @ Site Rate]]</f>
        <v>0</v>
      </c>
      <c r="L536" s="9"/>
      <c r="M536" s="9">
        <f>Table5[[#This Row],[Cumulative]]-Table5[[#This Row],[Previous Qty]]</f>
        <v>0</v>
      </c>
      <c r="N536" s="9"/>
      <c r="O536" s="9">
        <f>(Table5[[#This Row],[Supply Rate]]+Table5[[#This Row],[Install Rate]])*Table5[[#This Row],[Previous Qty]]</f>
        <v>0</v>
      </c>
      <c r="P536" s="9">
        <f>Table5[[#This Row],[Cumulative Amount]]-Table5[[#This Row],[Previous Amount]]</f>
        <v>0</v>
      </c>
      <c r="Q536" s="9">
        <f>(Table5[[#This Row],[Supply Rate]]+Table5[[#This Row],[Install Rate]])*Table5[[#This Row],[Cumulative]]</f>
        <v>0</v>
      </c>
      <c r="R536" t="s">
        <v>936</v>
      </c>
    </row>
    <row r="537" spans="1:18" ht="29" x14ac:dyDescent="0.35">
      <c r="A537" s="6" t="s">
        <v>297</v>
      </c>
      <c r="B537" s="11" t="s">
        <v>666</v>
      </c>
      <c r="C537" s="6">
        <v>1</v>
      </c>
      <c r="D537" s="6" t="s">
        <v>664</v>
      </c>
      <c r="E537" s="9">
        <v>645</v>
      </c>
      <c r="F537" s="9">
        <v>377</v>
      </c>
      <c r="G537" s="9">
        <f>(Table5[[#This Row],[Supply Rate]]+Table5[[#This Row],[Install Rate]])*Table5[[#This Row],[Qty]]</f>
        <v>1022</v>
      </c>
      <c r="H537" s="223">
        <f>Table5[[#This Row],[Supply Rate]]*80%</f>
        <v>516</v>
      </c>
      <c r="I537" s="224"/>
      <c r="J537" s="224">
        <f>IF(Table5[[#This Row],[Material Qty]]=0,0,Table5[[#This Row],[Material Qty]]-Table5[[#This Row],[Cumulative]])</f>
        <v>0</v>
      </c>
      <c r="K537" s="223">
        <f>Table5[[#This Row],[Material Balance Qty]]*Table5[[#This Row],[Material @ Site Rate]]</f>
        <v>0</v>
      </c>
      <c r="L537" s="9"/>
      <c r="M537" s="9">
        <f>Table5[[#This Row],[Cumulative]]-Table5[[#This Row],[Previous Qty]]</f>
        <v>0</v>
      </c>
      <c r="N537" s="9"/>
      <c r="O537" s="9">
        <f>(Table5[[#This Row],[Supply Rate]]+Table5[[#This Row],[Install Rate]])*Table5[[#This Row],[Previous Qty]]</f>
        <v>0</v>
      </c>
      <c r="P537" s="9">
        <f>Table5[[#This Row],[Cumulative Amount]]-Table5[[#This Row],[Previous Amount]]</f>
        <v>0</v>
      </c>
      <c r="Q537" s="9">
        <f>(Table5[[#This Row],[Supply Rate]]+Table5[[#This Row],[Install Rate]])*Table5[[#This Row],[Cumulative]]</f>
        <v>0</v>
      </c>
      <c r="R537" t="s">
        <v>936</v>
      </c>
    </row>
    <row r="538" spans="1:18" x14ac:dyDescent="0.35">
      <c r="A538" s="6"/>
      <c r="B538" s="11" t="s">
        <v>667</v>
      </c>
      <c r="C538" s="6"/>
      <c r="D538" s="6"/>
      <c r="E538" s="9"/>
      <c r="F538" s="9"/>
      <c r="G538" s="9"/>
      <c r="H538" s="223"/>
      <c r="I538" s="224"/>
      <c r="J538" s="224"/>
      <c r="K538" s="223"/>
      <c r="L538" s="9"/>
      <c r="M538" s="9"/>
      <c r="N538" s="9"/>
      <c r="O538" s="9"/>
      <c r="P538" s="9"/>
      <c r="Q538" s="9"/>
      <c r="R538" t="s">
        <v>936</v>
      </c>
    </row>
    <row r="539" spans="1:18" ht="58" x14ac:dyDescent="0.35">
      <c r="A539" s="6" t="s">
        <v>300</v>
      </c>
      <c r="B539" s="11" t="s">
        <v>668</v>
      </c>
      <c r="C539" s="6"/>
      <c r="D539" s="6"/>
      <c r="E539" s="9"/>
      <c r="F539" s="9"/>
      <c r="G539" s="9"/>
      <c r="H539" s="223"/>
      <c r="I539" s="224"/>
      <c r="J539" s="224"/>
      <c r="K539" s="223"/>
      <c r="L539" s="9"/>
      <c r="M539" s="9"/>
      <c r="N539" s="9"/>
      <c r="O539" s="9"/>
      <c r="P539" s="9"/>
      <c r="Q539" s="9"/>
      <c r="R539" t="s">
        <v>936</v>
      </c>
    </row>
    <row r="540" spans="1:18" ht="29" x14ac:dyDescent="0.35">
      <c r="A540" s="6">
        <v>1</v>
      </c>
      <c r="B540" s="11" t="s">
        <v>669</v>
      </c>
      <c r="C540" s="6">
        <v>1</v>
      </c>
      <c r="D540" s="6" t="s">
        <v>664</v>
      </c>
      <c r="E540" s="9">
        <v>353</v>
      </c>
      <c r="F540" s="9">
        <v>72</v>
      </c>
      <c r="G540" s="9">
        <f>(Table5[[#This Row],[Supply Rate]]+Table5[[#This Row],[Install Rate]])*Table5[[#This Row],[Qty]]</f>
        <v>425</v>
      </c>
      <c r="H540" s="223">
        <f>Table5[[#This Row],[Supply Rate]]*80%</f>
        <v>282.40000000000003</v>
      </c>
      <c r="I540" s="224"/>
      <c r="J540" s="224">
        <f>IF(Table5[[#This Row],[Material Qty]]=0,0,Table5[[#This Row],[Material Qty]]-Table5[[#This Row],[Cumulative]])</f>
        <v>0</v>
      </c>
      <c r="K540" s="223">
        <f>Table5[[#This Row],[Material Balance Qty]]*Table5[[#This Row],[Material @ Site Rate]]</f>
        <v>0</v>
      </c>
      <c r="L540" s="9"/>
      <c r="M540" s="9">
        <f>Table5[[#This Row],[Cumulative]]-Table5[[#This Row],[Previous Qty]]</f>
        <v>0</v>
      </c>
      <c r="N540" s="9"/>
      <c r="O540" s="9">
        <f>(Table5[[#This Row],[Supply Rate]]+Table5[[#This Row],[Install Rate]])*Table5[[#This Row],[Previous Qty]]</f>
        <v>0</v>
      </c>
      <c r="P540" s="9">
        <f>Table5[[#This Row],[Cumulative Amount]]-Table5[[#This Row],[Previous Amount]]</f>
        <v>0</v>
      </c>
      <c r="Q540" s="9">
        <f>(Table5[[#This Row],[Supply Rate]]+Table5[[#This Row],[Install Rate]])*Table5[[#This Row],[Cumulative]]</f>
        <v>0</v>
      </c>
      <c r="R540" t="s">
        <v>936</v>
      </c>
    </row>
    <row r="541" spans="1:18" ht="58" x14ac:dyDescent="0.35">
      <c r="A541" s="6">
        <v>11</v>
      </c>
      <c r="B541" s="11" t="s">
        <v>916</v>
      </c>
      <c r="C541" s="6">
        <v>1</v>
      </c>
      <c r="D541" s="6" t="s">
        <v>664</v>
      </c>
      <c r="E541" s="9">
        <v>1124</v>
      </c>
      <c r="F541" s="9">
        <v>262</v>
      </c>
      <c r="G541" s="9">
        <f>(Table5[[#This Row],[Supply Rate]]+Table5[[#This Row],[Install Rate]])*Table5[[#This Row],[Qty]]</f>
        <v>1386</v>
      </c>
      <c r="H541" s="223">
        <f>Table5[[#This Row],[Supply Rate]]*80%</f>
        <v>899.2</v>
      </c>
      <c r="I541" s="224"/>
      <c r="J541" s="224">
        <f>IF(Table5[[#This Row],[Material Qty]]=0,0,Table5[[#This Row],[Material Qty]]-Table5[[#This Row],[Cumulative]])</f>
        <v>0</v>
      </c>
      <c r="K541" s="223">
        <f>Table5[[#This Row],[Material Balance Qty]]*Table5[[#This Row],[Material @ Site Rate]]</f>
        <v>0</v>
      </c>
      <c r="L541" s="9"/>
      <c r="M541" s="9">
        <f>Table5[[#This Row],[Cumulative]]-Table5[[#This Row],[Previous Qty]]</f>
        <v>0</v>
      </c>
      <c r="N541" s="9"/>
      <c r="O541" s="9">
        <f>(Table5[[#This Row],[Supply Rate]]+Table5[[#This Row],[Install Rate]])*Table5[[#This Row],[Previous Qty]]</f>
        <v>0</v>
      </c>
      <c r="P541" s="9">
        <f>Table5[[#This Row],[Cumulative Amount]]-Table5[[#This Row],[Previous Amount]]</f>
        <v>0</v>
      </c>
      <c r="Q541" s="9">
        <f>(Table5[[#This Row],[Supply Rate]]+Table5[[#This Row],[Install Rate]])*Table5[[#This Row],[Cumulative]]</f>
        <v>0</v>
      </c>
      <c r="R541" t="s">
        <v>936</v>
      </c>
    </row>
    <row r="542" spans="1:18" ht="29" x14ac:dyDescent="0.35">
      <c r="A542" s="6"/>
      <c r="B542" s="11" t="s">
        <v>670</v>
      </c>
      <c r="C542" s="6"/>
      <c r="D542" s="6"/>
      <c r="E542" s="9"/>
      <c r="F542" s="9"/>
      <c r="G542" s="9"/>
      <c r="H542" s="223"/>
      <c r="I542" s="224"/>
      <c r="J542" s="224"/>
      <c r="K542" s="223"/>
      <c r="L542" s="9"/>
      <c r="M542" s="9"/>
      <c r="N542" s="9"/>
      <c r="O542" s="9"/>
      <c r="P542" s="9"/>
      <c r="Q542" s="9"/>
      <c r="R542" t="s">
        <v>936</v>
      </c>
    </row>
    <row r="543" spans="1:18" ht="43.5" x14ac:dyDescent="0.35">
      <c r="A543" s="6" t="s">
        <v>292</v>
      </c>
      <c r="B543" s="11" t="s">
        <v>917</v>
      </c>
      <c r="C543" s="6">
        <v>1</v>
      </c>
      <c r="D543" s="6" t="s">
        <v>664</v>
      </c>
      <c r="E543" s="9">
        <v>1221</v>
      </c>
      <c r="F543" s="9">
        <v>284</v>
      </c>
      <c r="G543" s="9">
        <f>(Table5[[#This Row],[Supply Rate]]+Table5[[#This Row],[Install Rate]])*Table5[[#This Row],[Qty]]</f>
        <v>1505</v>
      </c>
      <c r="H543" s="223">
        <f>Table5[[#This Row],[Supply Rate]]*80%</f>
        <v>976.80000000000007</v>
      </c>
      <c r="I543" s="224"/>
      <c r="J543" s="224">
        <f>IF(Table5[[#This Row],[Material Qty]]=0,0,Table5[[#This Row],[Material Qty]]-Table5[[#This Row],[Cumulative]])</f>
        <v>0</v>
      </c>
      <c r="K543" s="223">
        <f>Table5[[#This Row],[Material Balance Qty]]*Table5[[#This Row],[Material @ Site Rate]]</f>
        <v>0</v>
      </c>
      <c r="L543" s="9"/>
      <c r="M543" s="9">
        <f>Table5[[#This Row],[Cumulative]]-Table5[[#This Row],[Previous Qty]]</f>
        <v>0</v>
      </c>
      <c r="N543" s="9"/>
      <c r="O543" s="9">
        <f>(Table5[[#This Row],[Supply Rate]]+Table5[[#This Row],[Install Rate]])*Table5[[#This Row],[Previous Qty]]</f>
        <v>0</v>
      </c>
      <c r="P543" s="9">
        <f>Table5[[#This Row],[Cumulative Amount]]-Table5[[#This Row],[Previous Amount]]</f>
        <v>0</v>
      </c>
      <c r="Q543" s="9">
        <f>(Table5[[#This Row],[Supply Rate]]+Table5[[#This Row],[Install Rate]])*Table5[[#This Row],[Cumulative]]</f>
        <v>0</v>
      </c>
      <c r="R543" t="s">
        <v>936</v>
      </c>
    </row>
    <row r="544" spans="1:18" x14ac:dyDescent="0.35">
      <c r="A544" s="6"/>
      <c r="B544" s="11" t="s">
        <v>399</v>
      </c>
      <c r="C544" s="6"/>
      <c r="D544" s="6"/>
      <c r="E544" s="9"/>
      <c r="F544" s="9"/>
      <c r="G544" s="9"/>
      <c r="H544" s="223"/>
      <c r="I544" s="224"/>
      <c r="J544" s="224"/>
      <c r="K544" s="223"/>
      <c r="L544" s="9"/>
      <c r="M544" s="9"/>
      <c r="N544" s="9"/>
      <c r="O544" s="9"/>
      <c r="P544" s="9"/>
      <c r="Q544" s="9"/>
      <c r="R544" t="s">
        <v>936</v>
      </c>
    </row>
    <row r="545" spans="1:18" ht="58" x14ac:dyDescent="0.35">
      <c r="A545" s="6"/>
      <c r="B545" s="11" t="s">
        <v>662</v>
      </c>
      <c r="C545" s="6"/>
      <c r="D545" s="6"/>
      <c r="E545" s="9"/>
      <c r="F545" s="9"/>
      <c r="G545" s="9"/>
      <c r="H545" s="223"/>
      <c r="I545" s="224"/>
      <c r="J545" s="224"/>
      <c r="K545" s="223"/>
      <c r="L545" s="9"/>
      <c r="M545" s="9"/>
      <c r="N545" s="9"/>
      <c r="O545" s="9"/>
      <c r="P545" s="9"/>
      <c r="Q545" s="9"/>
      <c r="R545" t="s">
        <v>936</v>
      </c>
    </row>
    <row r="546" spans="1:18" ht="58" x14ac:dyDescent="0.35">
      <c r="A546" s="6" t="s">
        <v>300</v>
      </c>
      <c r="B546" s="11" t="s">
        <v>918</v>
      </c>
      <c r="C546" s="6"/>
      <c r="D546" s="6"/>
      <c r="E546" s="9"/>
      <c r="F546" s="9"/>
      <c r="G546" s="9"/>
      <c r="H546" s="223"/>
      <c r="I546" s="224"/>
      <c r="J546" s="224"/>
      <c r="K546" s="223"/>
      <c r="L546" s="9"/>
      <c r="M546" s="9"/>
      <c r="N546" s="9"/>
      <c r="O546" s="9"/>
      <c r="P546" s="9"/>
      <c r="Q546" s="9"/>
      <c r="R546" t="s">
        <v>936</v>
      </c>
    </row>
    <row r="547" spans="1:18" x14ac:dyDescent="0.35">
      <c r="A547" s="6">
        <v>1</v>
      </c>
      <c r="B547" s="11" t="s">
        <v>326</v>
      </c>
      <c r="C547" s="6">
        <v>2</v>
      </c>
      <c r="D547" s="6" t="s">
        <v>664</v>
      </c>
      <c r="E547" s="9">
        <v>2327</v>
      </c>
      <c r="F547" s="9">
        <v>665</v>
      </c>
      <c r="G547" s="9">
        <f>(Table5[[#This Row],[Supply Rate]]+Table5[[#This Row],[Install Rate]])*Table5[[#This Row],[Qty]]</f>
        <v>5984</v>
      </c>
      <c r="H547" s="223">
        <f>Table5[[#This Row],[Supply Rate]]*80%</f>
        <v>1861.6000000000001</v>
      </c>
      <c r="I547" s="224"/>
      <c r="J547" s="224">
        <f>IF(Table5[[#This Row],[Material Qty]]=0,0,Table5[[#This Row],[Material Qty]]-Table5[[#This Row],[Cumulative]])</f>
        <v>0</v>
      </c>
      <c r="K547" s="223">
        <f>Table5[[#This Row],[Material Balance Qty]]*Table5[[#This Row],[Material @ Site Rate]]</f>
        <v>0</v>
      </c>
      <c r="L547" s="9"/>
      <c r="M547" s="9">
        <f>Table5[[#This Row],[Cumulative]]-Table5[[#This Row],[Previous Qty]]</f>
        <v>0</v>
      </c>
      <c r="N547" s="9"/>
      <c r="O547" s="9">
        <f>(Table5[[#This Row],[Supply Rate]]+Table5[[#This Row],[Install Rate]])*Table5[[#This Row],[Previous Qty]]</f>
        <v>0</v>
      </c>
      <c r="P547" s="9">
        <f>Table5[[#This Row],[Cumulative Amount]]-Table5[[#This Row],[Previous Amount]]</f>
        <v>0</v>
      </c>
      <c r="Q547" s="9">
        <f>(Table5[[#This Row],[Supply Rate]]+Table5[[#This Row],[Install Rate]])*Table5[[#This Row],[Cumulative]]</f>
        <v>0</v>
      </c>
      <c r="R547" t="s">
        <v>936</v>
      </c>
    </row>
    <row r="548" spans="1:18" ht="43.5" x14ac:dyDescent="0.35">
      <c r="A548" s="6" t="s">
        <v>303</v>
      </c>
      <c r="B548" s="11" t="s">
        <v>919</v>
      </c>
      <c r="C548" s="6"/>
      <c r="D548" s="6"/>
      <c r="E548" s="9"/>
      <c r="F548" s="9"/>
      <c r="G548" s="9"/>
      <c r="H548" s="223"/>
      <c r="I548" s="224"/>
      <c r="J548" s="224"/>
      <c r="K548" s="223"/>
      <c r="L548" s="9"/>
      <c r="M548" s="9"/>
      <c r="N548" s="9"/>
      <c r="O548" s="9"/>
      <c r="P548" s="9"/>
      <c r="Q548" s="9"/>
      <c r="R548" t="s">
        <v>936</v>
      </c>
    </row>
    <row r="549" spans="1:18" x14ac:dyDescent="0.35">
      <c r="A549" s="6">
        <v>1</v>
      </c>
      <c r="B549" s="11" t="s">
        <v>317</v>
      </c>
      <c r="C549" s="6">
        <v>1</v>
      </c>
      <c r="D549" s="6" t="s">
        <v>664</v>
      </c>
      <c r="E549" s="9">
        <v>2566</v>
      </c>
      <c r="F549" s="9">
        <v>443</v>
      </c>
      <c r="G549" s="9">
        <f>(Table5[[#This Row],[Supply Rate]]+Table5[[#This Row],[Install Rate]])*Table5[[#This Row],[Qty]]</f>
        <v>3009</v>
      </c>
      <c r="H549" s="223">
        <f>Table5[[#This Row],[Supply Rate]]*80%</f>
        <v>2052.8000000000002</v>
      </c>
      <c r="I549" s="224"/>
      <c r="J549" s="224">
        <f>IF(Table5[[#This Row],[Material Qty]]=0,0,Table5[[#This Row],[Material Qty]]-Table5[[#This Row],[Cumulative]])</f>
        <v>0</v>
      </c>
      <c r="K549" s="223">
        <f>Table5[[#This Row],[Material Balance Qty]]*Table5[[#This Row],[Material @ Site Rate]]</f>
        <v>0</v>
      </c>
      <c r="L549" s="9"/>
      <c r="M549" s="9">
        <f>Table5[[#This Row],[Cumulative]]-Table5[[#This Row],[Previous Qty]]</f>
        <v>0</v>
      </c>
      <c r="N549" s="9"/>
      <c r="O549" s="9">
        <f>(Table5[[#This Row],[Supply Rate]]+Table5[[#This Row],[Install Rate]])*Table5[[#This Row],[Previous Qty]]</f>
        <v>0</v>
      </c>
      <c r="P549" s="9">
        <f>Table5[[#This Row],[Cumulative Amount]]-Table5[[#This Row],[Previous Amount]]</f>
        <v>0</v>
      </c>
      <c r="Q549" s="9">
        <f>(Table5[[#This Row],[Supply Rate]]+Table5[[#This Row],[Install Rate]])*Table5[[#This Row],[Cumulative]]</f>
        <v>0</v>
      </c>
      <c r="R549" t="s">
        <v>936</v>
      </c>
    </row>
    <row r="550" spans="1:18" ht="29" x14ac:dyDescent="0.35">
      <c r="A550" s="6" t="s">
        <v>303</v>
      </c>
      <c r="B550" s="11" t="s">
        <v>671</v>
      </c>
      <c r="C550" s="6">
        <v>1</v>
      </c>
      <c r="D550" s="6" t="s">
        <v>664</v>
      </c>
      <c r="E550" s="9">
        <v>323</v>
      </c>
      <c r="F550" s="9">
        <v>359</v>
      </c>
      <c r="G550" s="9">
        <f>(Table5[[#This Row],[Supply Rate]]+Table5[[#This Row],[Install Rate]])*Table5[[#This Row],[Qty]]</f>
        <v>682</v>
      </c>
      <c r="H550" s="223">
        <f>Table5[[#This Row],[Supply Rate]]*80%</f>
        <v>258.40000000000003</v>
      </c>
      <c r="I550" s="224"/>
      <c r="J550" s="224">
        <f>IF(Table5[[#This Row],[Material Qty]]=0,0,Table5[[#This Row],[Material Qty]]-Table5[[#This Row],[Cumulative]])</f>
        <v>0</v>
      </c>
      <c r="K550" s="223">
        <f>Table5[[#This Row],[Material Balance Qty]]*Table5[[#This Row],[Material @ Site Rate]]</f>
        <v>0</v>
      </c>
      <c r="L550" s="9"/>
      <c r="M550" s="9">
        <f>Table5[[#This Row],[Cumulative]]-Table5[[#This Row],[Previous Qty]]</f>
        <v>0</v>
      </c>
      <c r="N550" s="9"/>
      <c r="O550" s="9">
        <f>(Table5[[#This Row],[Supply Rate]]+Table5[[#This Row],[Install Rate]])*Table5[[#This Row],[Previous Qty]]</f>
        <v>0</v>
      </c>
      <c r="P550" s="9">
        <f>Table5[[#This Row],[Cumulative Amount]]-Table5[[#This Row],[Previous Amount]]</f>
        <v>0</v>
      </c>
      <c r="Q550" s="9">
        <f>(Table5[[#This Row],[Supply Rate]]+Table5[[#This Row],[Install Rate]])*Table5[[#This Row],[Cumulative]]</f>
        <v>0</v>
      </c>
      <c r="R550" t="s">
        <v>936</v>
      </c>
    </row>
    <row r="551" spans="1:18" x14ac:dyDescent="0.35">
      <c r="A551" s="6"/>
      <c r="B551" s="11" t="s">
        <v>667</v>
      </c>
      <c r="C551" s="6"/>
      <c r="D551" s="6"/>
      <c r="E551" s="9"/>
      <c r="F551" s="9"/>
      <c r="G551" s="9"/>
      <c r="H551" s="223"/>
      <c r="I551" s="224"/>
      <c r="J551" s="224"/>
      <c r="K551" s="223"/>
      <c r="L551" s="9"/>
      <c r="M551" s="9"/>
      <c r="N551" s="9"/>
      <c r="O551" s="9"/>
      <c r="P551" s="9"/>
      <c r="Q551" s="9"/>
      <c r="R551" t="s">
        <v>936</v>
      </c>
    </row>
    <row r="552" spans="1:18" ht="72.5" x14ac:dyDescent="0.35">
      <c r="A552" s="6" t="s">
        <v>325</v>
      </c>
      <c r="B552" s="11" t="s">
        <v>672</v>
      </c>
      <c r="C552" s="6"/>
      <c r="D552" s="6"/>
      <c r="E552" s="9"/>
      <c r="F552" s="9"/>
      <c r="G552" s="9"/>
      <c r="H552" s="223"/>
      <c r="I552" s="224"/>
      <c r="J552" s="224"/>
      <c r="K552" s="223"/>
      <c r="L552" s="9"/>
      <c r="M552" s="9"/>
      <c r="N552" s="9"/>
      <c r="O552" s="9"/>
      <c r="P552" s="9"/>
      <c r="Q552" s="9"/>
      <c r="R552" t="s">
        <v>936</v>
      </c>
    </row>
    <row r="553" spans="1:18" x14ac:dyDescent="0.35">
      <c r="A553" s="6">
        <v>1</v>
      </c>
      <c r="B553" s="11" t="s">
        <v>326</v>
      </c>
      <c r="C553" s="6">
        <v>1</v>
      </c>
      <c r="D553" s="6" t="s">
        <v>664</v>
      </c>
      <c r="E553" s="9">
        <v>356</v>
      </c>
      <c r="F553" s="9">
        <v>72</v>
      </c>
      <c r="G553" s="9">
        <f>(Table5[[#This Row],[Supply Rate]]+Table5[[#This Row],[Install Rate]])*Table5[[#This Row],[Qty]]</f>
        <v>428</v>
      </c>
      <c r="H553" s="223">
        <f>Table5[[#This Row],[Supply Rate]]*80%</f>
        <v>284.8</v>
      </c>
      <c r="I553" s="224"/>
      <c r="J553" s="224">
        <f>IF(Table5[[#This Row],[Material Qty]]=0,0,Table5[[#This Row],[Material Qty]]-Table5[[#This Row],[Cumulative]])</f>
        <v>0</v>
      </c>
      <c r="K553" s="223">
        <f>Table5[[#This Row],[Material Balance Qty]]*Table5[[#This Row],[Material @ Site Rate]]</f>
        <v>0</v>
      </c>
      <c r="L553" s="9"/>
      <c r="M553" s="9">
        <f>Table5[[#This Row],[Cumulative]]-Table5[[#This Row],[Previous Qty]]</f>
        <v>0</v>
      </c>
      <c r="N553" s="9"/>
      <c r="O553" s="9">
        <f>(Table5[[#This Row],[Supply Rate]]+Table5[[#This Row],[Install Rate]])*Table5[[#This Row],[Previous Qty]]</f>
        <v>0</v>
      </c>
      <c r="P553" s="9">
        <f>Table5[[#This Row],[Cumulative Amount]]-Table5[[#This Row],[Previous Amount]]</f>
        <v>0</v>
      </c>
      <c r="Q553" s="9">
        <f>(Table5[[#This Row],[Supply Rate]]+Table5[[#This Row],[Install Rate]])*Table5[[#This Row],[Cumulative]]</f>
        <v>0</v>
      </c>
      <c r="R553" t="s">
        <v>936</v>
      </c>
    </row>
    <row r="554" spans="1:18" x14ac:dyDescent="0.35">
      <c r="A554" s="6">
        <v>2</v>
      </c>
      <c r="B554" s="11" t="s">
        <v>317</v>
      </c>
      <c r="C554" s="6">
        <v>1</v>
      </c>
      <c r="D554" s="6" t="s">
        <v>664</v>
      </c>
      <c r="E554" s="9">
        <v>356</v>
      </c>
      <c r="F554" s="9">
        <v>72</v>
      </c>
      <c r="G554" s="9">
        <f>(Table5[[#This Row],[Supply Rate]]+Table5[[#This Row],[Install Rate]])*Table5[[#This Row],[Qty]]</f>
        <v>428</v>
      </c>
      <c r="H554" s="223">
        <f>Table5[[#This Row],[Supply Rate]]*80%</f>
        <v>284.8</v>
      </c>
      <c r="I554" s="224"/>
      <c r="J554" s="224">
        <f>IF(Table5[[#This Row],[Material Qty]]=0,0,Table5[[#This Row],[Material Qty]]-Table5[[#This Row],[Cumulative]])</f>
        <v>0</v>
      </c>
      <c r="K554" s="223">
        <f>Table5[[#This Row],[Material Balance Qty]]*Table5[[#This Row],[Material @ Site Rate]]</f>
        <v>0</v>
      </c>
      <c r="L554" s="9"/>
      <c r="M554" s="9">
        <f>Table5[[#This Row],[Cumulative]]-Table5[[#This Row],[Previous Qty]]</f>
        <v>0</v>
      </c>
      <c r="N554" s="9"/>
      <c r="O554" s="9">
        <f>(Table5[[#This Row],[Supply Rate]]+Table5[[#This Row],[Install Rate]])*Table5[[#This Row],[Previous Qty]]</f>
        <v>0</v>
      </c>
      <c r="P554" s="9">
        <f>Table5[[#This Row],[Cumulative Amount]]-Table5[[#This Row],[Previous Amount]]</f>
        <v>0</v>
      </c>
      <c r="Q554" s="9">
        <f>(Table5[[#This Row],[Supply Rate]]+Table5[[#This Row],[Install Rate]])*Table5[[#This Row],[Cumulative]]</f>
        <v>0</v>
      </c>
      <c r="R554" t="s">
        <v>936</v>
      </c>
    </row>
    <row r="555" spans="1:18" x14ac:dyDescent="0.35">
      <c r="A555" s="6"/>
      <c r="B555" s="7" t="s">
        <v>380</v>
      </c>
      <c r="C555" s="6"/>
      <c r="D555" s="6"/>
      <c r="E555" s="9"/>
      <c r="F555" s="9"/>
      <c r="G555" s="9"/>
      <c r="H555" s="223"/>
      <c r="I555" s="224"/>
      <c r="J555" s="224"/>
      <c r="K555" s="223"/>
      <c r="L555" s="9"/>
      <c r="M555" s="9"/>
      <c r="N555" s="9"/>
      <c r="O555" s="9"/>
      <c r="P555" s="9"/>
      <c r="Q555" s="9"/>
      <c r="R555" t="s">
        <v>936</v>
      </c>
    </row>
    <row r="556" spans="1:18" ht="43.5" x14ac:dyDescent="0.35">
      <c r="A556" s="6">
        <v>1</v>
      </c>
      <c r="B556" s="11" t="s">
        <v>920</v>
      </c>
      <c r="C556" s="6">
        <v>1</v>
      </c>
      <c r="D556" s="6" t="s">
        <v>664</v>
      </c>
      <c r="E556" s="9">
        <v>2197</v>
      </c>
      <c r="F556" s="9">
        <v>1133</v>
      </c>
      <c r="G556" s="9">
        <f>(Table5[[#This Row],[Supply Rate]]+Table5[[#This Row],[Install Rate]])*Table5[[#This Row],[Qty]]</f>
        <v>3330</v>
      </c>
      <c r="H556" s="223">
        <f>Table5[[#This Row],[Supply Rate]]*80%</f>
        <v>1757.6000000000001</v>
      </c>
      <c r="I556" s="224"/>
      <c r="J556" s="224">
        <f>IF(Table5[[#This Row],[Material Qty]]=0,0,Table5[[#This Row],[Material Qty]]-Table5[[#This Row],[Cumulative]])</f>
        <v>0</v>
      </c>
      <c r="K556" s="223">
        <f>Table5[[#This Row],[Material Balance Qty]]*Table5[[#This Row],[Material @ Site Rate]]</f>
        <v>0</v>
      </c>
      <c r="L556" s="9"/>
      <c r="M556" s="9">
        <f>Table5[[#This Row],[Cumulative]]-Table5[[#This Row],[Previous Qty]]</f>
        <v>0</v>
      </c>
      <c r="N556" s="9"/>
      <c r="O556" s="9">
        <f>(Table5[[#This Row],[Supply Rate]]+Table5[[#This Row],[Install Rate]])*Table5[[#This Row],[Previous Qty]]</f>
        <v>0</v>
      </c>
      <c r="P556" s="9">
        <f>Table5[[#This Row],[Cumulative Amount]]-Table5[[#This Row],[Previous Amount]]</f>
        <v>0</v>
      </c>
      <c r="Q556" s="9">
        <f>(Table5[[#This Row],[Supply Rate]]+Table5[[#This Row],[Install Rate]])*Table5[[#This Row],[Cumulative]]</f>
        <v>0</v>
      </c>
      <c r="R556" t="s">
        <v>936</v>
      </c>
    </row>
    <row r="557" spans="1:18" ht="29" x14ac:dyDescent="0.35">
      <c r="A557" s="6">
        <v>2</v>
      </c>
      <c r="B557" s="11" t="s">
        <v>921</v>
      </c>
      <c r="C557" s="6">
        <v>1</v>
      </c>
      <c r="D557" s="6" t="s">
        <v>673</v>
      </c>
      <c r="E557" s="9">
        <v>2487</v>
      </c>
      <c r="F557" s="9">
        <v>1275</v>
      </c>
      <c r="G557" s="9">
        <f>(Table5[[#This Row],[Supply Rate]]+Table5[[#This Row],[Install Rate]])*Table5[[#This Row],[Qty]]</f>
        <v>3762</v>
      </c>
      <c r="H557" s="223">
        <f>Table5[[#This Row],[Supply Rate]]*80%</f>
        <v>1989.6000000000001</v>
      </c>
      <c r="I557" s="224"/>
      <c r="J557" s="224">
        <f>IF(Table5[[#This Row],[Material Qty]]=0,0,Table5[[#This Row],[Material Qty]]-Table5[[#This Row],[Cumulative]])</f>
        <v>0</v>
      </c>
      <c r="K557" s="223">
        <f>Table5[[#This Row],[Material Balance Qty]]*Table5[[#This Row],[Material @ Site Rate]]</f>
        <v>0</v>
      </c>
      <c r="L557" s="9"/>
      <c r="M557" s="9">
        <f>Table5[[#This Row],[Cumulative]]-Table5[[#This Row],[Previous Qty]]</f>
        <v>0</v>
      </c>
      <c r="N557" s="9"/>
      <c r="O557" s="9">
        <f>(Table5[[#This Row],[Supply Rate]]+Table5[[#This Row],[Install Rate]])*Table5[[#This Row],[Previous Qty]]</f>
        <v>0</v>
      </c>
      <c r="P557" s="9">
        <f>Table5[[#This Row],[Cumulative Amount]]-Table5[[#This Row],[Previous Amount]]</f>
        <v>0</v>
      </c>
      <c r="Q557" s="9">
        <f>(Table5[[#This Row],[Supply Rate]]+Table5[[#This Row],[Install Rate]])*Table5[[#This Row],[Cumulative]]</f>
        <v>0</v>
      </c>
      <c r="R557" t="s">
        <v>936</v>
      </c>
    </row>
    <row r="558" spans="1:18" ht="43.5" x14ac:dyDescent="0.35">
      <c r="A558" s="6">
        <v>3</v>
      </c>
      <c r="B558" s="11" t="s">
        <v>922</v>
      </c>
      <c r="C558" s="6">
        <v>1</v>
      </c>
      <c r="D558" s="6" t="s">
        <v>673</v>
      </c>
      <c r="E558" s="9">
        <v>3658</v>
      </c>
      <c r="F558" s="9">
        <v>1772</v>
      </c>
      <c r="G558" s="9">
        <f>(Table5[[#This Row],[Supply Rate]]+Table5[[#This Row],[Install Rate]])*Table5[[#This Row],[Qty]]</f>
        <v>5430</v>
      </c>
      <c r="H558" s="223">
        <f>Table5[[#This Row],[Supply Rate]]*80%</f>
        <v>2926.4</v>
      </c>
      <c r="I558" s="224"/>
      <c r="J558" s="224">
        <f>IF(Table5[[#This Row],[Material Qty]]=0,0,Table5[[#This Row],[Material Qty]]-Table5[[#This Row],[Cumulative]])</f>
        <v>0</v>
      </c>
      <c r="K558" s="223">
        <f>Table5[[#This Row],[Material Balance Qty]]*Table5[[#This Row],[Material @ Site Rate]]</f>
        <v>0</v>
      </c>
      <c r="L558" s="9"/>
      <c r="M558" s="9">
        <f>Table5[[#This Row],[Cumulative]]-Table5[[#This Row],[Previous Qty]]</f>
        <v>0</v>
      </c>
      <c r="N558" s="9"/>
      <c r="O558" s="9">
        <f>(Table5[[#This Row],[Supply Rate]]+Table5[[#This Row],[Install Rate]])*Table5[[#This Row],[Previous Qty]]</f>
        <v>0</v>
      </c>
      <c r="P558" s="9">
        <f>Table5[[#This Row],[Cumulative Amount]]-Table5[[#This Row],[Previous Amount]]</f>
        <v>0</v>
      </c>
      <c r="Q558" s="9">
        <f>(Table5[[#This Row],[Supply Rate]]+Table5[[#This Row],[Install Rate]])*Table5[[#This Row],[Cumulative]]</f>
        <v>0</v>
      </c>
      <c r="R558" t="s">
        <v>936</v>
      </c>
    </row>
    <row r="559" spans="1:18" ht="43.5" x14ac:dyDescent="0.35">
      <c r="A559" s="6">
        <v>4</v>
      </c>
      <c r="B559" s="11" t="s">
        <v>923</v>
      </c>
      <c r="C559" s="6">
        <v>1</v>
      </c>
      <c r="D559" s="6" t="s">
        <v>673</v>
      </c>
      <c r="E559" s="9">
        <v>2097</v>
      </c>
      <c r="F559" s="9">
        <v>381</v>
      </c>
      <c r="G559" s="9">
        <f>(Table5[[#This Row],[Supply Rate]]+Table5[[#This Row],[Install Rate]])*Table5[[#This Row],[Qty]]</f>
        <v>2478</v>
      </c>
      <c r="H559" s="223">
        <f>Table5[[#This Row],[Supply Rate]]*80%</f>
        <v>1677.6000000000001</v>
      </c>
      <c r="I559" s="224"/>
      <c r="J559" s="224">
        <f>IF(Table5[[#This Row],[Material Qty]]=0,0,Table5[[#This Row],[Material Qty]]-Table5[[#This Row],[Cumulative]])</f>
        <v>0</v>
      </c>
      <c r="K559" s="223">
        <f>Table5[[#This Row],[Material Balance Qty]]*Table5[[#This Row],[Material @ Site Rate]]</f>
        <v>0</v>
      </c>
      <c r="L559" s="9"/>
      <c r="M559" s="9">
        <f>Table5[[#This Row],[Cumulative]]-Table5[[#This Row],[Previous Qty]]</f>
        <v>0</v>
      </c>
      <c r="N559" s="9"/>
      <c r="O559" s="9">
        <f>(Table5[[#This Row],[Supply Rate]]+Table5[[#This Row],[Install Rate]])*Table5[[#This Row],[Previous Qty]]</f>
        <v>0</v>
      </c>
      <c r="P559" s="9">
        <f>Table5[[#This Row],[Cumulative Amount]]-Table5[[#This Row],[Previous Amount]]</f>
        <v>0</v>
      </c>
      <c r="Q559" s="9">
        <f>(Table5[[#This Row],[Supply Rate]]+Table5[[#This Row],[Install Rate]])*Table5[[#This Row],[Cumulative]]</f>
        <v>0</v>
      </c>
      <c r="R559" t="s">
        <v>936</v>
      </c>
    </row>
    <row r="560" spans="1:18" ht="43.5" x14ac:dyDescent="0.35">
      <c r="A560" s="6">
        <v>5</v>
      </c>
      <c r="B560" s="11" t="s">
        <v>924</v>
      </c>
      <c r="C560" s="6">
        <v>1</v>
      </c>
      <c r="D560" s="6" t="s">
        <v>673</v>
      </c>
      <c r="E560" s="9">
        <v>2701</v>
      </c>
      <c r="F560" s="9">
        <v>646</v>
      </c>
      <c r="G560" s="9">
        <f>(Table5[[#This Row],[Supply Rate]]+Table5[[#This Row],[Install Rate]])*Table5[[#This Row],[Qty]]</f>
        <v>3347</v>
      </c>
      <c r="H560" s="223">
        <f>Table5[[#This Row],[Supply Rate]]*80%</f>
        <v>2160.8000000000002</v>
      </c>
      <c r="I560" s="224"/>
      <c r="J560" s="224">
        <f>IF(Table5[[#This Row],[Material Qty]]=0,0,Table5[[#This Row],[Material Qty]]-Table5[[#This Row],[Cumulative]])</f>
        <v>0</v>
      </c>
      <c r="K560" s="223">
        <f>Table5[[#This Row],[Material Balance Qty]]*Table5[[#This Row],[Material @ Site Rate]]</f>
        <v>0</v>
      </c>
      <c r="L560" s="9"/>
      <c r="M560" s="9">
        <f>Table5[[#This Row],[Cumulative]]-Table5[[#This Row],[Previous Qty]]</f>
        <v>0</v>
      </c>
      <c r="N560" s="9"/>
      <c r="O560" s="9">
        <f>(Table5[[#This Row],[Supply Rate]]+Table5[[#This Row],[Install Rate]])*Table5[[#This Row],[Previous Qty]]</f>
        <v>0</v>
      </c>
      <c r="P560" s="9">
        <f>Table5[[#This Row],[Cumulative Amount]]-Table5[[#This Row],[Previous Amount]]</f>
        <v>0</v>
      </c>
      <c r="Q560" s="9">
        <f>(Table5[[#This Row],[Supply Rate]]+Table5[[#This Row],[Install Rate]])*Table5[[#This Row],[Cumulative]]</f>
        <v>0</v>
      </c>
      <c r="R560" t="s">
        <v>936</v>
      </c>
    </row>
    <row r="561" spans="1:18" ht="43.5" x14ac:dyDescent="0.35">
      <c r="A561" s="6">
        <v>6</v>
      </c>
      <c r="B561" s="11" t="s">
        <v>925</v>
      </c>
      <c r="C561" s="6">
        <v>1</v>
      </c>
      <c r="D561" s="6" t="s">
        <v>673</v>
      </c>
      <c r="E561" s="9">
        <v>2858</v>
      </c>
      <c r="F561" s="9">
        <v>681</v>
      </c>
      <c r="G561" s="9">
        <f>(Table5[[#This Row],[Supply Rate]]+Table5[[#This Row],[Install Rate]])*Table5[[#This Row],[Qty]]</f>
        <v>3539</v>
      </c>
      <c r="H561" s="223">
        <f>Table5[[#This Row],[Supply Rate]]*80%</f>
        <v>2286.4</v>
      </c>
      <c r="I561" s="224"/>
      <c r="J561" s="224">
        <f>IF(Table5[[#This Row],[Material Qty]]=0,0,Table5[[#This Row],[Material Qty]]-Table5[[#This Row],[Cumulative]])</f>
        <v>0</v>
      </c>
      <c r="K561" s="223">
        <f>Table5[[#This Row],[Material Balance Qty]]*Table5[[#This Row],[Material @ Site Rate]]</f>
        <v>0</v>
      </c>
      <c r="L561" s="9"/>
      <c r="M561" s="9">
        <f>Table5[[#This Row],[Cumulative]]-Table5[[#This Row],[Previous Qty]]</f>
        <v>0</v>
      </c>
      <c r="N561" s="9"/>
      <c r="O561" s="9">
        <f>(Table5[[#This Row],[Supply Rate]]+Table5[[#This Row],[Install Rate]])*Table5[[#This Row],[Previous Qty]]</f>
        <v>0</v>
      </c>
      <c r="P561" s="9">
        <f>Table5[[#This Row],[Cumulative Amount]]-Table5[[#This Row],[Previous Amount]]</f>
        <v>0</v>
      </c>
      <c r="Q561" s="9">
        <f>(Table5[[#This Row],[Supply Rate]]+Table5[[#This Row],[Install Rate]])*Table5[[#This Row],[Cumulative]]</f>
        <v>0</v>
      </c>
      <c r="R561" t="s">
        <v>936</v>
      </c>
    </row>
    <row r="562" spans="1:18" ht="43.5" x14ac:dyDescent="0.35">
      <c r="A562" s="6">
        <v>7</v>
      </c>
      <c r="B562" s="11" t="s">
        <v>926</v>
      </c>
      <c r="C562" s="6">
        <v>1</v>
      </c>
      <c r="D562" s="6" t="s">
        <v>673</v>
      </c>
      <c r="E562" s="9">
        <v>1090</v>
      </c>
      <c r="F562" s="9">
        <v>181</v>
      </c>
      <c r="G562" s="9">
        <f>(Table5[[#This Row],[Supply Rate]]+Table5[[#This Row],[Install Rate]])*Table5[[#This Row],[Qty]]</f>
        <v>1271</v>
      </c>
      <c r="H562" s="223">
        <f>Table5[[#This Row],[Supply Rate]]*80%</f>
        <v>872</v>
      </c>
      <c r="I562" s="224"/>
      <c r="J562" s="224">
        <f>IF(Table5[[#This Row],[Material Qty]]=0,0,Table5[[#This Row],[Material Qty]]-Table5[[#This Row],[Cumulative]])</f>
        <v>0</v>
      </c>
      <c r="K562" s="223">
        <f>Table5[[#This Row],[Material Balance Qty]]*Table5[[#This Row],[Material @ Site Rate]]</f>
        <v>0</v>
      </c>
      <c r="L562" s="9"/>
      <c r="M562" s="9">
        <f>Table5[[#This Row],[Cumulative]]-Table5[[#This Row],[Previous Qty]]</f>
        <v>0</v>
      </c>
      <c r="N562" s="9"/>
      <c r="O562" s="9">
        <f>(Table5[[#This Row],[Supply Rate]]+Table5[[#This Row],[Install Rate]])*Table5[[#This Row],[Previous Qty]]</f>
        <v>0</v>
      </c>
      <c r="P562" s="9">
        <f>Table5[[#This Row],[Cumulative Amount]]-Table5[[#This Row],[Previous Amount]]</f>
        <v>0</v>
      </c>
      <c r="Q562" s="9">
        <f>(Table5[[#This Row],[Supply Rate]]+Table5[[#This Row],[Install Rate]])*Table5[[#This Row],[Cumulative]]</f>
        <v>0</v>
      </c>
      <c r="R562" t="s">
        <v>936</v>
      </c>
    </row>
    <row r="563" spans="1:18" x14ac:dyDescent="0.35">
      <c r="A563" s="6"/>
      <c r="B563" s="11" t="s">
        <v>287</v>
      </c>
      <c r="C563" s="6"/>
      <c r="D563" s="6"/>
      <c r="E563" s="9"/>
      <c r="F563" s="9"/>
      <c r="G563" s="9"/>
      <c r="H563" s="223"/>
      <c r="I563" s="224"/>
      <c r="J563" s="224"/>
      <c r="K563" s="223"/>
      <c r="L563" s="9"/>
      <c r="M563" s="9"/>
      <c r="N563" s="9"/>
      <c r="O563" s="9"/>
      <c r="P563" s="9"/>
      <c r="Q563" s="9"/>
      <c r="R563" t="s">
        <v>936</v>
      </c>
    </row>
    <row r="564" spans="1:18" x14ac:dyDescent="0.35">
      <c r="A564" s="6"/>
      <c r="B564" s="11" t="s">
        <v>674</v>
      </c>
      <c r="C564" s="6"/>
      <c r="D564" s="6"/>
      <c r="E564" s="9"/>
      <c r="F564" s="9"/>
      <c r="G564" s="9"/>
      <c r="H564" s="223"/>
      <c r="I564" s="224"/>
      <c r="J564" s="224"/>
      <c r="K564" s="223"/>
      <c r="L564" s="9"/>
      <c r="M564" s="9"/>
      <c r="N564" s="9"/>
      <c r="O564" s="9"/>
      <c r="P564" s="9"/>
      <c r="Q564" s="9"/>
      <c r="R564" t="s">
        <v>936</v>
      </c>
    </row>
    <row r="565" spans="1:18" ht="58" x14ac:dyDescent="0.35">
      <c r="A565" s="6"/>
      <c r="B565" s="11" t="s">
        <v>675</v>
      </c>
      <c r="C565" s="6"/>
      <c r="D565" s="6"/>
      <c r="E565" s="9"/>
      <c r="F565" s="9"/>
      <c r="G565" s="9"/>
      <c r="H565" s="223"/>
      <c r="I565" s="224"/>
      <c r="J565" s="224"/>
      <c r="K565" s="223"/>
      <c r="L565" s="9"/>
      <c r="M565" s="9"/>
      <c r="N565" s="9"/>
      <c r="O565" s="9"/>
      <c r="P565" s="9"/>
      <c r="Q565" s="9"/>
      <c r="R565" t="s">
        <v>936</v>
      </c>
    </row>
    <row r="566" spans="1:18" ht="29" x14ac:dyDescent="0.35">
      <c r="A566" s="6" t="s">
        <v>325</v>
      </c>
      <c r="B566" s="11" t="s">
        <v>676</v>
      </c>
      <c r="C566" s="6">
        <v>1</v>
      </c>
      <c r="D566" s="6" t="s">
        <v>664</v>
      </c>
      <c r="E566" s="9">
        <v>5407</v>
      </c>
      <c r="F566" s="9">
        <v>494</v>
      </c>
      <c r="G566" s="9">
        <f>(Table5[[#This Row],[Supply Rate]]+Table5[[#This Row],[Install Rate]])*Table5[[#This Row],[Qty]]</f>
        <v>5901</v>
      </c>
      <c r="H566" s="223">
        <f>Table5[[#This Row],[Supply Rate]]*80%</f>
        <v>4325.6000000000004</v>
      </c>
      <c r="I566" s="224"/>
      <c r="J566" s="224">
        <f>IF(Table5[[#This Row],[Material Qty]]=0,0,Table5[[#This Row],[Material Qty]]-Table5[[#This Row],[Cumulative]])</f>
        <v>0</v>
      </c>
      <c r="K566" s="223">
        <f>Table5[[#This Row],[Material Balance Qty]]*Table5[[#This Row],[Material @ Site Rate]]</f>
        <v>0</v>
      </c>
      <c r="L566" s="9"/>
      <c r="M566" s="9">
        <f>Table5[[#This Row],[Cumulative]]-Table5[[#This Row],[Previous Qty]]</f>
        <v>0</v>
      </c>
      <c r="N566" s="9"/>
      <c r="O566" s="9">
        <f>(Table5[[#This Row],[Supply Rate]]+Table5[[#This Row],[Install Rate]])*Table5[[#This Row],[Previous Qty]]</f>
        <v>0</v>
      </c>
      <c r="P566" s="9">
        <f>Table5[[#This Row],[Cumulative Amount]]-Table5[[#This Row],[Previous Amount]]</f>
        <v>0</v>
      </c>
      <c r="Q566" s="9">
        <f>(Table5[[#This Row],[Supply Rate]]+Table5[[#This Row],[Install Rate]])*Table5[[#This Row],[Cumulative]]</f>
        <v>0</v>
      </c>
      <c r="R566" t="s">
        <v>936</v>
      </c>
    </row>
    <row r="567" spans="1:18" ht="29" x14ac:dyDescent="0.35">
      <c r="A567" s="6" t="s">
        <v>327</v>
      </c>
      <c r="B567" s="11" t="s">
        <v>677</v>
      </c>
      <c r="C567" s="6">
        <v>1</v>
      </c>
      <c r="D567" s="6" t="s">
        <v>664</v>
      </c>
      <c r="E567" s="9">
        <v>457</v>
      </c>
      <c r="F567" s="9">
        <v>376</v>
      </c>
      <c r="G567" s="9">
        <f>(Table5[[#This Row],[Supply Rate]]+Table5[[#This Row],[Install Rate]])*Table5[[#This Row],[Qty]]</f>
        <v>833</v>
      </c>
      <c r="H567" s="223">
        <f>Table5[[#This Row],[Supply Rate]]*80%</f>
        <v>365.6</v>
      </c>
      <c r="I567" s="224"/>
      <c r="J567" s="224">
        <f>IF(Table5[[#This Row],[Material Qty]]=0,0,Table5[[#This Row],[Material Qty]]-Table5[[#This Row],[Cumulative]])</f>
        <v>0</v>
      </c>
      <c r="K567" s="223">
        <f>Table5[[#This Row],[Material Balance Qty]]*Table5[[#This Row],[Material @ Site Rate]]</f>
        <v>0</v>
      </c>
      <c r="L567" s="9"/>
      <c r="M567" s="9">
        <f>Table5[[#This Row],[Cumulative]]-Table5[[#This Row],[Previous Qty]]</f>
        <v>0</v>
      </c>
      <c r="N567" s="9"/>
      <c r="O567" s="9">
        <f>(Table5[[#This Row],[Supply Rate]]+Table5[[#This Row],[Install Rate]])*Table5[[#This Row],[Previous Qty]]</f>
        <v>0</v>
      </c>
      <c r="P567" s="9">
        <f>Table5[[#This Row],[Cumulative Amount]]-Table5[[#This Row],[Previous Amount]]</f>
        <v>0</v>
      </c>
      <c r="Q567" s="9">
        <f>(Table5[[#This Row],[Supply Rate]]+Table5[[#This Row],[Install Rate]])*Table5[[#This Row],[Cumulative]]</f>
        <v>0</v>
      </c>
      <c r="R567" t="s">
        <v>936</v>
      </c>
    </row>
    <row r="568" spans="1:18" x14ac:dyDescent="0.35">
      <c r="A568" s="6"/>
      <c r="B568" s="11" t="s">
        <v>667</v>
      </c>
      <c r="C568" s="6"/>
      <c r="D568" s="6"/>
      <c r="E568" s="9"/>
      <c r="F568" s="9"/>
      <c r="G568" s="9"/>
      <c r="H568" s="223"/>
      <c r="I568" s="224"/>
      <c r="J568" s="224"/>
      <c r="K568" s="223"/>
      <c r="L568" s="9"/>
      <c r="M568" s="9"/>
      <c r="N568" s="9"/>
      <c r="O568" s="9"/>
      <c r="P568" s="9"/>
      <c r="Q568" s="9"/>
      <c r="R568" t="s">
        <v>936</v>
      </c>
    </row>
    <row r="569" spans="1:18" ht="58" x14ac:dyDescent="0.35">
      <c r="A569" s="6"/>
      <c r="B569" s="11" t="s">
        <v>668</v>
      </c>
      <c r="C569" s="6"/>
      <c r="D569" s="6"/>
      <c r="E569" s="9"/>
      <c r="F569" s="9"/>
      <c r="G569" s="9"/>
      <c r="H569" s="223"/>
      <c r="I569" s="224"/>
      <c r="J569" s="224"/>
      <c r="K569" s="223"/>
      <c r="L569" s="9"/>
      <c r="M569" s="9"/>
      <c r="N569" s="9"/>
      <c r="O569" s="9"/>
      <c r="P569" s="9"/>
      <c r="Q569" s="9"/>
      <c r="R569" t="s">
        <v>936</v>
      </c>
    </row>
    <row r="570" spans="1:18" ht="29" x14ac:dyDescent="0.35">
      <c r="A570" s="6" t="s">
        <v>329</v>
      </c>
      <c r="B570" s="11" t="s">
        <v>678</v>
      </c>
      <c r="C570" s="6">
        <v>1.32</v>
      </c>
      <c r="D570" s="6" t="s">
        <v>10</v>
      </c>
      <c r="E570" s="9">
        <v>388</v>
      </c>
      <c r="F570" s="9">
        <v>50</v>
      </c>
      <c r="G570" s="9">
        <f>(Table5[[#This Row],[Supply Rate]]+Table5[[#This Row],[Install Rate]])*Table5[[#This Row],[Qty]]</f>
        <v>578.16000000000008</v>
      </c>
      <c r="H570" s="223">
        <f>Table5[[#This Row],[Supply Rate]]*80%</f>
        <v>310.40000000000003</v>
      </c>
      <c r="I570" s="224"/>
      <c r="J570" s="224">
        <f>IF(Table5[[#This Row],[Material Qty]]=0,0,Table5[[#This Row],[Material Qty]]-Table5[[#This Row],[Cumulative]])</f>
        <v>0</v>
      </c>
      <c r="K570" s="223">
        <f>Table5[[#This Row],[Material Balance Qty]]*Table5[[#This Row],[Material @ Site Rate]]</f>
        <v>0</v>
      </c>
      <c r="L570" s="9"/>
      <c r="M570" s="9">
        <f>Table5[[#This Row],[Cumulative]]-Table5[[#This Row],[Previous Qty]]</f>
        <v>0</v>
      </c>
      <c r="N570" s="9"/>
      <c r="O570" s="9">
        <f>(Table5[[#This Row],[Supply Rate]]+Table5[[#This Row],[Install Rate]])*Table5[[#This Row],[Previous Qty]]</f>
        <v>0</v>
      </c>
      <c r="P570" s="9">
        <f>Table5[[#This Row],[Cumulative Amount]]-Table5[[#This Row],[Previous Amount]]</f>
        <v>0</v>
      </c>
      <c r="Q570" s="9">
        <f>(Table5[[#This Row],[Supply Rate]]+Table5[[#This Row],[Install Rate]])*Table5[[#This Row],[Cumulative]]</f>
        <v>0</v>
      </c>
      <c r="R570" t="s">
        <v>936</v>
      </c>
    </row>
    <row r="571" spans="1:18" x14ac:dyDescent="0.35">
      <c r="A571" s="6"/>
      <c r="B571" s="11" t="s">
        <v>674</v>
      </c>
      <c r="C571" s="6"/>
      <c r="D571" s="6"/>
      <c r="E571" s="9"/>
      <c r="F571" s="9"/>
      <c r="G571" s="9"/>
      <c r="H571" s="223"/>
      <c r="I571" s="224"/>
      <c r="J571" s="224"/>
      <c r="K571" s="223"/>
      <c r="L571" s="9"/>
      <c r="M571" s="9"/>
      <c r="N571" s="9"/>
      <c r="O571" s="9"/>
      <c r="P571" s="9"/>
      <c r="Q571" s="9"/>
      <c r="R571" t="s">
        <v>936</v>
      </c>
    </row>
    <row r="572" spans="1:18" ht="58" x14ac:dyDescent="0.35">
      <c r="A572" s="6"/>
      <c r="B572" s="11" t="s">
        <v>675</v>
      </c>
      <c r="C572" s="6"/>
      <c r="D572" s="6"/>
      <c r="E572" s="9"/>
      <c r="F572" s="9"/>
      <c r="G572" s="9"/>
      <c r="H572" s="223"/>
      <c r="I572" s="224"/>
      <c r="J572" s="224"/>
      <c r="K572" s="223"/>
      <c r="L572" s="9"/>
      <c r="M572" s="9"/>
      <c r="N572" s="9"/>
      <c r="O572" s="9"/>
      <c r="P572" s="9"/>
      <c r="Q572" s="9"/>
      <c r="R572" t="s">
        <v>936</v>
      </c>
    </row>
    <row r="573" spans="1:18" ht="29" x14ac:dyDescent="0.35">
      <c r="A573" s="6" t="s">
        <v>303</v>
      </c>
      <c r="B573" s="11" t="s">
        <v>679</v>
      </c>
      <c r="C573" s="6">
        <v>2</v>
      </c>
      <c r="D573" s="6" t="s">
        <v>664</v>
      </c>
      <c r="E573" s="9">
        <v>1310</v>
      </c>
      <c r="F573" s="9">
        <v>655</v>
      </c>
      <c r="G573" s="9">
        <f>(Table5[[#This Row],[Supply Rate]]+Table5[[#This Row],[Install Rate]])*Table5[[#This Row],[Qty]]</f>
        <v>3930</v>
      </c>
      <c r="H573" s="223">
        <f>Table5[[#This Row],[Supply Rate]]*80%</f>
        <v>1048</v>
      </c>
      <c r="I573" s="224"/>
      <c r="J573" s="224">
        <f>IF(Table5[[#This Row],[Material Qty]]=0,0,Table5[[#This Row],[Material Qty]]-Table5[[#This Row],[Cumulative]])</f>
        <v>0</v>
      </c>
      <c r="K573" s="223">
        <f>Table5[[#This Row],[Material Balance Qty]]*Table5[[#This Row],[Material @ Site Rate]]</f>
        <v>0</v>
      </c>
      <c r="L573" s="9"/>
      <c r="M573" s="9">
        <f>Table5[[#This Row],[Cumulative]]-Table5[[#This Row],[Previous Qty]]</f>
        <v>0</v>
      </c>
      <c r="N573" s="9"/>
      <c r="O573" s="9">
        <f>(Table5[[#This Row],[Supply Rate]]+Table5[[#This Row],[Install Rate]])*Table5[[#This Row],[Previous Qty]]</f>
        <v>0</v>
      </c>
      <c r="P573" s="9">
        <f>Table5[[#This Row],[Cumulative Amount]]-Table5[[#This Row],[Previous Amount]]</f>
        <v>0</v>
      </c>
      <c r="Q573" s="9">
        <f>(Table5[[#This Row],[Supply Rate]]+Table5[[#This Row],[Install Rate]])*Table5[[#This Row],[Cumulative]]</f>
        <v>0</v>
      </c>
      <c r="R573" t="s">
        <v>936</v>
      </c>
    </row>
    <row r="574" spans="1:18" ht="29" x14ac:dyDescent="0.35">
      <c r="A574" s="6" t="s">
        <v>325</v>
      </c>
      <c r="B574" s="11" t="s">
        <v>680</v>
      </c>
      <c r="C574" s="6">
        <v>1</v>
      </c>
      <c r="D574" s="6" t="s">
        <v>664</v>
      </c>
      <c r="E574" s="9">
        <v>328</v>
      </c>
      <c r="F574" s="9">
        <v>362</v>
      </c>
      <c r="G574" s="9">
        <f>(Table5[[#This Row],[Supply Rate]]+Table5[[#This Row],[Install Rate]])*Table5[[#This Row],[Qty]]</f>
        <v>690</v>
      </c>
      <c r="H574" s="223">
        <f>Table5[[#This Row],[Supply Rate]]*80%</f>
        <v>262.40000000000003</v>
      </c>
      <c r="I574" s="224"/>
      <c r="J574" s="224">
        <f>IF(Table5[[#This Row],[Material Qty]]=0,0,Table5[[#This Row],[Material Qty]]-Table5[[#This Row],[Cumulative]])</f>
        <v>0</v>
      </c>
      <c r="K574" s="223">
        <f>Table5[[#This Row],[Material Balance Qty]]*Table5[[#This Row],[Material @ Site Rate]]</f>
        <v>0</v>
      </c>
      <c r="L574" s="9"/>
      <c r="M574" s="9">
        <f>Table5[[#This Row],[Cumulative]]-Table5[[#This Row],[Previous Qty]]</f>
        <v>0</v>
      </c>
      <c r="N574" s="9"/>
      <c r="O574" s="9">
        <f>(Table5[[#This Row],[Supply Rate]]+Table5[[#This Row],[Install Rate]])*Table5[[#This Row],[Previous Qty]]</f>
        <v>0</v>
      </c>
      <c r="P574" s="9">
        <f>Table5[[#This Row],[Cumulative Amount]]-Table5[[#This Row],[Previous Amount]]</f>
        <v>0</v>
      </c>
      <c r="Q574" s="9">
        <f>(Table5[[#This Row],[Supply Rate]]+Table5[[#This Row],[Install Rate]])*Table5[[#This Row],[Cumulative]]</f>
        <v>0</v>
      </c>
      <c r="R574" t="s">
        <v>936</v>
      </c>
    </row>
    <row r="575" spans="1:18" x14ac:dyDescent="0.35">
      <c r="A575" s="6"/>
      <c r="B575" s="11" t="s">
        <v>667</v>
      </c>
      <c r="C575" s="6"/>
      <c r="D575" s="6"/>
      <c r="E575" s="9"/>
      <c r="F575" s="9"/>
      <c r="G575" s="9"/>
      <c r="H575" s="223"/>
      <c r="I575" s="224"/>
      <c r="J575" s="224"/>
      <c r="K575" s="223"/>
      <c r="L575" s="9"/>
      <c r="M575" s="9"/>
      <c r="N575" s="9"/>
      <c r="O575" s="9"/>
      <c r="P575" s="9"/>
      <c r="Q575" s="9"/>
      <c r="R575" t="s">
        <v>936</v>
      </c>
    </row>
    <row r="576" spans="1:18" ht="58" x14ac:dyDescent="0.35">
      <c r="A576" s="6"/>
      <c r="B576" s="11" t="s">
        <v>668</v>
      </c>
      <c r="C576" s="6"/>
      <c r="D576" s="6"/>
      <c r="E576" s="9"/>
      <c r="F576" s="9"/>
      <c r="G576" s="9"/>
      <c r="H576" s="223"/>
      <c r="I576" s="224"/>
      <c r="J576" s="224"/>
      <c r="K576" s="223"/>
      <c r="L576" s="9"/>
      <c r="M576" s="9"/>
      <c r="N576" s="9"/>
      <c r="O576" s="9"/>
      <c r="P576" s="9"/>
      <c r="Q576" s="9"/>
      <c r="R576" t="s">
        <v>936</v>
      </c>
    </row>
    <row r="577" spans="1:18" ht="29" x14ac:dyDescent="0.35">
      <c r="A577" s="6" t="s">
        <v>327</v>
      </c>
      <c r="B577" s="11" t="s">
        <v>678</v>
      </c>
      <c r="C577" s="6">
        <v>1.2</v>
      </c>
      <c r="D577" s="6" t="s">
        <v>10</v>
      </c>
      <c r="E577" s="9">
        <v>395</v>
      </c>
      <c r="F577" s="9">
        <v>50</v>
      </c>
      <c r="G577" s="9">
        <f>(Table5[[#This Row],[Supply Rate]]+Table5[[#This Row],[Install Rate]])*Table5[[#This Row],[Qty]]</f>
        <v>534</v>
      </c>
      <c r="H577" s="223">
        <f>Table5[[#This Row],[Supply Rate]]*80%</f>
        <v>316</v>
      </c>
      <c r="I577" s="224"/>
      <c r="J577" s="224">
        <f>IF(Table5[[#This Row],[Material Qty]]=0,0,Table5[[#This Row],[Material Qty]]-Table5[[#This Row],[Cumulative]])</f>
        <v>0</v>
      </c>
      <c r="K577" s="223">
        <f>Table5[[#This Row],[Material Balance Qty]]*Table5[[#This Row],[Material @ Site Rate]]</f>
        <v>0</v>
      </c>
      <c r="L577" s="9"/>
      <c r="M577" s="9">
        <f>Table5[[#This Row],[Cumulative]]-Table5[[#This Row],[Previous Qty]]</f>
        <v>0</v>
      </c>
      <c r="N577" s="9"/>
      <c r="O577" s="9">
        <f>(Table5[[#This Row],[Supply Rate]]+Table5[[#This Row],[Install Rate]])*Table5[[#This Row],[Previous Qty]]</f>
        <v>0</v>
      </c>
      <c r="P577" s="9">
        <f>Table5[[#This Row],[Cumulative Amount]]-Table5[[#This Row],[Previous Amount]]</f>
        <v>0</v>
      </c>
      <c r="Q577" s="9">
        <f>(Table5[[#This Row],[Supply Rate]]+Table5[[#This Row],[Install Rate]])*Table5[[#This Row],[Cumulative]]</f>
        <v>0</v>
      </c>
      <c r="R577" t="s">
        <v>936</v>
      </c>
    </row>
    <row r="578" spans="1:18" ht="58" x14ac:dyDescent="0.35">
      <c r="A578" s="6"/>
      <c r="B578" s="11" t="s">
        <v>681</v>
      </c>
      <c r="C578" s="6"/>
      <c r="D578" s="6"/>
      <c r="E578" s="9"/>
      <c r="F578" s="9"/>
      <c r="G578" s="9"/>
      <c r="H578" s="223"/>
      <c r="I578" s="224"/>
      <c r="J578" s="224"/>
      <c r="K578" s="223"/>
      <c r="L578" s="9"/>
      <c r="M578" s="9"/>
      <c r="N578" s="9"/>
      <c r="O578" s="9"/>
      <c r="P578" s="9"/>
      <c r="Q578" s="9"/>
      <c r="R578" t="s">
        <v>936</v>
      </c>
    </row>
    <row r="579" spans="1:18" ht="43.5" x14ac:dyDescent="0.35">
      <c r="A579" s="6" t="s">
        <v>329</v>
      </c>
      <c r="B579" s="11" t="s">
        <v>682</v>
      </c>
      <c r="C579" s="6">
        <v>1</v>
      </c>
      <c r="D579" s="6" t="s">
        <v>664</v>
      </c>
      <c r="E579" s="9">
        <v>323</v>
      </c>
      <c r="F579" s="9">
        <v>359</v>
      </c>
      <c r="G579" s="9">
        <f>(Table5[[#This Row],[Supply Rate]]+Table5[[#This Row],[Install Rate]])*Table5[[#This Row],[Qty]]</f>
        <v>682</v>
      </c>
      <c r="H579" s="223">
        <f>Table5[[#This Row],[Supply Rate]]*80%</f>
        <v>258.40000000000003</v>
      </c>
      <c r="I579" s="224"/>
      <c r="J579" s="224">
        <f>IF(Table5[[#This Row],[Material Qty]]=0,0,Table5[[#This Row],[Material Qty]]-Table5[[#This Row],[Cumulative]])</f>
        <v>0</v>
      </c>
      <c r="K579" s="223">
        <f>Table5[[#This Row],[Material Balance Qty]]*Table5[[#This Row],[Material @ Site Rate]]</f>
        <v>0</v>
      </c>
      <c r="L579" s="9"/>
      <c r="M579" s="9">
        <f>Table5[[#This Row],[Cumulative]]-Table5[[#This Row],[Previous Qty]]</f>
        <v>0</v>
      </c>
      <c r="N579" s="9"/>
      <c r="O579" s="9">
        <f>(Table5[[#This Row],[Supply Rate]]+Table5[[#This Row],[Install Rate]])*Table5[[#This Row],[Previous Qty]]</f>
        <v>0</v>
      </c>
      <c r="P579" s="9">
        <f>Table5[[#This Row],[Cumulative Amount]]-Table5[[#This Row],[Previous Amount]]</f>
        <v>0</v>
      </c>
      <c r="Q579" s="9">
        <f>(Table5[[#This Row],[Supply Rate]]+Table5[[#This Row],[Install Rate]])*Table5[[#This Row],[Cumulative]]</f>
        <v>0</v>
      </c>
      <c r="R579" t="s">
        <v>936</v>
      </c>
    </row>
    <row r="580" spans="1:18" x14ac:dyDescent="0.35">
      <c r="A580" s="6" t="s">
        <v>683</v>
      </c>
      <c r="B580" s="11" t="s">
        <v>684</v>
      </c>
      <c r="C580" s="6">
        <v>1</v>
      </c>
      <c r="D580" s="6" t="s">
        <v>664</v>
      </c>
      <c r="E580" s="9">
        <v>2067</v>
      </c>
      <c r="F580" s="9">
        <v>773</v>
      </c>
      <c r="G580" s="9">
        <f>(Table5[[#This Row],[Supply Rate]]+Table5[[#This Row],[Install Rate]])*Table5[[#This Row],[Qty]]</f>
        <v>2840</v>
      </c>
      <c r="H580" s="223">
        <f>Table5[[#This Row],[Supply Rate]]*80%</f>
        <v>1653.6000000000001</v>
      </c>
      <c r="I580" s="224"/>
      <c r="J580" s="224">
        <f>IF(Table5[[#This Row],[Material Qty]]=0,0,Table5[[#This Row],[Material Qty]]-Table5[[#This Row],[Cumulative]])</f>
        <v>0</v>
      </c>
      <c r="K580" s="223">
        <f>Table5[[#This Row],[Material Balance Qty]]*Table5[[#This Row],[Material @ Site Rate]]</f>
        <v>0</v>
      </c>
      <c r="L580" s="9"/>
      <c r="M580" s="9">
        <f>Table5[[#This Row],[Cumulative]]-Table5[[#This Row],[Previous Qty]]</f>
        <v>0</v>
      </c>
      <c r="N580" s="9"/>
      <c r="O580" s="9">
        <f>(Table5[[#This Row],[Supply Rate]]+Table5[[#This Row],[Install Rate]])*Table5[[#This Row],[Previous Qty]]</f>
        <v>0</v>
      </c>
      <c r="P580" s="9">
        <f>Table5[[#This Row],[Cumulative Amount]]-Table5[[#This Row],[Previous Amount]]</f>
        <v>0</v>
      </c>
      <c r="Q580" s="9">
        <f>(Table5[[#This Row],[Supply Rate]]+Table5[[#This Row],[Install Rate]])*Table5[[#This Row],[Cumulative]]</f>
        <v>0</v>
      </c>
      <c r="R580" t="s">
        <v>936</v>
      </c>
    </row>
    <row r="581" spans="1:18" x14ac:dyDescent="0.35">
      <c r="A581" s="6"/>
      <c r="B581" s="7" t="s">
        <v>380</v>
      </c>
      <c r="C581" s="6"/>
      <c r="D581" s="6"/>
      <c r="E581" s="9"/>
      <c r="F581" s="9"/>
      <c r="G581" s="9"/>
      <c r="H581" s="223"/>
      <c r="I581" s="224"/>
      <c r="J581" s="224"/>
      <c r="K581" s="223"/>
      <c r="L581" s="9"/>
      <c r="M581" s="9"/>
      <c r="N581" s="9"/>
      <c r="O581" s="9"/>
      <c r="P581" s="9"/>
      <c r="Q581" s="9"/>
      <c r="R581" t="s">
        <v>936</v>
      </c>
    </row>
    <row r="582" spans="1:18" ht="29" x14ac:dyDescent="0.35">
      <c r="A582" s="6">
        <v>1</v>
      </c>
      <c r="B582" s="11" t="s">
        <v>685</v>
      </c>
      <c r="C582" s="6">
        <v>1</v>
      </c>
      <c r="D582" s="6" t="s">
        <v>673</v>
      </c>
      <c r="E582" s="9">
        <v>2656</v>
      </c>
      <c r="F582" s="9">
        <v>418</v>
      </c>
      <c r="G582" s="9">
        <f>(Table5[[#This Row],[Supply Rate]]+Table5[[#This Row],[Install Rate]])*Table5[[#This Row],[Qty]]</f>
        <v>3074</v>
      </c>
      <c r="H582" s="223">
        <f>Table5[[#This Row],[Supply Rate]]*80%</f>
        <v>2124.8000000000002</v>
      </c>
      <c r="I582" s="224"/>
      <c r="J582" s="224">
        <f>IF(Table5[[#This Row],[Material Qty]]=0,0,Table5[[#This Row],[Material Qty]]-Table5[[#This Row],[Cumulative]])</f>
        <v>0</v>
      </c>
      <c r="K582" s="223">
        <f>Table5[[#This Row],[Material Balance Qty]]*Table5[[#This Row],[Material @ Site Rate]]</f>
        <v>0</v>
      </c>
      <c r="L582" s="9"/>
      <c r="M582" s="9">
        <f>Table5[[#This Row],[Cumulative]]-Table5[[#This Row],[Previous Qty]]</f>
        <v>0</v>
      </c>
      <c r="N582" s="9"/>
      <c r="O582" s="9">
        <f>(Table5[[#This Row],[Supply Rate]]+Table5[[#This Row],[Install Rate]])*Table5[[#This Row],[Previous Qty]]</f>
        <v>0</v>
      </c>
      <c r="P582" s="9">
        <f>Table5[[#This Row],[Cumulative Amount]]-Table5[[#This Row],[Previous Amount]]</f>
        <v>0</v>
      </c>
      <c r="Q582" s="9">
        <f>(Table5[[#This Row],[Supply Rate]]+Table5[[#This Row],[Install Rate]])*Table5[[#This Row],[Cumulative]]</f>
        <v>0</v>
      </c>
      <c r="R582" t="s">
        <v>936</v>
      </c>
    </row>
    <row r="583" spans="1:18" ht="29" x14ac:dyDescent="0.35">
      <c r="A583" s="6">
        <v>2</v>
      </c>
      <c r="B583" s="11" t="s">
        <v>686</v>
      </c>
      <c r="C583" s="6">
        <v>1</v>
      </c>
      <c r="D583" s="6" t="s">
        <v>673</v>
      </c>
      <c r="E583" s="9">
        <v>2653</v>
      </c>
      <c r="F583" s="9">
        <v>408</v>
      </c>
      <c r="G583" s="9">
        <f>(Table5[[#This Row],[Supply Rate]]+Table5[[#This Row],[Install Rate]])*Table5[[#This Row],[Qty]]</f>
        <v>3061</v>
      </c>
      <c r="H583" s="223">
        <f>Table5[[#This Row],[Supply Rate]]*80%</f>
        <v>2122.4</v>
      </c>
      <c r="I583" s="224"/>
      <c r="J583" s="224">
        <f>IF(Table5[[#This Row],[Material Qty]]=0,0,Table5[[#This Row],[Material Qty]]-Table5[[#This Row],[Cumulative]])</f>
        <v>0</v>
      </c>
      <c r="K583" s="223">
        <f>Table5[[#This Row],[Material Balance Qty]]*Table5[[#This Row],[Material @ Site Rate]]</f>
        <v>0</v>
      </c>
      <c r="L583" s="9"/>
      <c r="M583" s="9">
        <f>Table5[[#This Row],[Cumulative]]-Table5[[#This Row],[Previous Qty]]</f>
        <v>0</v>
      </c>
      <c r="N583" s="9"/>
      <c r="O583" s="9">
        <f>(Table5[[#This Row],[Supply Rate]]+Table5[[#This Row],[Install Rate]])*Table5[[#This Row],[Previous Qty]]</f>
        <v>0</v>
      </c>
      <c r="P583" s="9">
        <f>Table5[[#This Row],[Cumulative Amount]]-Table5[[#This Row],[Previous Amount]]</f>
        <v>0</v>
      </c>
      <c r="Q583" s="9">
        <f>(Table5[[#This Row],[Supply Rate]]+Table5[[#This Row],[Install Rate]])*Table5[[#This Row],[Cumulative]]</f>
        <v>0</v>
      </c>
      <c r="R583" t="s">
        <v>936</v>
      </c>
    </row>
    <row r="584" spans="1:18" ht="29" x14ac:dyDescent="0.35">
      <c r="A584" s="6">
        <v>3</v>
      </c>
      <c r="B584" s="11" t="s">
        <v>687</v>
      </c>
      <c r="C584" s="6">
        <v>1</v>
      </c>
      <c r="D584" s="6" t="s">
        <v>673</v>
      </c>
      <c r="E584" s="9">
        <v>2488</v>
      </c>
      <c r="F584" s="9">
        <v>390</v>
      </c>
      <c r="G584" s="9">
        <f>(Table5[[#This Row],[Supply Rate]]+Table5[[#This Row],[Install Rate]])*Table5[[#This Row],[Qty]]</f>
        <v>2878</v>
      </c>
      <c r="H584" s="223">
        <f>Table5[[#This Row],[Supply Rate]]*80%</f>
        <v>1990.4</v>
      </c>
      <c r="I584" s="224"/>
      <c r="J584" s="224">
        <f>IF(Table5[[#This Row],[Material Qty]]=0,0,Table5[[#This Row],[Material Qty]]-Table5[[#This Row],[Cumulative]])</f>
        <v>0</v>
      </c>
      <c r="K584" s="223">
        <f>Table5[[#This Row],[Material Balance Qty]]*Table5[[#This Row],[Material @ Site Rate]]</f>
        <v>0</v>
      </c>
      <c r="L584" s="9"/>
      <c r="M584" s="9">
        <f>Table5[[#This Row],[Cumulative]]-Table5[[#This Row],[Previous Qty]]</f>
        <v>0</v>
      </c>
      <c r="N584" s="9"/>
      <c r="O584" s="9">
        <f>(Table5[[#This Row],[Supply Rate]]+Table5[[#This Row],[Install Rate]])*Table5[[#This Row],[Previous Qty]]</f>
        <v>0</v>
      </c>
      <c r="P584" s="9">
        <f>Table5[[#This Row],[Cumulative Amount]]-Table5[[#This Row],[Previous Amount]]</f>
        <v>0</v>
      </c>
      <c r="Q584" s="9">
        <f>(Table5[[#This Row],[Supply Rate]]+Table5[[#This Row],[Install Rate]])*Table5[[#This Row],[Cumulative]]</f>
        <v>0</v>
      </c>
      <c r="R584" t="s">
        <v>936</v>
      </c>
    </row>
    <row r="585" spans="1:18" ht="29" x14ac:dyDescent="0.35">
      <c r="A585" s="6">
        <v>4</v>
      </c>
      <c r="B585" s="11" t="s">
        <v>688</v>
      </c>
      <c r="C585" s="6">
        <v>1</v>
      </c>
      <c r="D585" s="6" t="s">
        <v>673</v>
      </c>
      <c r="E585" s="9">
        <v>3017</v>
      </c>
      <c r="F585" s="9">
        <v>764</v>
      </c>
      <c r="G585" s="9">
        <f>(Table5[[#This Row],[Supply Rate]]+Table5[[#This Row],[Install Rate]])*Table5[[#This Row],[Qty]]</f>
        <v>3781</v>
      </c>
      <c r="H585" s="223">
        <f>Table5[[#This Row],[Supply Rate]]*80%</f>
        <v>2413.6</v>
      </c>
      <c r="I585" s="224"/>
      <c r="J585" s="224">
        <f>IF(Table5[[#This Row],[Material Qty]]=0,0,Table5[[#This Row],[Material Qty]]-Table5[[#This Row],[Cumulative]])</f>
        <v>0</v>
      </c>
      <c r="K585" s="223">
        <f>Table5[[#This Row],[Material Balance Qty]]*Table5[[#This Row],[Material @ Site Rate]]</f>
        <v>0</v>
      </c>
      <c r="L585" s="9"/>
      <c r="M585" s="9">
        <f>Table5[[#This Row],[Cumulative]]-Table5[[#This Row],[Previous Qty]]</f>
        <v>0</v>
      </c>
      <c r="N585" s="9"/>
      <c r="O585" s="9">
        <f>(Table5[[#This Row],[Supply Rate]]+Table5[[#This Row],[Install Rate]])*Table5[[#This Row],[Previous Qty]]</f>
        <v>0</v>
      </c>
      <c r="P585" s="9">
        <f>Table5[[#This Row],[Cumulative Amount]]-Table5[[#This Row],[Previous Amount]]</f>
        <v>0</v>
      </c>
      <c r="Q585" s="9">
        <f>(Table5[[#This Row],[Supply Rate]]+Table5[[#This Row],[Install Rate]])*Table5[[#This Row],[Cumulative]]</f>
        <v>0</v>
      </c>
      <c r="R585" t="s">
        <v>936</v>
      </c>
    </row>
    <row r="586" spans="1:18" ht="29" x14ac:dyDescent="0.35">
      <c r="A586" s="6">
        <v>5</v>
      </c>
      <c r="B586" s="11" t="s">
        <v>689</v>
      </c>
      <c r="C586" s="6">
        <v>1</v>
      </c>
      <c r="D586" s="6" t="s">
        <v>673</v>
      </c>
      <c r="E586" s="9">
        <v>2230</v>
      </c>
      <c r="F586" s="9">
        <v>880</v>
      </c>
      <c r="G586" s="9">
        <f>(Table5[[#This Row],[Supply Rate]]+Table5[[#This Row],[Install Rate]])*Table5[[#This Row],[Qty]]</f>
        <v>3110</v>
      </c>
      <c r="H586" s="223">
        <f>Table5[[#This Row],[Supply Rate]]*80%</f>
        <v>1784</v>
      </c>
      <c r="I586" s="224"/>
      <c r="J586" s="224">
        <f>IF(Table5[[#This Row],[Material Qty]]=0,0,Table5[[#This Row],[Material Qty]]-Table5[[#This Row],[Cumulative]])</f>
        <v>0</v>
      </c>
      <c r="K586" s="223">
        <f>Table5[[#This Row],[Material Balance Qty]]*Table5[[#This Row],[Material @ Site Rate]]</f>
        <v>0</v>
      </c>
      <c r="L586" s="9"/>
      <c r="M586" s="9">
        <f>Table5[[#This Row],[Cumulative]]-Table5[[#This Row],[Previous Qty]]</f>
        <v>0</v>
      </c>
      <c r="N586" s="9"/>
      <c r="O586" s="9">
        <f>(Table5[[#This Row],[Supply Rate]]+Table5[[#This Row],[Install Rate]])*Table5[[#This Row],[Previous Qty]]</f>
        <v>0</v>
      </c>
      <c r="P586" s="9">
        <f>Table5[[#This Row],[Cumulative Amount]]-Table5[[#This Row],[Previous Amount]]</f>
        <v>0</v>
      </c>
      <c r="Q586" s="9">
        <f>(Table5[[#This Row],[Supply Rate]]+Table5[[#This Row],[Install Rate]])*Table5[[#This Row],[Cumulative]]</f>
        <v>0</v>
      </c>
      <c r="R586" t="s">
        <v>936</v>
      </c>
    </row>
    <row r="587" spans="1:18" ht="43.5" x14ac:dyDescent="0.35">
      <c r="A587" s="6">
        <v>6</v>
      </c>
      <c r="B587" s="11" t="s">
        <v>690</v>
      </c>
      <c r="C587" s="6">
        <v>1</v>
      </c>
      <c r="D587" s="6" t="s">
        <v>673</v>
      </c>
      <c r="E587" s="9">
        <v>2605</v>
      </c>
      <c r="F587" s="9">
        <v>561</v>
      </c>
      <c r="G587" s="9">
        <f>(Table5[[#This Row],[Supply Rate]]+Table5[[#This Row],[Install Rate]])*Table5[[#This Row],[Qty]]</f>
        <v>3166</v>
      </c>
      <c r="H587" s="223">
        <f>Table5[[#This Row],[Supply Rate]]*80%</f>
        <v>2084</v>
      </c>
      <c r="I587" s="224"/>
      <c r="J587" s="224">
        <f>IF(Table5[[#This Row],[Material Qty]]=0,0,Table5[[#This Row],[Material Qty]]-Table5[[#This Row],[Cumulative]])</f>
        <v>0</v>
      </c>
      <c r="K587" s="223">
        <f>Table5[[#This Row],[Material Balance Qty]]*Table5[[#This Row],[Material @ Site Rate]]</f>
        <v>0</v>
      </c>
      <c r="L587" s="9"/>
      <c r="M587" s="9">
        <f>Table5[[#This Row],[Cumulative]]-Table5[[#This Row],[Previous Qty]]</f>
        <v>0</v>
      </c>
      <c r="N587" s="9"/>
      <c r="O587" s="9">
        <f>(Table5[[#This Row],[Supply Rate]]+Table5[[#This Row],[Install Rate]])*Table5[[#This Row],[Previous Qty]]</f>
        <v>0</v>
      </c>
      <c r="P587" s="9">
        <f>Table5[[#This Row],[Cumulative Amount]]-Table5[[#This Row],[Previous Amount]]</f>
        <v>0</v>
      </c>
      <c r="Q587" s="9">
        <f>(Table5[[#This Row],[Supply Rate]]+Table5[[#This Row],[Install Rate]])*Table5[[#This Row],[Cumulative]]</f>
        <v>0</v>
      </c>
      <c r="R587" t="s">
        <v>936</v>
      </c>
    </row>
    <row r="588" spans="1:18" ht="29" x14ac:dyDescent="0.35">
      <c r="A588" s="213">
        <v>7</v>
      </c>
      <c r="B588" s="214" t="s">
        <v>691</v>
      </c>
      <c r="C588" s="213">
        <v>2</v>
      </c>
      <c r="D588" s="213" t="s">
        <v>692</v>
      </c>
      <c r="E588" s="215">
        <v>2029</v>
      </c>
      <c r="F588" s="215">
        <v>300</v>
      </c>
      <c r="G588" s="215">
        <f>(Table5[[#This Row],[Supply Rate]]+Table5[[#This Row],[Install Rate]])*Table5[[#This Row],[Qty]]</f>
        <v>4658</v>
      </c>
      <c r="H588" s="225">
        <f>Table5[[#This Row],[Supply Rate]]*80%</f>
        <v>1623.2</v>
      </c>
      <c r="I588" s="226"/>
      <c r="J588" s="226">
        <f>IF(Table5[[#This Row],[Material Qty]]=0,0,Table5[[#This Row],[Material Qty]]-Table5[[#This Row],[Cumulative]])</f>
        <v>0</v>
      </c>
      <c r="K588" s="225">
        <f>Table5[[#This Row],[Material Balance Qty]]*Table5[[#This Row],[Material @ Site Rate]]</f>
        <v>0</v>
      </c>
      <c r="L588" s="215"/>
      <c r="M588" s="215">
        <f>Table5[[#This Row],[Cumulative]]-Table5[[#This Row],[Previous Qty]]</f>
        <v>0</v>
      </c>
      <c r="N588" s="215"/>
      <c r="O588" s="215">
        <f>(Table5[[#This Row],[Supply Rate]]+Table5[[#This Row],[Install Rate]])*Table5[[#This Row],[Previous Qty]]</f>
        <v>0</v>
      </c>
      <c r="P588" s="215">
        <f>Table5[[#This Row],[Cumulative Amount]]-Table5[[#This Row],[Previous Amount]]</f>
        <v>0</v>
      </c>
      <c r="Q588" s="215">
        <f>(Table5[[#This Row],[Supply Rate]]+Table5[[#This Row],[Install Rate]])*Table5[[#This Row],[Cumulative]]</f>
        <v>0</v>
      </c>
      <c r="R588" t="s">
        <v>936</v>
      </c>
    </row>
    <row r="589" spans="1:18" s="200" customFormat="1" ht="25.5" customHeight="1" x14ac:dyDescent="0.35">
      <c r="A589" s="216"/>
      <c r="B589" s="217" t="s">
        <v>693</v>
      </c>
      <c r="C589" s="216"/>
      <c r="D589" s="216"/>
      <c r="E589" s="218"/>
      <c r="F589" s="218"/>
      <c r="G589" s="218">
        <f>SUBTOTAL(109,Table5[Amount])</f>
        <v>2169551.483</v>
      </c>
      <c r="H589" s="227"/>
      <c r="I589" s="228"/>
      <c r="J589" s="228"/>
      <c r="K589" s="227">
        <f>SUBTOTAL(109,Table5[Material @ Site Amount])</f>
        <v>0</v>
      </c>
      <c r="L589" s="218"/>
      <c r="M589" s="218"/>
      <c r="N589" s="218"/>
      <c r="O589" s="218">
        <f>SUBTOTAL(109,Table5[Previous Amount])</f>
        <v>566441.64</v>
      </c>
      <c r="P589" s="218">
        <f>SUBTOTAL(109,Table5[Current Amount])</f>
        <v>102228.53599999999</v>
      </c>
      <c r="Q589" s="218">
        <f>SUBTOTAL(109,Table5[Cumulative Amount])</f>
        <v>668670.17600000009</v>
      </c>
    </row>
  </sheetData>
  <phoneticPr fontId="7" type="noConversion"/>
  <pageMargins left="0.7" right="0.7" top="0.75" bottom="0.75" header="0.3" footer="0.3"/>
  <pageSetup paperSize="9" scale="42"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43"/>
  <sheetViews>
    <sheetView zoomScale="40" zoomScaleNormal="40" workbookViewId="0">
      <selection activeCell="X18" sqref="X18"/>
    </sheetView>
  </sheetViews>
  <sheetFormatPr defaultRowHeight="14.5" x14ac:dyDescent="0.35"/>
  <cols>
    <col min="1" max="1" width="19.54296875" customWidth="1"/>
    <col min="2" max="2" width="62" customWidth="1"/>
    <col min="3" max="3" width="186.81640625" customWidth="1"/>
    <col min="4" max="4" width="86.7265625" customWidth="1"/>
    <col min="5" max="5" width="78.26953125" customWidth="1"/>
    <col min="6" max="6" width="42" customWidth="1"/>
    <col min="7" max="7" width="31.81640625" bestFit="1" customWidth="1"/>
  </cols>
  <sheetData>
    <row r="1" spans="1:7" ht="33.5" x14ac:dyDescent="0.35">
      <c r="A1" s="114" t="s">
        <v>760</v>
      </c>
      <c r="B1" s="115"/>
      <c r="C1" s="115"/>
      <c r="D1" s="116"/>
      <c r="E1" s="116"/>
      <c r="F1" s="116"/>
      <c r="G1" s="115"/>
    </row>
    <row r="2" spans="1:7" ht="33.5" x14ac:dyDescent="0.35">
      <c r="A2" s="114" t="s">
        <v>761</v>
      </c>
      <c r="B2" s="115"/>
      <c r="C2" s="115"/>
      <c r="D2" s="116"/>
      <c r="E2" s="116"/>
      <c r="F2" s="116"/>
      <c r="G2" s="115"/>
    </row>
    <row r="3" spans="1:7" ht="33.5" x14ac:dyDescent="0.35">
      <c r="A3" s="115"/>
      <c r="B3" s="115"/>
      <c r="C3" s="115"/>
      <c r="D3" s="116"/>
      <c r="E3" s="116"/>
      <c r="F3" s="116"/>
      <c r="G3" s="115"/>
    </row>
    <row r="4" spans="1:7" ht="33.5" x14ac:dyDescent="0.35">
      <c r="A4" s="117" t="s">
        <v>762</v>
      </c>
      <c r="B4" s="117" t="s">
        <v>763</v>
      </c>
      <c r="C4" s="117" t="s">
        <v>286</v>
      </c>
      <c r="D4" s="117" t="s">
        <v>694</v>
      </c>
      <c r="E4" s="117" t="s">
        <v>764</v>
      </c>
      <c r="F4" s="117" t="s">
        <v>765</v>
      </c>
      <c r="G4" s="117" t="s">
        <v>6</v>
      </c>
    </row>
    <row r="5" spans="1:7" ht="33.5" x14ac:dyDescent="0.35">
      <c r="A5" s="118"/>
      <c r="B5" s="118" t="s">
        <v>766</v>
      </c>
      <c r="C5" s="118" t="s">
        <v>767</v>
      </c>
      <c r="D5" s="119"/>
      <c r="E5" s="119"/>
      <c r="F5" s="119"/>
      <c r="G5" s="120">
        <v>4556481</v>
      </c>
    </row>
    <row r="6" spans="1:7" ht="33.5" x14ac:dyDescent="0.35">
      <c r="A6" s="121"/>
      <c r="B6" s="121" t="s">
        <v>768</v>
      </c>
      <c r="C6" s="121"/>
      <c r="D6" s="122"/>
      <c r="E6" s="122"/>
      <c r="F6" s="122"/>
      <c r="G6" s="121"/>
    </row>
    <row r="7" spans="1:7" ht="33.5" x14ac:dyDescent="0.35">
      <c r="A7" s="124">
        <v>1</v>
      </c>
      <c r="B7" s="125" t="s">
        <v>224</v>
      </c>
      <c r="C7" s="125" t="s">
        <v>225</v>
      </c>
      <c r="D7" s="127" t="s">
        <v>769</v>
      </c>
      <c r="E7" s="127"/>
      <c r="F7" s="128">
        <v>44659</v>
      </c>
      <c r="G7" s="123">
        <v>4165.46</v>
      </c>
    </row>
    <row r="8" spans="1:7" ht="33.5" x14ac:dyDescent="0.35">
      <c r="A8" s="124">
        <v>2</v>
      </c>
      <c r="B8" s="125" t="s">
        <v>770</v>
      </c>
      <c r="C8" s="125" t="s">
        <v>771</v>
      </c>
      <c r="D8" s="127" t="s">
        <v>772</v>
      </c>
      <c r="E8" s="127"/>
      <c r="F8" s="127" t="s">
        <v>773</v>
      </c>
      <c r="G8" s="123"/>
    </row>
    <row r="9" spans="1:7" ht="33.5" x14ac:dyDescent="0.35">
      <c r="A9" s="124">
        <v>3</v>
      </c>
      <c r="B9" s="125" t="s">
        <v>774</v>
      </c>
      <c r="C9" s="125" t="s">
        <v>775</v>
      </c>
      <c r="D9" s="127" t="s">
        <v>776</v>
      </c>
      <c r="E9" s="127" t="s">
        <v>777</v>
      </c>
      <c r="F9" s="128" t="s">
        <v>778</v>
      </c>
      <c r="G9" s="123"/>
    </row>
    <row r="10" spans="1:7" ht="33.5" x14ac:dyDescent="0.35">
      <c r="A10" s="124">
        <v>4</v>
      </c>
      <c r="B10" s="125" t="s">
        <v>779</v>
      </c>
      <c r="C10" s="125" t="s">
        <v>208</v>
      </c>
      <c r="D10" s="127" t="s">
        <v>780</v>
      </c>
      <c r="E10" s="127"/>
      <c r="F10" s="128" t="s">
        <v>778</v>
      </c>
      <c r="G10" s="123">
        <v>1787839.32</v>
      </c>
    </row>
    <row r="11" spans="1:7" ht="67" x14ac:dyDescent="0.35">
      <c r="A11" s="124">
        <v>5</v>
      </c>
      <c r="B11" s="125" t="s">
        <v>781</v>
      </c>
      <c r="C11" s="125" t="s">
        <v>782</v>
      </c>
      <c r="D11" s="263" t="s">
        <v>783</v>
      </c>
      <c r="E11" s="127"/>
      <c r="F11" s="128">
        <v>44781</v>
      </c>
      <c r="G11" s="123">
        <v>12288</v>
      </c>
    </row>
    <row r="12" spans="1:7" ht="33.5" x14ac:dyDescent="0.35">
      <c r="A12" s="124">
        <v>6</v>
      </c>
      <c r="B12" s="125" t="s">
        <v>239</v>
      </c>
      <c r="C12" s="125" t="s">
        <v>240</v>
      </c>
      <c r="D12" s="264"/>
      <c r="E12" s="127"/>
      <c r="F12" s="128" t="s">
        <v>784</v>
      </c>
      <c r="G12" s="123">
        <v>164783.47</v>
      </c>
    </row>
    <row r="13" spans="1:7" ht="67" x14ac:dyDescent="0.35">
      <c r="A13" s="124">
        <v>7</v>
      </c>
      <c r="B13" s="125" t="s">
        <v>785</v>
      </c>
      <c r="C13" s="125" t="s">
        <v>786</v>
      </c>
      <c r="D13" s="126" t="s">
        <v>787</v>
      </c>
      <c r="E13" s="127" t="s">
        <v>788</v>
      </c>
      <c r="F13" s="128" t="s">
        <v>789</v>
      </c>
      <c r="G13" s="123">
        <v>91055.679999999993</v>
      </c>
    </row>
    <row r="14" spans="1:7" ht="67" x14ac:dyDescent="0.35">
      <c r="A14" s="124">
        <v>8</v>
      </c>
      <c r="B14" s="125" t="s">
        <v>790</v>
      </c>
      <c r="C14" s="125" t="s">
        <v>791</v>
      </c>
      <c r="D14" s="126" t="s">
        <v>792</v>
      </c>
      <c r="E14" s="127" t="s">
        <v>793</v>
      </c>
      <c r="F14" s="128">
        <v>44785</v>
      </c>
      <c r="G14" s="123">
        <v>112777</v>
      </c>
    </row>
    <row r="15" spans="1:7" ht="67" x14ac:dyDescent="0.35">
      <c r="A15" s="124">
        <v>9</v>
      </c>
      <c r="B15" s="125" t="s">
        <v>794</v>
      </c>
      <c r="C15" s="125" t="s">
        <v>795</v>
      </c>
      <c r="D15" s="126" t="s">
        <v>796</v>
      </c>
      <c r="E15" s="127" t="s">
        <v>797</v>
      </c>
      <c r="F15" s="128">
        <v>44572</v>
      </c>
      <c r="G15" s="123"/>
    </row>
    <row r="16" spans="1:7" ht="33.5" x14ac:dyDescent="0.35">
      <c r="A16" s="124">
        <v>10</v>
      </c>
      <c r="B16" s="125" t="s">
        <v>798</v>
      </c>
      <c r="C16" s="125" t="s">
        <v>799</v>
      </c>
      <c r="D16" s="127" t="s">
        <v>800</v>
      </c>
      <c r="E16" s="127" t="s">
        <v>801</v>
      </c>
      <c r="F16" s="128">
        <v>44724</v>
      </c>
      <c r="G16" s="123">
        <v>534254</v>
      </c>
    </row>
    <row r="17" spans="1:7" ht="33.5" x14ac:dyDescent="0.35">
      <c r="A17" s="124">
        <v>11</v>
      </c>
      <c r="B17" s="125" t="s">
        <v>802</v>
      </c>
      <c r="C17" s="125" t="s">
        <v>803</v>
      </c>
      <c r="D17" s="126" t="s">
        <v>804</v>
      </c>
      <c r="E17" s="127" t="s">
        <v>805</v>
      </c>
      <c r="F17" s="128">
        <v>44631</v>
      </c>
      <c r="G17" s="123">
        <v>98371</v>
      </c>
    </row>
    <row r="18" spans="1:7" ht="33.5" x14ac:dyDescent="0.35">
      <c r="A18" s="124">
        <v>12</v>
      </c>
      <c r="B18" s="125" t="s">
        <v>806</v>
      </c>
      <c r="C18" s="125" t="s">
        <v>235</v>
      </c>
      <c r="D18" s="126" t="s">
        <v>807</v>
      </c>
      <c r="E18" s="127" t="s">
        <v>808</v>
      </c>
      <c r="F18" s="128" t="s">
        <v>809</v>
      </c>
      <c r="G18" s="123">
        <v>125306</v>
      </c>
    </row>
    <row r="19" spans="1:7" ht="67" x14ac:dyDescent="0.35">
      <c r="A19" s="124">
        <v>13</v>
      </c>
      <c r="B19" s="125" t="s">
        <v>255</v>
      </c>
      <c r="C19" s="125" t="s">
        <v>256</v>
      </c>
      <c r="D19" s="126" t="s">
        <v>810</v>
      </c>
      <c r="E19" s="127" t="s">
        <v>811</v>
      </c>
      <c r="F19" s="128">
        <v>44693</v>
      </c>
      <c r="G19" s="123">
        <v>98788</v>
      </c>
    </row>
    <row r="20" spans="1:7" ht="67" x14ac:dyDescent="0.35">
      <c r="A20" s="124">
        <v>14</v>
      </c>
      <c r="B20" s="125" t="s">
        <v>812</v>
      </c>
      <c r="C20" s="125" t="s">
        <v>813</v>
      </c>
      <c r="D20" s="126" t="s">
        <v>814</v>
      </c>
      <c r="E20" s="127" t="s">
        <v>815</v>
      </c>
      <c r="F20" s="128">
        <v>44693</v>
      </c>
      <c r="G20" s="123">
        <v>74930</v>
      </c>
    </row>
    <row r="21" spans="1:7" ht="67" x14ac:dyDescent="0.35">
      <c r="A21" s="124">
        <v>15</v>
      </c>
      <c r="B21" s="125" t="s">
        <v>816</v>
      </c>
      <c r="C21" s="125" t="s">
        <v>817</v>
      </c>
      <c r="D21" s="126" t="s">
        <v>818</v>
      </c>
      <c r="E21" s="127" t="s">
        <v>819</v>
      </c>
      <c r="F21" s="128">
        <v>44958</v>
      </c>
      <c r="G21" s="123">
        <v>17683.730000000003</v>
      </c>
    </row>
    <row r="22" spans="1:7" ht="33.5" x14ac:dyDescent="0.35">
      <c r="A22" s="124">
        <v>16</v>
      </c>
      <c r="B22" s="125" t="s">
        <v>820</v>
      </c>
      <c r="C22" s="125" t="s">
        <v>821</v>
      </c>
      <c r="D22" s="126" t="s">
        <v>822</v>
      </c>
      <c r="E22" s="127" t="s">
        <v>823</v>
      </c>
      <c r="F22" s="128" t="s">
        <v>824</v>
      </c>
      <c r="G22" s="123">
        <v>153872.20000000001</v>
      </c>
    </row>
    <row r="23" spans="1:7" ht="33.5" x14ac:dyDescent="0.35">
      <c r="A23" s="124">
        <v>17</v>
      </c>
      <c r="B23" s="125"/>
      <c r="C23" s="125" t="s">
        <v>825</v>
      </c>
      <c r="D23" s="126" t="s">
        <v>826</v>
      </c>
      <c r="E23" s="127"/>
      <c r="F23" s="128"/>
      <c r="G23" s="123">
        <v>14758</v>
      </c>
    </row>
    <row r="24" spans="1:7" ht="33.5" x14ac:dyDescent="0.35">
      <c r="A24" s="124">
        <v>18</v>
      </c>
      <c r="B24" s="125" t="s">
        <v>827</v>
      </c>
      <c r="C24" s="125" t="s">
        <v>828</v>
      </c>
      <c r="D24" s="127"/>
      <c r="E24" s="263" t="s">
        <v>829</v>
      </c>
      <c r="F24" s="128" t="s">
        <v>830</v>
      </c>
      <c r="G24" s="123">
        <v>428553</v>
      </c>
    </row>
    <row r="25" spans="1:7" ht="33.5" x14ac:dyDescent="0.35">
      <c r="A25" s="124">
        <v>19</v>
      </c>
      <c r="B25" s="125" t="s">
        <v>271</v>
      </c>
      <c r="C25" s="125" t="s">
        <v>831</v>
      </c>
      <c r="D25" s="127"/>
      <c r="E25" s="264"/>
      <c r="F25" s="128" t="s">
        <v>832</v>
      </c>
      <c r="G25" s="123">
        <f>1446367.84-184473</f>
        <v>1261894.8400000001</v>
      </c>
    </row>
    <row r="26" spans="1:7" ht="33.5" x14ac:dyDescent="0.35">
      <c r="A26" s="124">
        <v>20</v>
      </c>
      <c r="B26" s="125" t="s">
        <v>833</v>
      </c>
      <c r="C26" s="125" t="s">
        <v>834</v>
      </c>
      <c r="D26" s="127" t="s">
        <v>835</v>
      </c>
      <c r="E26" s="127"/>
      <c r="F26" s="128"/>
      <c r="G26" s="123">
        <v>95912.33</v>
      </c>
    </row>
    <row r="27" spans="1:7" ht="67" x14ac:dyDescent="0.35">
      <c r="A27" s="124">
        <v>21</v>
      </c>
      <c r="B27" s="125" t="s">
        <v>268</v>
      </c>
      <c r="C27" s="125" t="s">
        <v>269</v>
      </c>
      <c r="D27" s="126" t="s">
        <v>836</v>
      </c>
      <c r="E27" s="127" t="s">
        <v>837</v>
      </c>
      <c r="F27" s="128" t="s">
        <v>838</v>
      </c>
      <c r="G27" s="123">
        <v>72577</v>
      </c>
    </row>
    <row r="28" spans="1:7" ht="33.5" x14ac:dyDescent="0.35">
      <c r="A28" s="124">
        <v>22</v>
      </c>
      <c r="B28" s="125" t="s">
        <v>270</v>
      </c>
      <c r="C28" s="125" t="s">
        <v>216</v>
      </c>
      <c r="D28" s="126" t="s">
        <v>839</v>
      </c>
      <c r="E28" s="127" t="s">
        <v>840</v>
      </c>
      <c r="F28" s="128" t="s">
        <v>838</v>
      </c>
      <c r="G28" s="123">
        <v>8310</v>
      </c>
    </row>
    <row r="29" spans="1:7" ht="67" x14ac:dyDescent="0.35">
      <c r="A29" s="124">
        <v>23</v>
      </c>
      <c r="B29" s="125"/>
      <c r="C29" s="125" t="s">
        <v>841</v>
      </c>
      <c r="D29" s="126" t="s">
        <v>842</v>
      </c>
      <c r="E29" s="127"/>
      <c r="F29" s="128"/>
      <c r="G29" s="123"/>
    </row>
    <row r="30" spans="1:7" ht="33.5" x14ac:dyDescent="0.35">
      <c r="A30" s="124">
        <v>24</v>
      </c>
      <c r="B30" s="125"/>
      <c r="C30" s="125" t="s">
        <v>843</v>
      </c>
      <c r="D30" s="126" t="s">
        <v>844</v>
      </c>
      <c r="E30" s="127"/>
      <c r="F30" s="128"/>
      <c r="G30" s="123"/>
    </row>
    <row r="31" spans="1:7" ht="33.5" x14ac:dyDescent="0.35">
      <c r="A31" s="124">
        <v>25</v>
      </c>
      <c r="B31" s="125"/>
      <c r="C31" s="125" t="s">
        <v>845</v>
      </c>
      <c r="D31" s="126" t="s">
        <v>846</v>
      </c>
      <c r="E31" s="127"/>
      <c r="F31" s="128"/>
      <c r="G31" s="123"/>
    </row>
    <row r="32" spans="1:7" ht="33.5" x14ac:dyDescent="0.35">
      <c r="A32" s="124">
        <v>26</v>
      </c>
      <c r="B32" s="125"/>
      <c r="C32" s="125" t="s">
        <v>847</v>
      </c>
      <c r="D32" s="126" t="s">
        <v>848</v>
      </c>
      <c r="E32" s="127"/>
      <c r="F32" s="128"/>
      <c r="G32" s="123"/>
    </row>
    <row r="33" spans="1:7" ht="33.5" x14ac:dyDescent="0.35">
      <c r="A33" s="124">
        <v>27</v>
      </c>
      <c r="B33" s="125"/>
      <c r="C33" s="125" t="s">
        <v>216</v>
      </c>
      <c r="D33" s="126" t="s">
        <v>839</v>
      </c>
      <c r="E33" s="127"/>
      <c r="F33" s="128"/>
      <c r="G33" s="123"/>
    </row>
    <row r="34" spans="1:7" ht="33.5" x14ac:dyDescent="0.35">
      <c r="A34" s="124">
        <v>28</v>
      </c>
      <c r="B34" s="125"/>
      <c r="C34" s="125" t="s">
        <v>849</v>
      </c>
      <c r="D34" s="126" t="s">
        <v>850</v>
      </c>
      <c r="E34" s="127"/>
      <c r="F34" s="128"/>
      <c r="G34" s="123"/>
    </row>
    <row r="35" spans="1:7" ht="67" x14ac:dyDescent="0.35">
      <c r="A35" s="124">
        <v>29</v>
      </c>
      <c r="B35" s="125"/>
      <c r="C35" s="125" t="s">
        <v>851</v>
      </c>
      <c r="D35" s="126" t="s">
        <v>852</v>
      </c>
      <c r="E35" s="127"/>
      <c r="F35" s="128"/>
      <c r="G35" s="123"/>
    </row>
    <row r="36" spans="1:7" ht="33.5" x14ac:dyDescent="0.35">
      <c r="A36" s="124">
        <v>30</v>
      </c>
      <c r="B36" s="125"/>
      <c r="C36" s="125" t="s">
        <v>853</v>
      </c>
      <c r="D36" s="126" t="s">
        <v>854</v>
      </c>
      <c r="E36" s="127"/>
      <c r="F36" s="128"/>
      <c r="G36" s="123"/>
    </row>
    <row r="37" spans="1:7" ht="33.5" x14ac:dyDescent="0.35">
      <c r="A37" s="118"/>
      <c r="B37" s="118" t="s">
        <v>855</v>
      </c>
      <c r="C37" s="118"/>
      <c r="D37" s="119"/>
      <c r="E37" s="119"/>
      <c r="F37" s="119"/>
      <c r="G37" s="120">
        <f>SUM(G7:G33)</f>
        <v>5158119.03</v>
      </c>
    </row>
    <row r="38" spans="1:7" ht="33.5" x14ac:dyDescent="0.35">
      <c r="A38" s="121"/>
      <c r="B38" s="121" t="s">
        <v>856</v>
      </c>
      <c r="C38" s="121"/>
      <c r="D38" s="122"/>
      <c r="E38" s="122"/>
      <c r="F38" s="122"/>
      <c r="G38" s="121"/>
    </row>
    <row r="39" spans="1:7" ht="33.5" x14ac:dyDescent="0.35">
      <c r="A39" s="124">
        <v>1</v>
      </c>
      <c r="B39" s="125" t="s">
        <v>857</v>
      </c>
      <c r="C39" s="125" t="s">
        <v>858</v>
      </c>
      <c r="D39" s="126"/>
      <c r="E39" s="127"/>
      <c r="F39" s="128">
        <v>45201</v>
      </c>
      <c r="G39" s="123">
        <v>3877.08</v>
      </c>
    </row>
    <row r="40" spans="1:7" ht="33.5" x14ac:dyDescent="0.35">
      <c r="A40" s="124">
        <v>2</v>
      </c>
      <c r="B40" s="125" t="s">
        <v>859</v>
      </c>
      <c r="C40" s="125" t="s">
        <v>860</v>
      </c>
      <c r="D40" s="126"/>
      <c r="E40" s="127" t="s">
        <v>861</v>
      </c>
      <c r="F40" s="128" t="s">
        <v>862</v>
      </c>
      <c r="G40" s="123">
        <v>15120</v>
      </c>
    </row>
    <row r="41" spans="1:7" ht="33.5" x14ac:dyDescent="0.35">
      <c r="A41" s="118"/>
      <c r="B41" s="118" t="s">
        <v>863</v>
      </c>
      <c r="C41" s="118"/>
      <c r="D41" s="119"/>
      <c r="E41" s="119"/>
      <c r="F41" s="119"/>
      <c r="G41" s="120">
        <f>SUM(G39:G40)</f>
        <v>18997.080000000002</v>
      </c>
    </row>
    <row r="42" spans="1:7" ht="33.5" x14ac:dyDescent="0.35">
      <c r="A42" s="115"/>
      <c r="B42" s="115"/>
      <c r="C42" s="115"/>
      <c r="D42" s="116"/>
      <c r="E42" s="116"/>
      <c r="F42" s="116"/>
      <c r="G42" s="129"/>
    </row>
    <row r="43" spans="1:7" ht="33.5" x14ac:dyDescent="0.35">
      <c r="A43" s="130"/>
      <c r="B43" s="131" t="s">
        <v>864</v>
      </c>
      <c r="C43" s="132"/>
      <c r="D43" s="133"/>
      <c r="E43" s="133"/>
      <c r="F43" s="134"/>
      <c r="G43" s="135">
        <f>+G5+G37+G41</f>
        <v>9733597.1100000013</v>
      </c>
    </row>
  </sheetData>
  <mergeCells count="2">
    <mergeCell ref="D11:D12"/>
    <mergeCell ref="E24:E25"/>
  </mergeCells>
  <pageMargins left="0.7" right="0.7" top="0.75" bottom="0.75" header="0.3" footer="0.3"/>
  <pageSetup paperSize="8"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2FB93F-B1D7-49B6-B1F3-BE4F4ABA81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9F7E02-E978-4244-8A59-9F89196E84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March summary</vt:lpstr>
      <vt:lpstr>Summary</vt:lpstr>
      <vt:lpstr>BILL - FEB 23</vt:lpstr>
      <vt:lpstr>Variation</vt:lpstr>
      <vt:lpstr>Material OffSite</vt:lpstr>
      <vt:lpstr>Variation KCE</vt:lpstr>
      <vt:lpstr>Hardlandscape Variation</vt:lpstr>
      <vt:lpstr>AHK Balance</vt:lpstr>
      <vt:lpstr>VO register</vt:lpstr>
      <vt:lpstr>'AHK Balance'!Print_Area</vt:lpstr>
      <vt:lpstr>'BILL - FEB 23'!Print_Area</vt:lpstr>
      <vt:lpstr>'March summary'!Print_Area</vt:lpstr>
      <vt:lpstr>'Material OffSite'!Print_Area</vt:lpstr>
      <vt:lpstr>Summary!Print_Area</vt:lpstr>
      <vt:lpstr>Variation!Print_Area</vt:lpstr>
      <vt:lpstr>'Variation KCE'!Print_Area</vt:lpstr>
      <vt:lpstr>'BILL - FEB 23'!Print_Titles</vt:lpstr>
      <vt:lpstr>'Material OffSite'!Print_Titles</vt:lpstr>
      <vt:lpstr>Variation!Print_Titles</vt:lpstr>
      <vt:lpstr>'Variation KCE'!Print_Titles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2023-02-28T10:06:05Z</cp:lastPrinted>
  <dcterms:created xsi:type="dcterms:W3CDTF">2023-02-17T10:10:29Z</dcterms:created>
  <dcterms:modified xsi:type="dcterms:W3CDTF">2023-04-12T09:46:46Z</dcterms:modified>
</cp:coreProperties>
</file>